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D9F8660C-15BB-4FB1-AB0A-D4640DE28C98}" xr6:coauthVersionLast="47" xr6:coauthVersionMax="47" xr10:uidLastSave="{00000000-0000-0000-0000-000000000000}"/>
  <workbookProtection workbookAlgorithmName="SHA-512" workbookHashValue="5dnf4GTmBUnueEnVBSodRk+ICJ5XutjIudeWRRAeCyy7pQkFpnTvscXxMcmwyjmMzW4mc47Gk3lpIdwe13B0Ww==" workbookSaltValue="6OjQ2rI6yq6IavROs8WzNg==" workbookSpinCount="100000" lockStructure="1"/>
  <bookViews>
    <workbookView xWindow="-108" yWindow="-108" windowWidth="23256" windowHeight="12456" tabRatio="935" firstSheet="3" activeTab="3" xr2:uid="{00000000-000D-0000-FFFF-FFFF00000000}"/>
  </bookViews>
  <sheets>
    <sheet name="Fund Vlookup" sheetId="27" state="hidden" r:id="rId1"/>
    <sheet name="Prior Year FS Balances" sheetId="2" state="hidden" r:id="rId2"/>
    <sheet name="Prior Year Cap Asset Balances" sheetId="31" state="hidden" r:id="rId3"/>
    <sheet name="Internal Service Template" sheetId="1" r:id="rId4"/>
    <sheet name="Template Flux" sheetId="25" r:id="rId5"/>
    <sheet name="Tab 1A-GASB 3-40" sheetId="30" r:id="rId6"/>
    <sheet name="Tab 1B-CE.&amp;Inv. Not w Tr " sheetId="29" r:id="rId7"/>
    <sheet name="Tab 1C-Foreign Currency Inv" sheetId="23" r:id="rId8"/>
    <sheet name="Tab 1D-GASB 31" sheetId="24" r:id="rId9"/>
    <sheet name="Tab 2-Receivables" sheetId="7" r:id="rId10"/>
    <sheet name="Tab 3-Capital Assets" sheetId="8" r:id="rId11"/>
    <sheet name="Tab 4-Due to" sheetId="9" r:id="rId12"/>
    <sheet name="Tab 5-LT Liabilities" sheetId="10" r:id="rId13"/>
    <sheet name="Tab 6-Commitments" sheetId="11" r:id="rId14"/>
    <sheet name="Tab 7-Miscellaneous" sheetId="12" r:id="rId15"/>
    <sheet name="Tab 8-Restatements" sheetId="13" r:id="rId16"/>
    <sheet name="Tab 9-Unearned Revenue" sheetId="14" r:id="rId17"/>
    <sheet name="Tab 10-Deficit Net Position" sheetId="15" r:id="rId18"/>
    <sheet name="Tab 11-Transfers" sheetId="16" r:id="rId19"/>
    <sheet name="Tab 12-Net Inv in Cap Assets" sheetId="17" r:id="rId20"/>
    <sheet name="Tab 13-Cash Flow Analysis" sheetId="18" r:id="rId21"/>
    <sheet name="Certification" sheetId="19" r:id="rId22"/>
    <sheet name="Revision Control Log" sheetId="20" r:id="rId23"/>
  </sheets>
  <externalReferences>
    <externalReference r:id="rId24"/>
  </externalReferences>
  <definedNames>
    <definedName name="_xlnm._FilterDatabase" localSheetId="0" hidden="1">'Fund Vlookup'!$B$1:$C$855</definedName>
    <definedName name="A">#REF!</definedName>
    <definedName name="art_bs" localSheetId="6">#REF!</definedName>
    <definedName name="art_bs">#REF!</definedName>
    <definedName name="art_cf" localSheetId="6">#REF!</definedName>
    <definedName name="art_cf">#REF!</definedName>
    <definedName name="art_is" localSheetId="6">#REF!</definedName>
    <definedName name="art_is">#REF!</definedName>
    <definedName name="Balance_Sheet">#REF!</definedName>
    <definedName name="BS_Title">#REF!</definedName>
    <definedName name="Cash_Flows">#REF!</definedName>
    <definedName name="Fitch" localSheetId="6">#REF!</definedName>
    <definedName name="Fitch">#REF!</definedName>
    <definedName name="Income_Statement" localSheetId="6">#REF!</definedName>
    <definedName name="Income_Statement">#REF!</definedName>
    <definedName name="IS" localSheetId="6">#REF!</definedName>
    <definedName name="IS">#REF!</definedName>
    <definedName name="IS_Title" localSheetId="6">#REF!</definedName>
    <definedName name="IS_Title">#REF!</definedName>
    <definedName name="Leg_BS">#REF!</definedName>
    <definedName name="LEG_CF">#REF!</definedName>
    <definedName name="Leg_IS">#REF!</definedName>
    <definedName name="LOC_BS" localSheetId="6">'[1]Local Choice'!#REF!</definedName>
    <definedName name="LOC_BS">'[1]Local Choice'!#REF!</definedName>
    <definedName name="Moodys" localSheetId="6">#REF!</definedName>
    <definedName name="Moodys">#REF!</definedName>
    <definedName name="NA" localSheetId="6">#REF!</definedName>
    <definedName name="NA">#REF!</definedName>
    <definedName name="_xlnm.Print_Area" localSheetId="21">Certification!$A$1:$P$60</definedName>
    <definedName name="_xlnm.Print_Area" localSheetId="3">'Internal Service Template'!$A$1:$R$496</definedName>
    <definedName name="_xlnm.Print_Area" localSheetId="2">'Prior Year Cap Asset Balances'!$A$8:$AF$79</definedName>
    <definedName name="_xlnm.Print_Area" localSheetId="1">'Prior Year FS Balances'!$A$8:$AG$586</definedName>
    <definedName name="_xlnm.Print_Area" localSheetId="17">'Tab 10-Deficit Net Position'!$A$1:$G$34</definedName>
    <definedName name="_xlnm.Print_Area" localSheetId="18">'Tab 11-Transfers'!$A$1:$G$48</definedName>
    <definedName name="_xlnm.Print_Area" localSheetId="19">'Tab 12-Net Inv in Cap Assets'!$A$1:$G$58</definedName>
    <definedName name="_xlnm.Print_Area" localSheetId="20">'Tab 13-Cash Flow Analysis'!$A$1:$K$123</definedName>
    <definedName name="_xlnm.Print_Area" localSheetId="5">'Tab 1A-GASB 3-40'!$A$1:$I$177</definedName>
    <definedName name="_xlnm.Print_Area" localSheetId="6">'Tab 1B-CE.&amp;Inv. Not w Tr '!$A$1:$AI$154</definedName>
    <definedName name="_xlnm.Print_Area" localSheetId="7">'Tab 1C-Foreign Currency Inv'!$A$1:$BW$67</definedName>
    <definedName name="_xlnm.Print_Area" localSheetId="8">'Tab 1D-GASB 31'!$A$1:$H$55</definedName>
    <definedName name="_xlnm.Print_Area" localSheetId="10">'Tab 3-Capital Assets'!$A$1:$P$251</definedName>
    <definedName name="_xlnm.Print_Area" localSheetId="12">'Tab 5-LT Liabilities'!$A$1:$M$223</definedName>
    <definedName name="_xlnm.Print_Area" localSheetId="13">'Tab 6-Commitments'!$A$1:$I$32</definedName>
    <definedName name="_xlnm.Print_Area" localSheetId="14">'Tab 7-Miscellaneous'!$A$1:$D$353</definedName>
    <definedName name="_xlnm.Print_Area" localSheetId="15">'Tab 8-Restatements'!$A$1:$G$42</definedName>
    <definedName name="_xlnm.Print_Area" localSheetId="4">'Template Flux'!$A$1:$H$373</definedName>
    <definedName name="_xlnm.Print_Titles" localSheetId="22">'Revision Control Log'!$1:$9</definedName>
    <definedName name="_xlnm.Print_Titles" localSheetId="6">'Tab 1B-CE.&amp;Inv. Not w Tr '!$A:$E,'Tab 1B-CE.&amp;Inv. Not w Tr '!$1:$11</definedName>
    <definedName name="_xlnm.Print_Titles" localSheetId="16">'Tab 9-Unearned Revenue'!$30:$30</definedName>
    <definedName name="_xlnm.Print_Titles" localSheetId="4">'Template Flux'!$1:$29</definedName>
    <definedName name="Rating_Agency" localSheetId="6">#REF!</definedName>
    <definedName name="Rating_Agency">#REF!</definedName>
    <definedName name="Science_Bs" localSheetId="6">#REF!</definedName>
    <definedName name="Science_Bs">#REF!</definedName>
    <definedName name="Science_cf" localSheetId="6">#REF!</definedName>
    <definedName name="Science_cf">#REF!</definedName>
    <definedName name="Science_IS" localSheetId="6">#REF!</definedName>
    <definedName name="Science_IS">#REF!</definedName>
    <definedName name="Standard_Poors" localSheetId="6">#REF!</definedName>
    <definedName name="Standard_Poors">#REF!</definedName>
    <definedName name="wrn.Footnote._.8." localSheetId="6" hidden="1">{#N/A,#N/A,FALSE,"Fixed Assets";#N/A,#N/A,FALSE,"PPE Wksheet"}</definedName>
    <definedName name="wrn.Footnote._.8." hidden="1">{#N/A,#N/A,FALSE,"Fixed Assets";#N/A,#N/A,FALSE,"PPE Wksheet"}</definedName>
    <definedName name="Z_5CCA66B6_9DBD_4F43_8EC0_0C18444D6068_.wvu.Cols" localSheetId="3" hidden="1">'Internal Service Template'!$H:$O,'Internal Service Template'!$T:$T</definedName>
    <definedName name="Z_5CCA66B6_9DBD_4F43_8EC0_0C18444D6068_.wvu.Cols" localSheetId="14" hidden="1">'Tab 7-Miscellaneous'!$F:$I,'Tab 7-Miscellaneous'!$N:$O</definedName>
    <definedName name="Z_5CCA66B6_9DBD_4F43_8EC0_0C18444D6068_.wvu.Cols" localSheetId="15" hidden="1">'Tab 8-Restatements'!$B:$C,'Tab 8-Restatements'!#REF!,'Tab 8-Restatements'!$L:$M</definedName>
    <definedName name="Z_5CCA66B6_9DBD_4F43_8EC0_0C18444D6068_.wvu.PrintArea" localSheetId="3" hidden="1">'Internal Service Template'!$A$1:$T$492</definedName>
    <definedName name="Z_5CCA66B6_9DBD_4F43_8EC0_0C18444D6068_.wvu.PrintArea" localSheetId="2" hidden="1">'Prior Year Cap Asset Balances'!$A$8:$AF$96</definedName>
    <definedName name="Z_5CCA66B6_9DBD_4F43_8EC0_0C18444D6068_.wvu.PrintArea" localSheetId="1" hidden="1">'Prior Year FS Balances'!$A$8:$AG$603</definedName>
    <definedName name="Z_5CCA66B6_9DBD_4F43_8EC0_0C18444D6068_.wvu.PrintArea" localSheetId="17" hidden="1">'Tab 10-Deficit Net Position'!$A$1:$J$34</definedName>
    <definedName name="Z_5CCA66B6_9DBD_4F43_8EC0_0C18444D6068_.wvu.PrintArea" localSheetId="18" hidden="1">'Tab 11-Transfers'!$A$1:$K$48</definedName>
    <definedName name="Z_5CCA66B6_9DBD_4F43_8EC0_0C18444D6068_.wvu.PrintArea" localSheetId="20" hidden="1">'Tab 13-Cash Flow Analysis'!$A$1:$L$124</definedName>
    <definedName name="Z_5CCA66B6_9DBD_4F43_8EC0_0C18444D6068_.wvu.PrintArea" localSheetId="10" hidden="1">'Tab 3-Capital Assets'!$A$1:$S$247</definedName>
    <definedName name="Z_5CCA66B6_9DBD_4F43_8EC0_0C18444D6068_.wvu.PrintArea" localSheetId="12" hidden="1">'Tab 5-LT Liabilities'!$A$1:$L$217</definedName>
    <definedName name="Z_5CCA66B6_9DBD_4F43_8EC0_0C18444D6068_.wvu.PrintArea" localSheetId="13" hidden="1">'Tab 6-Commitments'!$A$1:$J$11</definedName>
    <definedName name="Z_5CCA66B6_9DBD_4F43_8EC0_0C18444D6068_.wvu.PrintArea" localSheetId="15" hidden="1">'Tab 8-Restatements'!$A$1:$G$42</definedName>
    <definedName name="Z_5CCA66B6_9DBD_4F43_8EC0_0C18444D6068_.wvu.PrintTitles" localSheetId="22" hidden="1">'Revision Control Log'!$1:$9</definedName>
    <definedName name="Z_5CCA66B6_9DBD_4F43_8EC0_0C18444D6068_.wvu.Rows" localSheetId="3" hidden="1">'Internal Service Template'!$36:$36,'Internal Service Template'!$76:$76,'Internal Service Template'!$150:$151,'Internal Service Template'!$174:$175,'Internal Service Template'!$243:$243,'Internal Service Template'!$246:$246,'Internal Service Template'!$257:$257,'Internal Service Template'!$275:$275,'Internal Service Template'!$312:$312,'Internal Service Template'!$314:$314,'Internal Service Template'!$316:$316,'Internal Service Template'!$334:$334,'Internal Service Template'!$421:$421,'Internal Service Template'!$438:$439,'Internal Service Template'!$449:$450</definedName>
    <definedName name="Z_5CCA66B6_9DBD_4F43_8EC0_0C18444D6068_.wvu.Rows" localSheetId="2" hidden="1">'Prior Year Cap Asset Balances'!$1:$7,'Prior Year Cap Asset Balances'!$9:$16,'Prior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Balances'!#REF!,'Prior Year Cap Asset Balances'!#REF!</definedName>
    <definedName name="Z_5CCA66B6_9DBD_4F43_8EC0_0C18444D6068_.wvu.Rows" localSheetId="1" hidden="1">'Prior Year FS Balances'!$1:$7,'Prior Year FS Balances'!$9:$16,'Prior Year FS Balances'!$132:$133,'Prior Year FS Balances'!$156:$157,'Prior Year FS Balances'!$225:$225,'Prior Year FS Balances'!$228:$228,'Prior Year FS Balances'!$239:$239,'Prior Year FS Balances'!$257:$257,'Prior Year FS Balances'!$293:$293,'Prior Year FS Balances'!$295:$295,'Prior Year FS Balances'!$297:$297,'Prior Year FS Balances'!$315:$315,'Prior Year FS Balances'!$402:$402,'Prior Year FS Balances'!$419:$420,'Prior Year FS Balances'!$430:$431,'Prior Year FS Balances'!$535:$540</definedName>
    <definedName name="Z_5CCA66B6_9DBD_4F43_8EC0_0C18444D6068_.wvu.Rows" localSheetId="22" hidden="1">'Revision Control Log'!$71:$89</definedName>
    <definedName name="Z_5CCA66B6_9DBD_4F43_8EC0_0C18444D6068_.wvu.Rows" localSheetId="20" hidden="1">'Tab 13-Cash Flow Analysis'!$31:$31,'Tab 13-Cash Flow Analysis'!$48:$49,'Tab 13-Cash Flow Analysis'!$59:$60</definedName>
    <definedName name="Z_5CCA66B6_9DBD_4F43_8EC0_0C18444D6068_.wvu.Rows" localSheetId="10" hidden="1">'Tab 3-Capital Assets'!$248:$250</definedName>
    <definedName name="Z_5CCA66B6_9DBD_4F43_8EC0_0C18444D6068_.wvu.Rows" localSheetId="12" hidden="1">'Tab 5-LT Liabilities'!$16:$17,'Tab 5-LT Liabilities'!$33:$34,'Tab 5-LT Liabilities'!$225:$226</definedName>
    <definedName name="Z_5CCA66B6_9DBD_4F43_8EC0_0C18444D6068_.wvu.Rows" localSheetId="13" hidden="1">'Tab 6-Commitments'!$12:$13</definedName>
    <definedName name="Z_5CCA66B6_9DBD_4F43_8EC0_0C18444D6068_.wvu.Rows" localSheetId="14" hidden="1">'Tab 7-Miscellaneous'!$118:$119</definedName>
    <definedName name="Z_6849E161_4DFB_11D5_8CDD_0060945A34C9_.wvu.Rows" localSheetId="14" hidden="1">'Tab 7-Miscellaneous'!#REF!</definedName>
  </definedNames>
  <calcPr calcId="191029"/>
  <customWorkbookViews>
    <customWorkbookView name="greg.lehman - Personal View" guid="{5CCA66B6-9DBD-4F43-8EC0-0C18444D6068}" mergeInterval="0" personalView="1" maximized="1" windowWidth="1020" windowHeight="549" tabRatio="95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4" i="14" l="1"/>
  <c r="P184" i="1"/>
  <c r="P183" i="1"/>
  <c r="C241" i="14"/>
  <c r="C133" i="14"/>
  <c r="C88" i="14"/>
  <c r="C353" i="12"/>
  <c r="AO53" i="23" l="1"/>
  <c r="BS53" i="23" s="1"/>
  <c r="AO54" i="23"/>
  <c r="BS54" i="23" s="1"/>
  <c r="AO25" i="23"/>
  <c r="BS25" i="23" s="1"/>
  <c r="AO21" i="23"/>
  <c r="BS21" i="23" s="1"/>
  <c r="AO19" i="23"/>
  <c r="BS19" i="23" s="1"/>
  <c r="E1" i="1"/>
  <c r="M69" i="8" l="1"/>
  <c r="M67" i="8"/>
  <c r="M43" i="8"/>
  <c r="A346" i="12" l="1"/>
  <c r="A345" i="12"/>
  <c r="A343" i="12"/>
  <c r="C344" i="12" s="1"/>
  <c r="C349" i="12"/>
  <c r="C256" i="14"/>
  <c r="C255" i="14"/>
  <c r="C213" i="14"/>
  <c r="C150" i="14"/>
  <c r="C93" i="14"/>
  <c r="C59" i="14"/>
  <c r="C347" i="12" l="1"/>
  <c r="Q124" i="1"/>
  <c r="R124" i="1"/>
  <c r="Q150" i="1"/>
  <c r="R150" i="1" s="1"/>
  <c r="Q151" i="1"/>
  <c r="R151" i="1" s="1"/>
  <c r="Q174" i="1"/>
  <c r="Q175" i="1"/>
  <c r="R175" i="1" s="1"/>
  <c r="Q226" i="1"/>
  <c r="R226" i="1"/>
  <c r="Q243" i="1"/>
  <c r="R243" i="1" s="1"/>
  <c r="Q246" i="1"/>
  <c r="R246" i="1"/>
  <c r="Q257" i="1"/>
  <c r="Q301" i="1"/>
  <c r="R301" i="1"/>
  <c r="Q312" i="1"/>
  <c r="R312" i="1"/>
  <c r="Q314" i="1"/>
  <c r="R314" i="1"/>
  <c r="Q354" i="1"/>
  <c r="R354" i="1"/>
  <c r="R174" i="1" l="1"/>
  <c r="AC79" i="31" l="1"/>
  <c r="AA79" i="31"/>
  <c r="Y79" i="31"/>
  <c r="S79" i="31"/>
  <c r="M79" i="31"/>
  <c r="AB521" i="2"/>
  <c r="E109" i="18" l="1"/>
  <c r="A238" i="12" l="1"/>
  <c r="A140" i="12"/>
  <c r="B61" i="12"/>
  <c r="A176" i="10" l="1"/>
  <c r="A172" i="10"/>
  <c r="A120" i="10"/>
  <c r="A116" i="10"/>
  <c r="M244" i="8"/>
  <c r="M200" i="8"/>
  <c r="A202" i="10" l="1"/>
  <c r="A190" i="10"/>
  <c r="A191" i="10"/>
  <c r="A192" i="10"/>
  <c r="A193" i="10"/>
  <c r="A194" i="10"/>
  <c r="A195" i="10"/>
  <c r="A196" i="10"/>
  <c r="A197" i="10"/>
  <c r="A198" i="10"/>
  <c r="A199" i="10"/>
  <c r="A200" i="10"/>
  <c r="A201" i="10"/>
  <c r="A189" i="10"/>
  <c r="A153" i="10"/>
  <c r="A154" i="10"/>
  <c r="A155" i="10"/>
  <c r="A156" i="10"/>
  <c r="A157" i="10"/>
  <c r="A158" i="10"/>
  <c r="A159" i="10"/>
  <c r="A160" i="10"/>
  <c r="A161" i="10"/>
  <c r="A162" i="10"/>
  <c r="A163" i="10"/>
  <c r="A164" i="10"/>
  <c r="A165" i="10"/>
  <c r="A152" i="10"/>
  <c r="A131" i="10"/>
  <c r="A132" i="10"/>
  <c r="A133" i="10"/>
  <c r="A134" i="10"/>
  <c r="A135" i="10"/>
  <c r="A136" i="10"/>
  <c r="A137" i="10"/>
  <c r="A138" i="10"/>
  <c r="A139" i="10"/>
  <c r="A140" i="10"/>
  <c r="A141" i="10"/>
  <c r="A142" i="10"/>
  <c r="A143" i="10"/>
  <c r="A130" i="10"/>
  <c r="A97" i="10"/>
  <c r="A98" i="10"/>
  <c r="A99" i="10"/>
  <c r="A100" i="10"/>
  <c r="A101" i="10"/>
  <c r="A102" i="10"/>
  <c r="A103" i="10"/>
  <c r="A104" i="10"/>
  <c r="A105" i="10"/>
  <c r="A106" i="10"/>
  <c r="A107" i="10"/>
  <c r="A108" i="10"/>
  <c r="A109" i="10"/>
  <c r="A96" i="10"/>
  <c r="C54" i="17" l="1"/>
  <c r="C32" i="11"/>
  <c r="C28" i="11"/>
  <c r="C166" i="10"/>
  <c r="D165" i="10"/>
  <c r="D164" i="10"/>
  <c r="D163" i="10"/>
  <c r="D162" i="10"/>
  <c r="D161" i="10"/>
  <c r="D160" i="10"/>
  <c r="D159" i="10"/>
  <c r="D158" i="10"/>
  <c r="D157" i="10"/>
  <c r="D156" i="10"/>
  <c r="D155" i="10"/>
  <c r="D154" i="10"/>
  <c r="D153" i="10"/>
  <c r="D152" i="10"/>
  <c r="B38" i="10"/>
  <c r="B39" i="10"/>
  <c r="D166" i="10" l="1"/>
  <c r="D132" i="8" l="1"/>
  <c r="D128" i="8"/>
  <c r="D129" i="8"/>
  <c r="D130" i="8"/>
  <c r="D131" i="8"/>
  <c r="D127" i="8"/>
  <c r="D108" i="8"/>
  <c r="D104" i="8"/>
  <c r="D105" i="8"/>
  <c r="D106" i="8"/>
  <c r="D107" i="8"/>
  <c r="D103" i="8"/>
  <c r="D134" i="8" l="1"/>
  <c r="J69" i="8" l="1"/>
  <c r="G69" i="8"/>
  <c r="D69" i="8"/>
  <c r="J45" i="8"/>
  <c r="G45" i="8"/>
  <c r="D45" i="8"/>
  <c r="P480" i="1" l="1"/>
  <c r="P479" i="1"/>
  <c r="P478" i="1"/>
  <c r="P477" i="1"/>
  <c r="P476" i="1"/>
  <c r="O476" i="1"/>
  <c r="E83" i="18" s="1"/>
  <c r="Q476" i="1" l="1"/>
  <c r="P475" i="1"/>
  <c r="P474" i="1"/>
  <c r="P473" i="1"/>
  <c r="P464" i="1"/>
  <c r="P463" i="1"/>
  <c r="P457" i="1"/>
  <c r="P456" i="1"/>
  <c r="P455" i="1"/>
  <c r="P454" i="1"/>
  <c r="P453" i="1"/>
  <c r="P452" i="1"/>
  <c r="P451" i="1"/>
  <c r="P446" i="1"/>
  <c r="P445" i="1"/>
  <c r="P444" i="1"/>
  <c r="P443" i="1"/>
  <c r="P442" i="1"/>
  <c r="P441" i="1"/>
  <c r="O455" i="1"/>
  <c r="E65" i="18" s="1"/>
  <c r="O444" i="1"/>
  <c r="E54" i="18" s="1"/>
  <c r="P440" i="1"/>
  <c r="P435" i="1"/>
  <c r="P434" i="1"/>
  <c r="P433" i="1"/>
  <c r="P430" i="1"/>
  <c r="P429" i="1"/>
  <c r="P428" i="1"/>
  <c r="P426" i="1"/>
  <c r="P425" i="1"/>
  <c r="P424" i="1"/>
  <c r="P423" i="1"/>
  <c r="P422" i="1"/>
  <c r="P420" i="1"/>
  <c r="P419" i="1"/>
  <c r="P418" i="1"/>
  <c r="P417" i="1"/>
  <c r="P416" i="1"/>
  <c r="P415" i="1"/>
  <c r="P414" i="1"/>
  <c r="P413" i="1"/>
  <c r="P412" i="1"/>
  <c r="P411" i="1"/>
  <c r="P410" i="1"/>
  <c r="P409" i="1"/>
  <c r="P406" i="1"/>
  <c r="P405" i="1"/>
  <c r="P404" i="1"/>
  <c r="P403" i="1"/>
  <c r="P379" i="1"/>
  <c r="P375" i="1"/>
  <c r="P374" i="1"/>
  <c r="P373" i="1"/>
  <c r="P367" i="1"/>
  <c r="P366" i="1"/>
  <c r="P362" i="1"/>
  <c r="P361" i="1"/>
  <c r="P359" i="1"/>
  <c r="P358" i="1"/>
  <c r="P357" i="1"/>
  <c r="P356" i="1"/>
  <c r="P342" i="1"/>
  <c r="P341" i="1"/>
  <c r="P340" i="1"/>
  <c r="P337" i="1"/>
  <c r="P336" i="1"/>
  <c r="P335" i="1"/>
  <c r="P333" i="1"/>
  <c r="P331" i="1"/>
  <c r="P330" i="1"/>
  <c r="P324" i="1"/>
  <c r="P323" i="1"/>
  <c r="P320" i="1"/>
  <c r="P319" i="1"/>
  <c r="P317" i="1"/>
  <c r="P315" i="1"/>
  <c r="P311" i="1"/>
  <c r="P308" i="1"/>
  <c r="P307" i="1"/>
  <c r="P306" i="1"/>
  <c r="P305" i="1"/>
  <c r="P304" i="1"/>
  <c r="P303" i="1"/>
  <c r="P292" i="1"/>
  <c r="P290" i="1"/>
  <c r="P289" i="1"/>
  <c r="P288" i="1"/>
  <c r="P287" i="1"/>
  <c r="P279" i="1"/>
  <c r="P278" i="1"/>
  <c r="P277" i="1"/>
  <c r="P276" i="1"/>
  <c r="P274" i="1"/>
  <c r="P271" i="1"/>
  <c r="P270" i="1"/>
  <c r="P269" i="1"/>
  <c r="P261" i="1"/>
  <c r="P260" i="1"/>
  <c r="P259" i="1"/>
  <c r="P256" i="1"/>
  <c r="P255" i="1"/>
  <c r="P252" i="1"/>
  <c r="P251" i="1"/>
  <c r="P249" i="1"/>
  <c r="P248" i="1"/>
  <c r="P247" i="1"/>
  <c r="P242" i="1"/>
  <c r="P240" i="1"/>
  <c r="P234" i="1"/>
  <c r="P233" i="1"/>
  <c r="P232" i="1"/>
  <c r="P231" i="1"/>
  <c r="P229" i="1"/>
  <c r="P228" i="1"/>
  <c r="P217" i="1"/>
  <c r="P216" i="1"/>
  <c r="P215" i="1"/>
  <c r="P214" i="1"/>
  <c r="P213" i="1"/>
  <c r="P212" i="1"/>
  <c r="P191" i="1"/>
  <c r="P182" i="1"/>
  <c r="P181" i="1"/>
  <c r="P180" i="1"/>
  <c r="P179" i="1"/>
  <c r="P178" i="1"/>
  <c r="P177" i="1"/>
  <c r="P176" i="1"/>
  <c r="P171" i="1"/>
  <c r="P170" i="1"/>
  <c r="P169" i="1"/>
  <c r="P167" i="1"/>
  <c r="P166" i="1"/>
  <c r="P165" i="1"/>
  <c r="P164" i="1"/>
  <c r="P158" i="1"/>
  <c r="P157" i="1"/>
  <c r="P156" i="1"/>
  <c r="P155" i="1"/>
  <c r="O180" i="1"/>
  <c r="O156" i="1"/>
  <c r="F22" i="10" s="1"/>
  <c r="F153" i="10" s="1"/>
  <c r="AF71" i="31"/>
  <c r="AE50" i="31"/>
  <c r="AC50" i="31"/>
  <c r="AA50" i="31"/>
  <c r="Y50" i="31"/>
  <c r="W50" i="31"/>
  <c r="U50" i="31"/>
  <c r="S50" i="31"/>
  <c r="Q50" i="31"/>
  <c r="O50" i="31"/>
  <c r="M50" i="31"/>
  <c r="K50" i="31"/>
  <c r="I50" i="31"/>
  <c r="P185" i="1" l="1"/>
  <c r="Q156" i="1"/>
  <c r="Q180" i="1"/>
  <c r="B54" i="17"/>
  <c r="E54" i="17" s="1"/>
  <c r="F54" i="17" s="1"/>
  <c r="B166" i="10"/>
  <c r="E22" i="10"/>
  <c r="G22" i="10" s="1"/>
  <c r="B167" i="10"/>
  <c r="M22" i="10"/>
  <c r="F496" i="1"/>
  <c r="Q455" i="1"/>
  <c r="Q444" i="1"/>
  <c r="E153" i="25" l="1"/>
  <c r="G54" i="18"/>
  <c r="I54" i="18" s="1"/>
  <c r="K54" i="18" s="1"/>
  <c r="E177" i="25"/>
  <c r="G65" i="18"/>
  <c r="I65" i="18" s="1"/>
  <c r="K65" i="18" s="1"/>
  <c r="G50" i="31"/>
  <c r="AF49" i="31"/>
  <c r="AG517" i="2"/>
  <c r="H520" i="2" l="1"/>
  <c r="I520" i="2"/>
  <c r="J520" i="2"/>
  <c r="L520" i="2"/>
  <c r="N520" i="2"/>
  <c r="P520" i="2"/>
  <c r="Q520" i="2"/>
  <c r="R520" i="2"/>
  <c r="S520" i="2"/>
  <c r="T520" i="2"/>
  <c r="U520" i="2"/>
  <c r="V520" i="2"/>
  <c r="W520" i="2"/>
  <c r="X520" i="2"/>
  <c r="Y520" i="2"/>
  <c r="Z520" i="2"/>
  <c r="AB520" i="2"/>
  <c r="AF520" i="2"/>
  <c r="G520" i="2"/>
  <c r="AF66" i="31"/>
  <c r="AF67" i="31"/>
  <c r="AF68" i="31"/>
  <c r="AF69" i="31"/>
  <c r="AF70" i="31"/>
  <c r="AF72" i="31"/>
  <c r="AE73" i="31"/>
  <c r="AC73" i="31"/>
  <c r="AA73" i="31"/>
  <c r="Y73" i="31"/>
  <c r="W73" i="31"/>
  <c r="U73" i="31"/>
  <c r="S73" i="31"/>
  <c r="Q73" i="31"/>
  <c r="O73" i="31"/>
  <c r="M73" i="31"/>
  <c r="I73" i="31"/>
  <c r="K73" i="31"/>
  <c r="G73" i="31"/>
  <c r="AF43" i="31"/>
  <c r="AF44" i="31"/>
  <c r="AF45" i="31"/>
  <c r="AF46" i="31"/>
  <c r="AF47" i="31"/>
  <c r="AF48" i="31"/>
  <c r="AE63" i="31"/>
  <c r="AC63" i="31"/>
  <c r="AA63" i="31"/>
  <c r="Y63" i="31"/>
  <c r="W63" i="31"/>
  <c r="U63" i="31"/>
  <c r="S63" i="31"/>
  <c r="Q63" i="31"/>
  <c r="O63" i="31"/>
  <c r="M63" i="31"/>
  <c r="K63" i="31"/>
  <c r="I63" i="31"/>
  <c r="G63" i="31"/>
  <c r="AF62" i="31"/>
  <c r="AF61" i="31"/>
  <c r="AF60" i="31"/>
  <c r="AF59" i="31"/>
  <c r="AF58" i="31"/>
  <c r="AF57" i="31"/>
  <c r="AF56" i="31"/>
  <c r="AF55" i="31"/>
  <c r="AF54" i="31"/>
  <c r="AF53" i="31"/>
  <c r="AF41" i="31"/>
  <c r="AF40" i="31"/>
  <c r="AF39" i="31"/>
  <c r="AF38" i="31"/>
  <c r="AF37" i="31"/>
  <c r="AF36" i="31"/>
  <c r="AF35" i="31"/>
  <c r="AF34" i="31"/>
  <c r="AF33" i="31"/>
  <c r="AF32" i="31"/>
  <c r="AE29" i="31"/>
  <c r="AC29" i="31"/>
  <c r="AA29" i="31"/>
  <c r="Y29" i="31"/>
  <c r="W29" i="31"/>
  <c r="U29" i="31"/>
  <c r="S29" i="31"/>
  <c r="Q29" i="31"/>
  <c r="O29" i="31"/>
  <c r="M29" i="31"/>
  <c r="K29" i="31"/>
  <c r="I29" i="31"/>
  <c r="G29" i="31"/>
  <c r="AF27" i="31"/>
  <c r="AF26" i="31"/>
  <c r="AF25" i="31"/>
  <c r="AF24" i="31"/>
  <c r="AF23" i="31"/>
  <c r="AO44" i="23"/>
  <c r="BS44" i="23" s="1"/>
  <c r="AI135" i="29"/>
  <c r="Y135" i="29"/>
  <c r="AG135" i="29" s="1"/>
  <c r="AI134" i="29"/>
  <c r="AG134" i="29"/>
  <c r="Y134" i="29"/>
  <c r="AF134" i="29" s="1"/>
  <c r="AI133" i="29"/>
  <c r="Y133" i="29"/>
  <c r="AG133" i="29" s="1"/>
  <c r="AI132" i="29"/>
  <c r="AG132" i="29"/>
  <c r="Y132" i="29"/>
  <c r="AF132" i="29" s="1"/>
  <c r="AI131" i="29"/>
  <c r="Y131" i="29"/>
  <c r="AG131" i="29" s="1"/>
  <c r="B36" i="10"/>
  <c r="B37" i="10"/>
  <c r="B40" i="10"/>
  <c r="B41" i="10"/>
  <c r="AG518" i="2"/>
  <c r="AG519" i="2"/>
  <c r="AG514" i="2"/>
  <c r="A11" i="23"/>
  <c r="I75" i="31" l="1"/>
  <c r="AA75" i="31"/>
  <c r="AA76" i="31" s="1"/>
  <c r="AA77" i="31" s="1"/>
  <c r="S75" i="31"/>
  <c r="S76" i="31" s="1"/>
  <c r="S77" i="31" s="1"/>
  <c r="Y75" i="31"/>
  <c r="Y76" i="31" s="1"/>
  <c r="Y77" i="31" s="1"/>
  <c r="M75" i="31"/>
  <c r="M76" i="31" s="1"/>
  <c r="M77" i="31" s="1"/>
  <c r="AC75" i="31"/>
  <c r="AC76" i="31" s="1"/>
  <c r="AC77" i="31" s="1"/>
  <c r="K75" i="31"/>
  <c r="K76" i="31" s="1"/>
  <c r="K77" i="31" s="1"/>
  <c r="K79" i="31" s="1"/>
  <c r="O75" i="31"/>
  <c r="O76" i="31" s="1"/>
  <c r="O77" i="31" s="1"/>
  <c r="O79" i="31" s="1"/>
  <c r="AE75" i="31"/>
  <c r="AE76" i="31" s="1"/>
  <c r="AE77" i="31" s="1"/>
  <c r="AE79" i="31" s="1"/>
  <c r="W75" i="31"/>
  <c r="W76" i="31" s="1"/>
  <c r="W77" i="31" s="1"/>
  <c r="W79" i="31" s="1"/>
  <c r="AF73" i="31"/>
  <c r="Q75" i="31"/>
  <c r="Q76" i="31" s="1"/>
  <c r="Q77" i="31" s="1"/>
  <c r="Q79" i="31" s="1"/>
  <c r="U75" i="31"/>
  <c r="U76" i="31" s="1"/>
  <c r="U77" i="31" s="1"/>
  <c r="U79" i="31" s="1"/>
  <c r="I76" i="31"/>
  <c r="I77" i="31" s="1"/>
  <c r="I79" i="31" s="1"/>
  <c r="AF50" i="31"/>
  <c r="G75" i="31"/>
  <c r="G76" i="31" s="1"/>
  <c r="AF63" i="31"/>
  <c r="AF29" i="31"/>
  <c r="AF131" i="29"/>
  <c r="AF133" i="29"/>
  <c r="AF135" i="29"/>
  <c r="D4" i="30"/>
  <c r="E147" i="30"/>
  <c r="F147" i="30" s="1"/>
  <c r="E146" i="30"/>
  <c r="F146" i="30" s="1"/>
  <c r="E145" i="30"/>
  <c r="F145" i="30" s="1"/>
  <c r="E144" i="30"/>
  <c r="F144" i="30" s="1"/>
  <c r="E143" i="30"/>
  <c r="F143" i="30" s="1"/>
  <c r="E142" i="30"/>
  <c r="F142" i="30" s="1"/>
  <c r="E141" i="30"/>
  <c r="F141" i="30" s="1"/>
  <c r="E140" i="30"/>
  <c r="F140" i="30" s="1"/>
  <c r="E139" i="30"/>
  <c r="F139" i="30" s="1"/>
  <c r="G124" i="30"/>
  <c r="F103" i="30"/>
  <c r="G102" i="30"/>
  <c r="H102" i="30" s="1"/>
  <c r="E102" i="30"/>
  <c r="G101" i="30"/>
  <c r="H101" i="30" s="1"/>
  <c r="E101" i="30"/>
  <c r="G100" i="30"/>
  <c r="H100" i="30" s="1"/>
  <c r="E100" i="30"/>
  <c r="G99" i="30"/>
  <c r="H99" i="30" s="1"/>
  <c r="E99" i="30"/>
  <c r="G98" i="30"/>
  <c r="H98" i="30" s="1"/>
  <c r="E98" i="30"/>
  <c r="G97" i="30"/>
  <c r="H97" i="30" s="1"/>
  <c r="E97" i="30"/>
  <c r="G96" i="30"/>
  <c r="H96" i="30" s="1"/>
  <c r="E96" i="30"/>
  <c r="G95" i="30"/>
  <c r="H95" i="30" s="1"/>
  <c r="E95" i="30"/>
  <c r="G94" i="30"/>
  <c r="H94" i="30" s="1"/>
  <c r="E94" i="30"/>
  <c r="G93" i="30"/>
  <c r="H93" i="30" s="1"/>
  <c r="E93" i="30"/>
  <c r="G84" i="30"/>
  <c r="F84" i="30"/>
  <c r="H83" i="30"/>
  <c r="I83" i="30" s="1"/>
  <c r="E83" i="30"/>
  <c r="H82" i="30"/>
  <c r="I82" i="30" s="1"/>
  <c r="E82" i="30"/>
  <c r="H81" i="30"/>
  <c r="I81" i="30" s="1"/>
  <c r="E81" i="30"/>
  <c r="H80" i="30"/>
  <c r="I80" i="30" s="1"/>
  <c r="E80" i="30"/>
  <c r="H79" i="30"/>
  <c r="I79" i="30" s="1"/>
  <c r="E79" i="30"/>
  <c r="H78" i="30"/>
  <c r="I78" i="30" s="1"/>
  <c r="E78" i="30"/>
  <c r="H77" i="30"/>
  <c r="I77" i="30" s="1"/>
  <c r="E77" i="30"/>
  <c r="H76" i="30"/>
  <c r="I76" i="30" s="1"/>
  <c r="E76" i="30"/>
  <c r="H75" i="30"/>
  <c r="I75" i="30" s="1"/>
  <c r="E75" i="30"/>
  <c r="H74" i="30"/>
  <c r="I74" i="30" s="1"/>
  <c r="E74" i="30"/>
  <c r="H73" i="30"/>
  <c r="I73" i="30" s="1"/>
  <c r="E73" i="30"/>
  <c r="H72" i="30"/>
  <c r="I72" i="30" s="1"/>
  <c r="E72" i="30"/>
  <c r="H71" i="30"/>
  <c r="I71" i="30" s="1"/>
  <c r="E71" i="30"/>
  <c r="H70" i="30"/>
  <c r="I70" i="30" s="1"/>
  <c r="E70" i="30"/>
  <c r="H69" i="30"/>
  <c r="I69" i="30" s="1"/>
  <c r="E69" i="30"/>
  <c r="H68" i="30"/>
  <c r="I68" i="30" s="1"/>
  <c r="E68" i="30"/>
  <c r="H67" i="30"/>
  <c r="I67" i="30" s="1"/>
  <c r="E67" i="30"/>
  <c r="H66" i="30"/>
  <c r="I66" i="30" s="1"/>
  <c r="E66" i="30"/>
  <c r="H65" i="30"/>
  <c r="I65" i="30" s="1"/>
  <c r="E65" i="30"/>
  <c r="H64" i="30"/>
  <c r="I64" i="30" s="1"/>
  <c r="E64" i="30"/>
  <c r="H63" i="30"/>
  <c r="I63" i="30" s="1"/>
  <c r="E63" i="30"/>
  <c r="I62" i="30"/>
  <c r="H62" i="30"/>
  <c r="E62" i="30"/>
  <c r="H61" i="30"/>
  <c r="I61" i="30" s="1"/>
  <c r="E61" i="30"/>
  <c r="H60" i="30"/>
  <c r="I60" i="30" s="1"/>
  <c r="E60" i="30"/>
  <c r="H59" i="30"/>
  <c r="I59" i="30" s="1"/>
  <c r="E59" i="30"/>
  <c r="H58" i="30"/>
  <c r="I58" i="30" s="1"/>
  <c r="E58" i="30"/>
  <c r="H57" i="30"/>
  <c r="I57" i="30" s="1"/>
  <c r="E57" i="30"/>
  <c r="H56" i="30"/>
  <c r="I56" i="30" s="1"/>
  <c r="E56" i="30"/>
  <c r="H55" i="30"/>
  <c r="I55" i="30" s="1"/>
  <c r="E55" i="30"/>
  <c r="H54" i="30"/>
  <c r="I54" i="30" s="1"/>
  <c r="E54" i="30"/>
  <c r="H53" i="30"/>
  <c r="I53" i="30" s="1"/>
  <c r="E53" i="30"/>
  <c r="H52" i="30"/>
  <c r="I52" i="30" s="1"/>
  <c r="E52" i="30"/>
  <c r="H51" i="30"/>
  <c r="I51" i="30" s="1"/>
  <c r="E51" i="30"/>
  <c r="H41" i="30"/>
  <c r="H25" i="30"/>
  <c r="H39" i="30" s="1"/>
  <c r="H22" i="30"/>
  <c r="D6" i="30"/>
  <c r="D5" i="30"/>
  <c r="D3" i="30"/>
  <c r="D2" i="30"/>
  <c r="G77" i="31" l="1"/>
  <c r="AF76" i="31"/>
  <c r="AF75" i="31"/>
  <c r="H40" i="30"/>
  <c r="I28" i="30"/>
  <c r="O37" i="1"/>
  <c r="AF77" i="31" l="1"/>
  <c r="G79" i="31"/>
  <c r="AO15" i="23"/>
  <c r="AO16" i="23"/>
  <c r="AO18" i="23"/>
  <c r="AO20" i="23"/>
  <c r="BS20" i="23" s="1"/>
  <c r="AO22" i="23"/>
  <c r="AO23" i="23"/>
  <c r="AO24" i="23"/>
  <c r="AO26" i="23"/>
  <c r="AO27" i="23"/>
  <c r="AO28" i="23"/>
  <c r="AO29" i="23"/>
  <c r="AO30" i="23"/>
  <c r="AO31" i="23"/>
  <c r="AO32" i="23"/>
  <c r="AO33" i="23"/>
  <c r="AO34" i="23"/>
  <c r="AO35" i="23"/>
  <c r="AO36" i="23"/>
  <c r="AO37" i="23"/>
  <c r="AO38" i="23"/>
  <c r="AO39" i="23"/>
  <c r="AO40" i="23"/>
  <c r="AO41" i="23"/>
  <c r="AO42" i="23"/>
  <c r="AO43" i="23"/>
  <c r="AO17" i="23"/>
  <c r="AO45" i="23"/>
  <c r="AO46" i="23"/>
  <c r="AO47" i="23"/>
  <c r="AO48" i="23"/>
  <c r="AO49" i="23"/>
  <c r="AO50" i="23"/>
  <c r="AO51" i="23"/>
  <c r="AO52" i="23"/>
  <c r="AO55" i="23"/>
  <c r="AO56" i="23"/>
  <c r="AO14" i="23"/>
  <c r="C109" i="14" l="1"/>
  <c r="C85" i="14"/>
  <c r="C25" i="11" l="1"/>
  <c r="C21" i="11"/>
  <c r="C17" i="11"/>
  <c r="Q111" i="29" l="1"/>
  <c r="Q110" i="29"/>
  <c r="Q109" i="29"/>
  <c r="Q108" i="29"/>
  <c r="Q107" i="29"/>
  <c r="Q105" i="29"/>
  <c r="Q104" i="29"/>
  <c r="Q103" i="29"/>
  <c r="Q102" i="29"/>
  <c r="Q101" i="29"/>
  <c r="Q99" i="29"/>
  <c r="Q98" i="29"/>
  <c r="Q97" i="29"/>
  <c r="Q96" i="29"/>
  <c r="Q95" i="29"/>
  <c r="Q93" i="29"/>
  <c r="Q91" i="29"/>
  <c r="Q90" i="29"/>
  <c r="Q89" i="29"/>
  <c r="Q88" i="29"/>
  <c r="Q87" i="29"/>
  <c r="Q85" i="29"/>
  <c r="Q84" i="29"/>
  <c r="Q83" i="29"/>
  <c r="Q82" i="29"/>
  <c r="Q81" i="29"/>
  <c r="Q79" i="29"/>
  <c r="Q78" i="29"/>
  <c r="Q77" i="29"/>
  <c r="Q76" i="29"/>
  <c r="Q75" i="29"/>
  <c r="Q74" i="29"/>
  <c r="Q72" i="29"/>
  <c r="Q71" i="29"/>
  <c r="Q70" i="29"/>
  <c r="Q69" i="29"/>
  <c r="Q68" i="29"/>
  <c r="Q66" i="29"/>
  <c r="Q65" i="29"/>
  <c r="Q64" i="29"/>
  <c r="Q63" i="29"/>
  <c r="Q62" i="29"/>
  <c r="Q60" i="29"/>
  <c r="Q59" i="29"/>
  <c r="Q58" i="29"/>
  <c r="Q57" i="29"/>
  <c r="Q56" i="29"/>
  <c r="Q54" i="29"/>
  <c r="Q53" i="29"/>
  <c r="Q52" i="29"/>
  <c r="Q51" i="29"/>
  <c r="Q50" i="29"/>
  <c r="Q48" i="29"/>
  <c r="Q47" i="29"/>
  <c r="Q46" i="29"/>
  <c r="Q45" i="29"/>
  <c r="Q44" i="29"/>
  <c r="Q42" i="29"/>
  <c r="Q41" i="29"/>
  <c r="Q40" i="29"/>
  <c r="Q39" i="29"/>
  <c r="Q38" i="29"/>
  <c r="Q36" i="29"/>
  <c r="Q35" i="29"/>
  <c r="Q34" i="29"/>
  <c r="Q33" i="29"/>
  <c r="Q32" i="29"/>
  <c r="Q30" i="29"/>
  <c r="Q29" i="29"/>
  <c r="Q28" i="29"/>
  <c r="Q27" i="29"/>
  <c r="Q26" i="29"/>
  <c r="Q24" i="29"/>
  <c r="Q23" i="29"/>
  <c r="Q22" i="29"/>
  <c r="Q21" i="29"/>
  <c r="Q20" i="29"/>
  <c r="Q18" i="29"/>
  <c r="Q17" i="29"/>
  <c r="Q16" i="29"/>
  <c r="Q15" i="29"/>
  <c r="Q14" i="29"/>
  <c r="Q12" i="29"/>
  <c r="BS55" i="23" l="1"/>
  <c r="C170" i="14" l="1"/>
  <c r="G460" i="1" l="1"/>
  <c r="C136" i="14" l="1"/>
  <c r="C315" i="12" l="1"/>
  <c r="C309" i="12"/>
  <c r="C144" i="10"/>
  <c r="D143" i="10"/>
  <c r="D142" i="10"/>
  <c r="D141" i="10"/>
  <c r="D140" i="10"/>
  <c r="D139" i="10"/>
  <c r="D138" i="10"/>
  <c r="D137" i="10"/>
  <c r="D136" i="10"/>
  <c r="D135" i="10"/>
  <c r="D134" i="10"/>
  <c r="D133" i="10"/>
  <c r="D132" i="10"/>
  <c r="D131" i="10"/>
  <c r="D130" i="10"/>
  <c r="C110" i="10"/>
  <c r="D109" i="10"/>
  <c r="D108" i="10"/>
  <c r="D107" i="10"/>
  <c r="D106" i="10"/>
  <c r="D105" i="10"/>
  <c r="D104" i="10"/>
  <c r="D103" i="10"/>
  <c r="D102" i="10"/>
  <c r="D101" i="10"/>
  <c r="D100" i="10"/>
  <c r="D99" i="10"/>
  <c r="D98" i="10"/>
  <c r="D97" i="10"/>
  <c r="D96" i="10"/>
  <c r="D58" i="8"/>
  <c r="D110" i="10" l="1"/>
  <c r="D144" i="10"/>
  <c r="M37" i="1" l="1"/>
  <c r="L37" i="1"/>
  <c r="K37" i="1"/>
  <c r="J37" i="1"/>
  <c r="I37" i="1"/>
  <c r="H37" i="1"/>
  <c r="O454" i="1" l="1"/>
  <c r="E64" i="18" s="1"/>
  <c r="O443" i="1"/>
  <c r="E53" i="18" s="1"/>
  <c r="O475" i="1" l="1"/>
  <c r="E82" i="18" s="1"/>
  <c r="Q443" i="1"/>
  <c r="Q454" i="1" l="1"/>
  <c r="Q475" i="1"/>
  <c r="C56" i="17" l="1"/>
  <c r="C53" i="17"/>
  <c r="C243" i="14" l="1"/>
  <c r="C242" i="14"/>
  <c r="C240" i="14"/>
  <c r="C234" i="14"/>
  <c r="C110" i="14"/>
  <c r="M39" i="8"/>
  <c r="D1" i="30" l="1"/>
  <c r="O179" i="1" l="1"/>
  <c r="Q179" i="1" s="1"/>
  <c r="O155" i="1"/>
  <c r="Q155" i="1" s="1"/>
  <c r="E152" i="25" l="1"/>
  <c r="F495" i="1"/>
  <c r="B145" i="10"/>
  <c r="B144" i="10"/>
  <c r="M21" i="10"/>
  <c r="B53" i="17"/>
  <c r="E53" i="17" s="1"/>
  <c r="F53" i="17" s="1"/>
  <c r="F21" i="10"/>
  <c r="F130" i="10" s="1"/>
  <c r="E21" i="10"/>
  <c r="G21" i="10" s="1"/>
  <c r="E176" i="25" l="1"/>
  <c r="G64" i="18"/>
  <c r="I64" i="18" s="1"/>
  <c r="K64" i="18" s="1"/>
  <c r="G53" i="18"/>
  <c r="I53" i="18" s="1"/>
  <c r="K53" i="18" s="1"/>
  <c r="N505" i="2"/>
  <c r="N492" i="2"/>
  <c r="N479" i="2"/>
  <c r="N464" i="2"/>
  <c r="N446" i="2"/>
  <c r="N441" i="2"/>
  <c r="N428" i="2"/>
  <c r="N417" i="2"/>
  <c r="N412" i="2"/>
  <c r="N378" i="2"/>
  <c r="N368" i="2"/>
  <c r="N366" i="2"/>
  <c r="N357" i="2"/>
  <c r="N349" i="2"/>
  <c r="N344" i="2"/>
  <c r="N351" i="2" s="1"/>
  <c r="N335" i="2"/>
  <c r="N324" i="2"/>
  <c r="N319" i="2"/>
  <c r="N306" i="2"/>
  <c r="N302" i="2"/>
  <c r="N282" i="2"/>
  <c r="N262" i="2"/>
  <c r="N254" i="2"/>
  <c r="N244" i="2"/>
  <c r="N235" i="2"/>
  <c r="N383" i="2" s="1"/>
  <c r="N226" i="2"/>
  <c r="N217" i="2"/>
  <c r="N219" i="2" s="1"/>
  <c r="N208" i="2"/>
  <c r="N200" i="2"/>
  <c r="N167" i="2"/>
  <c r="N521" i="2" s="1"/>
  <c r="N154" i="2"/>
  <c r="N141" i="2"/>
  <c r="N130" i="2"/>
  <c r="N117" i="2"/>
  <c r="N113" i="2"/>
  <c r="N107" i="2"/>
  <c r="N73" i="2"/>
  <c r="N69" i="2"/>
  <c r="N62" i="2"/>
  <c r="N54" i="2"/>
  <c r="N44" i="2"/>
  <c r="N40" i="2"/>
  <c r="N33" i="2"/>
  <c r="N28" i="2"/>
  <c r="N365" i="2" l="1"/>
  <c r="N369" i="2"/>
  <c r="N169" i="2"/>
  <c r="N78" i="2"/>
  <c r="N326" i="2"/>
  <c r="N264" i="2"/>
  <c r="N308" i="2"/>
  <c r="N507" i="2"/>
  <c r="N509" i="2" s="1"/>
  <c r="N246" i="2"/>
  <c r="N248" i="2" s="1"/>
  <c r="N143" i="2"/>
  <c r="N56" i="2"/>
  <c r="N171" i="2" l="1"/>
  <c r="N175" i="2" s="1"/>
  <c r="N359" i="2"/>
  <c r="N80" i="2"/>
  <c r="N84" i="2" s="1"/>
  <c r="N201" i="2" s="1"/>
  <c r="N380" i="2"/>
  <c r="N448" i="2" s="1"/>
  <c r="N449" i="2" s="1"/>
  <c r="N266" i="2"/>
  <c r="N273" i="2" s="1"/>
  <c r="N275" i="2" s="1"/>
  <c r="N276" i="2" s="1"/>
  <c r="N361" i="2" l="1"/>
  <c r="N370" i="2"/>
  <c r="M65" i="8"/>
  <c r="M62" i="8" l="1"/>
  <c r="M66" i="8"/>
  <c r="M64" i="8"/>
  <c r="M63" i="8"/>
  <c r="A42" i="8"/>
  <c r="M41" i="8"/>
  <c r="M40" i="8"/>
  <c r="M38" i="8"/>
  <c r="M37" i="8"/>
  <c r="C324" i="14" l="1"/>
  <c r="C331" i="14"/>
  <c r="C336" i="14"/>
  <c r="C333" i="14"/>
  <c r="C335" i="14"/>
  <c r="C325" i="14"/>
  <c r="C339" i="14" l="1"/>
  <c r="C334" i="14"/>
  <c r="C321" i="14"/>
  <c r="C319" i="14"/>
  <c r="C318" i="14"/>
  <c r="C313" i="14"/>
  <c r="C91" i="14" l="1"/>
  <c r="C52" i="14" l="1"/>
  <c r="C257" i="14" l="1"/>
  <c r="C239" i="14"/>
  <c r="C238" i="14"/>
  <c r="P111" i="29" l="1"/>
  <c r="P110" i="29"/>
  <c r="P109" i="29"/>
  <c r="P108" i="29"/>
  <c r="P107" i="29"/>
  <c r="P105" i="29"/>
  <c r="P104" i="29"/>
  <c r="P103" i="29"/>
  <c r="P102" i="29"/>
  <c r="P101" i="29"/>
  <c r="P99" i="29"/>
  <c r="P98" i="29"/>
  <c r="P97" i="29"/>
  <c r="P96" i="29"/>
  <c r="P95" i="29"/>
  <c r="P93" i="29"/>
  <c r="P91" i="29"/>
  <c r="P90" i="29"/>
  <c r="P89" i="29"/>
  <c r="P88" i="29"/>
  <c r="P87" i="29"/>
  <c r="P85" i="29"/>
  <c r="P84" i="29"/>
  <c r="P83" i="29"/>
  <c r="P82" i="29"/>
  <c r="P81" i="29"/>
  <c r="P79" i="29"/>
  <c r="P78" i="29"/>
  <c r="P77" i="29"/>
  <c r="P76" i="29"/>
  <c r="P75" i="29"/>
  <c r="P74" i="29"/>
  <c r="P72" i="29"/>
  <c r="P71" i="29"/>
  <c r="P70" i="29"/>
  <c r="P69" i="29"/>
  <c r="P68" i="29"/>
  <c r="P66" i="29"/>
  <c r="P65" i="29"/>
  <c r="P64" i="29"/>
  <c r="P63" i="29"/>
  <c r="P62" i="29"/>
  <c r="P60" i="29"/>
  <c r="P59" i="29"/>
  <c r="P58" i="29"/>
  <c r="P57" i="29"/>
  <c r="P56" i="29"/>
  <c r="P54" i="29"/>
  <c r="P53" i="29"/>
  <c r="P52" i="29"/>
  <c r="P51" i="29"/>
  <c r="P50" i="29"/>
  <c r="P48" i="29"/>
  <c r="P47" i="29"/>
  <c r="P46" i="29"/>
  <c r="P45" i="29"/>
  <c r="P44" i="29"/>
  <c r="P42" i="29"/>
  <c r="P41" i="29"/>
  <c r="P40" i="29"/>
  <c r="P39" i="29"/>
  <c r="P38" i="29"/>
  <c r="P36" i="29"/>
  <c r="P35" i="29"/>
  <c r="P34" i="29"/>
  <c r="P33" i="29"/>
  <c r="P32" i="29"/>
  <c r="P30" i="29"/>
  <c r="P29" i="29"/>
  <c r="P28" i="29"/>
  <c r="P27" i="29"/>
  <c r="P26" i="29"/>
  <c r="P24" i="29"/>
  <c r="P23" i="29"/>
  <c r="P22" i="29"/>
  <c r="P21" i="29"/>
  <c r="P20" i="29"/>
  <c r="P18" i="29"/>
  <c r="P17" i="29"/>
  <c r="P16" i="29"/>
  <c r="P15" i="29"/>
  <c r="P14" i="29"/>
  <c r="P12" i="29"/>
  <c r="C6" i="29"/>
  <c r="C5" i="29"/>
  <c r="C4" i="29"/>
  <c r="C3" i="29"/>
  <c r="C2" i="29"/>
  <c r="BA63" i="23" l="1"/>
  <c r="C73" i="12" l="1"/>
  <c r="C75" i="14" l="1"/>
  <c r="A35" i="8" l="1"/>
  <c r="A21" i="8"/>
  <c r="C326" i="12" l="1"/>
  <c r="C325" i="12"/>
  <c r="C324" i="12"/>
  <c r="C323" i="12"/>
  <c r="C335" i="12"/>
  <c r="C329" i="12"/>
  <c r="A291" i="12" l="1"/>
  <c r="A280" i="12" l="1"/>
  <c r="BS14" i="23" l="1"/>
  <c r="BS15" i="23"/>
  <c r="BS16" i="23"/>
  <c r="BS17" i="23"/>
  <c r="BS18" i="23"/>
  <c r="BS22" i="23"/>
  <c r="BS23" i="23"/>
  <c r="BS24" i="23"/>
  <c r="BS26" i="23"/>
  <c r="BS27" i="23"/>
  <c r="BS28" i="23"/>
  <c r="BS29" i="23"/>
  <c r="BS30" i="23"/>
  <c r="BS31" i="23"/>
  <c r="BS32" i="23"/>
  <c r="BS33" i="23"/>
  <c r="BS34" i="23"/>
  <c r="BS35" i="23"/>
  <c r="BS36" i="23"/>
  <c r="BS37" i="23"/>
  <c r="BS38" i="23"/>
  <c r="BS39" i="23"/>
  <c r="BS40" i="23"/>
  <c r="BS41" i="23"/>
  <c r="BS42" i="23"/>
  <c r="BS43" i="23"/>
  <c r="BS46" i="23"/>
  <c r="BS45" i="23"/>
  <c r="BS47" i="23"/>
  <c r="BS48" i="23"/>
  <c r="BS49" i="23"/>
  <c r="BS50" i="23"/>
  <c r="BS51" i="23"/>
  <c r="BS52" i="23"/>
  <c r="BS57" i="23"/>
  <c r="BS58" i="23"/>
  <c r="BS59" i="23"/>
  <c r="BS60" i="23"/>
  <c r="BS61" i="23"/>
  <c r="BS62" i="23"/>
  <c r="AI105" i="29" l="1"/>
  <c r="Z105" i="29"/>
  <c r="Y105" i="29"/>
  <c r="AG105" i="29" s="1"/>
  <c r="AI104" i="29"/>
  <c r="Z104" i="29"/>
  <c r="Y104" i="29"/>
  <c r="AG104" i="29" s="1"/>
  <c r="AI103" i="29"/>
  <c r="Z103" i="29"/>
  <c r="Y103" i="29"/>
  <c r="AG103" i="29" s="1"/>
  <c r="AI102" i="29"/>
  <c r="Z102" i="29"/>
  <c r="Y102" i="29"/>
  <c r="AF102" i="29" s="1"/>
  <c r="AI101" i="29"/>
  <c r="Z101" i="29"/>
  <c r="Y101" i="29"/>
  <c r="Y107" i="29"/>
  <c r="AG107" i="29" s="1"/>
  <c r="Z107" i="29"/>
  <c r="AI107" i="29"/>
  <c r="Y108" i="29"/>
  <c r="AF108" i="29" s="1"/>
  <c r="Z108" i="29"/>
  <c r="AI108" i="29"/>
  <c r="Y109" i="29"/>
  <c r="AF109" i="29" s="1"/>
  <c r="Z109" i="29"/>
  <c r="AI109" i="29"/>
  <c r="Y110" i="29"/>
  <c r="AF110" i="29" s="1"/>
  <c r="AH110" i="29" s="1"/>
  <c r="Z110" i="29"/>
  <c r="AI110" i="29"/>
  <c r="AF104" i="29" l="1"/>
  <c r="AG102" i="29"/>
  <c r="AH108" i="29"/>
  <c r="AF101" i="29"/>
  <c r="AH101" i="29" s="1"/>
  <c r="AF107" i="29"/>
  <c r="AH107" i="29" s="1"/>
  <c r="AH102" i="29"/>
  <c r="AH104" i="29"/>
  <c r="AF105" i="29"/>
  <c r="AH105" i="29" s="1"/>
  <c r="AG108" i="29"/>
  <c r="AG101" i="29"/>
  <c r="AF103" i="29"/>
  <c r="AH103" i="29" s="1"/>
  <c r="AH109" i="29"/>
  <c r="AG109" i="29"/>
  <c r="AG110" i="29"/>
  <c r="Z111" i="29" l="1"/>
  <c r="Z99" i="29"/>
  <c r="Z98" i="29"/>
  <c r="Z97" i="29"/>
  <c r="Z96" i="29"/>
  <c r="Z95" i="29"/>
  <c r="Z93" i="29"/>
  <c r="Z91" i="29"/>
  <c r="Z90" i="29"/>
  <c r="Z89" i="29"/>
  <c r="Z88" i="29"/>
  <c r="Z87" i="29"/>
  <c r="Z85" i="29"/>
  <c r="Z84" i="29"/>
  <c r="Z83" i="29"/>
  <c r="Z82" i="29"/>
  <c r="Z81" i="29"/>
  <c r="Z79" i="29"/>
  <c r="Z78" i="29"/>
  <c r="Z77" i="29"/>
  <c r="Z76" i="29"/>
  <c r="Z75" i="29"/>
  <c r="Z74" i="29"/>
  <c r="Z72" i="29"/>
  <c r="Z71" i="29"/>
  <c r="Z70" i="29"/>
  <c r="Z69" i="29"/>
  <c r="Z68" i="29"/>
  <c r="Z66" i="29"/>
  <c r="Z65" i="29"/>
  <c r="Z64" i="29"/>
  <c r="Z63" i="29"/>
  <c r="Z62" i="29"/>
  <c r="Z60" i="29"/>
  <c r="Z59" i="29"/>
  <c r="Z58" i="29"/>
  <c r="Z57" i="29"/>
  <c r="Z56" i="29"/>
  <c r="Z54" i="29"/>
  <c r="Z53" i="29"/>
  <c r="Z52" i="29"/>
  <c r="Z51" i="29"/>
  <c r="Z50" i="29"/>
  <c r="Z48" i="29"/>
  <c r="Z47" i="29"/>
  <c r="Z46" i="29"/>
  <c r="Z45" i="29"/>
  <c r="Z44" i="29"/>
  <c r="Z42" i="29"/>
  <c r="Z41" i="29"/>
  <c r="Z40" i="29"/>
  <c r="Z39" i="29"/>
  <c r="Z38" i="29"/>
  <c r="Z36" i="29"/>
  <c r="Z35" i="29"/>
  <c r="Z34" i="29"/>
  <c r="Z33" i="29"/>
  <c r="Z32" i="29"/>
  <c r="Z30" i="29"/>
  <c r="Z29" i="29"/>
  <c r="Z28" i="29"/>
  <c r="Z27" i="29"/>
  <c r="Z26" i="29"/>
  <c r="Z24" i="29"/>
  <c r="Z23" i="29"/>
  <c r="Z22" i="29"/>
  <c r="Z21" i="29"/>
  <c r="Z20" i="29"/>
  <c r="Z18" i="29"/>
  <c r="Z17" i="29"/>
  <c r="Z16" i="29"/>
  <c r="Z15" i="29"/>
  <c r="Z14" i="29"/>
  <c r="Z12" i="29"/>
  <c r="C341" i="14" l="1"/>
  <c r="C332" i="14" l="1"/>
  <c r="C55" i="14"/>
  <c r="B38" i="16" l="1"/>
  <c r="B37" i="16"/>
  <c r="B36" i="16"/>
  <c r="B35" i="16"/>
  <c r="B34" i="16"/>
  <c r="B33" i="16"/>
  <c r="B32" i="16"/>
  <c r="B31" i="16"/>
  <c r="B20" i="16"/>
  <c r="B19" i="16"/>
  <c r="B18" i="16"/>
  <c r="B17" i="16"/>
  <c r="B16" i="16"/>
  <c r="B15" i="16"/>
  <c r="B14" i="16"/>
  <c r="B13" i="16"/>
  <c r="C129" i="14"/>
  <c r="C71" i="14"/>
  <c r="B287" i="12" l="1"/>
  <c r="B276" i="12"/>
  <c r="AI14" i="29"/>
  <c r="AI15" i="29"/>
  <c r="AI16" i="29"/>
  <c r="AI17" i="29"/>
  <c r="AI18" i="29"/>
  <c r="AI20" i="29"/>
  <c r="AI21" i="29"/>
  <c r="AI22" i="29"/>
  <c r="AI23" i="29"/>
  <c r="AI24" i="29"/>
  <c r="AI26" i="29"/>
  <c r="AI27" i="29"/>
  <c r="AI28" i="29"/>
  <c r="AI29" i="29"/>
  <c r="AI30" i="29"/>
  <c r="AI32" i="29"/>
  <c r="AI33" i="29"/>
  <c r="AI34" i="29"/>
  <c r="AI35" i="29"/>
  <c r="AI36" i="29"/>
  <c r="AI38" i="29"/>
  <c r="AI39" i="29"/>
  <c r="AI40" i="29"/>
  <c r="AI41" i="29"/>
  <c r="AI42" i="29"/>
  <c r="AI44" i="29"/>
  <c r="AI45" i="29"/>
  <c r="AI46" i="29"/>
  <c r="AI47" i="29"/>
  <c r="AI48" i="29"/>
  <c r="AI50" i="29"/>
  <c r="AI51" i="29"/>
  <c r="AI52" i="29"/>
  <c r="AI53" i="29"/>
  <c r="AI54" i="29"/>
  <c r="AI56" i="29"/>
  <c r="AI57" i="29"/>
  <c r="AI58" i="29"/>
  <c r="AI59" i="29"/>
  <c r="AI60" i="29"/>
  <c r="AI62" i="29"/>
  <c r="AI63" i="29"/>
  <c r="AI64" i="29"/>
  <c r="AI65" i="29"/>
  <c r="AI66" i="29"/>
  <c r="AI68" i="29"/>
  <c r="AI69" i="29"/>
  <c r="AI70" i="29"/>
  <c r="AI71" i="29"/>
  <c r="AI72" i="29"/>
  <c r="AI74" i="29"/>
  <c r="AI75" i="29"/>
  <c r="AI76" i="29"/>
  <c r="AI77" i="29"/>
  <c r="AI78" i="29"/>
  <c r="AI79" i="29"/>
  <c r="AI81" i="29"/>
  <c r="AI82" i="29"/>
  <c r="AI83" i="29"/>
  <c r="AI84" i="29"/>
  <c r="AI85" i="29"/>
  <c r="AI87" i="29"/>
  <c r="AI88" i="29"/>
  <c r="AI89" i="29"/>
  <c r="AI90" i="29"/>
  <c r="AI91" i="29"/>
  <c r="AI93" i="29"/>
  <c r="AI95" i="29"/>
  <c r="AI96" i="29"/>
  <c r="AI97" i="29"/>
  <c r="AI98" i="29"/>
  <c r="AI99" i="29"/>
  <c r="AI111" i="29"/>
  <c r="AI113" i="29"/>
  <c r="AI114" i="29"/>
  <c r="AI115" i="29"/>
  <c r="AI116" i="29"/>
  <c r="AI117" i="29"/>
  <c r="AI119" i="29"/>
  <c r="AI120" i="29"/>
  <c r="AI121" i="29"/>
  <c r="AI122" i="29"/>
  <c r="AI123" i="29"/>
  <c r="AI125" i="29"/>
  <c r="AI126" i="29"/>
  <c r="AI127" i="29"/>
  <c r="AI128" i="29"/>
  <c r="AI129" i="29"/>
  <c r="AI137" i="29"/>
  <c r="AI138" i="29"/>
  <c r="AI139" i="29"/>
  <c r="AI140" i="29"/>
  <c r="AI141" i="29"/>
  <c r="AI143" i="29"/>
  <c r="AI144" i="29"/>
  <c r="AI145" i="29"/>
  <c r="AI146" i="29"/>
  <c r="AI147" i="29"/>
  <c r="AI148" i="29"/>
  <c r="AI150" i="29"/>
  <c r="AI151" i="29"/>
  <c r="AI152" i="29"/>
  <c r="AI153" i="29"/>
  <c r="AI154" i="29"/>
  <c r="AI12" i="29"/>
  <c r="Y154" i="29"/>
  <c r="Y153" i="29"/>
  <c r="Y152" i="29"/>
  <c r="Y151" i="29"/>
  <c r="Y150" i="29"/>
  <c r="Y148" i="29"/>
  <c r="Y147" i="29"/>
  <c r="Y146" i="29"/>
  <c r="Y145" i="29"/>
  <c r="Y144" i="29"/>
  <c r="Y143" i="29"/>
  <c r="Y141" i="29"/>
  <c r="Y140" i="29"/>
  <c r="Y139" i="29"/>
  <c r="Y138" i="29"/>
  <c r="Y137" i="29"/>
  <c r="Y129" i="29"/>
  <c r="Y128" i="29"/>
  <c r="Y127" i="29"/>
  <c r="Y126" i="29"/>
  <c r="Y125" i="29"/>
  <c r="AG125" i="29" s="1"/>
  <c r="Y123" i="29"/>
  <c r="AG123" i="29" s="1"/>
  <c r="Y122" i="29"/>
  <c r="AG122" i="29" s="1"/>
  <c r="Y121" i="29"/>
  <c r="AG121" i="29" s="1"/>
  <c r="Y120" i="29"/>
  <c r="AG120" i="29" s="1"/>
  <c r="Y119" i="29"/>
  <c r="AG119" i="29" s="1"/>
  <c r="Y117" i="29"/>
  <c r="AG117" i="29" s="1"/>
  <c r="Y116" i="29"/>
  <c r="AG116" i="29" s="1"/>
  <c r="Y115" i="29"/>
  <c r="AG115" i="29" s="1"/>
  <c r="Y114" i="29"/>
  <c r="AG114" i="29" s="1"/>
  <c r="Y113" i="29"/>
  <c r="AG113" i="29" s="1"/>
  <c r="Y111" i="29"/>
  <c r="Y99" i="29"/>
  <c r="AG99" i="29" s="1"/>
  <c r="Y98" i="29"/>
  <c r="Y97" i="29"/>
  <c r="AG97" i="29" s="1"/>
  <c r="Y96" i="29"/>
  <c r="Y95" i="29"/>
  <c r="AG95" i="29" s="1"/>
  <c r="Y93" i="29"/>
  <c r="Y91" i="29"/>
  <c r="AG91" i="29" s="1"/>
  <c r="Y90" i="29"/>
  <c r="Y89" i="29"/>
  <c r="AG89" i="29" s="1"/>
  <c r="Y88" i="29"/>
  <c r="Y87" i="29"/>
  <c r="AG87" i="29" s="1"/>
  <c r="Y85" i="29"/>
  <c r="Y84" i="29"/>
  <c r="AG84" i="29" s="1"/>
  <c r="Y83" i="29"/>
  <c r="Y82" i="29"/>
  <c r="AG82" i="29" s="1"/>
  <c r="Y81" i="29"/>
  <c r="Y79" i="29"/>
  <c r="Y78" i="29"/>
  <c r="AG78" i="29" s="1"/>
  <c r="Y77" i="29"/>
  <c r="Y76" i="29"/>
  <c r="AG76" i="29" s="1"/>
  <c r="Y75" i="29"/>
  <c r="Y74" i="29"/>
  <c r="AG74" i="29" s="1"/>
  <c r="Y72" i="29"/>
  <c r="Y71" i="29"/>
  <c r="AG71" i="29" s="1"/>
  <c r="Y70" i="29"/>
  <c r="Y69" i="29"/>
  <c r="AG69" i="29" s="1"/>
  <c r="Y68" i="29"/>
  <c r="Y66" i="29"/>
  <c r="AG66" i="29" s="1"/>
  <c r="Y65" i="29"/>
  <c r="Y64" i="29"/>
  <c r="AG64" i="29" s="1"/>
  <c r="Y63" i="29"/>
  <c r="AG63" i="29" s="1"/>
  <c r="Y62" i="29"/>
  <c r="Y60" i="29"/>
  <c r="AG60" i="29" s="1"/>
  <c r="Y59" i="29"/>
  <c r="Y58" i="29"/>
  <c r="AG58" i="29" s="1"/>
  <c r="Y57" i="29"/>
  <c r="Y56" i="29"/>
  <c r="AG56" i="29" s="1"/>
  <c r="Y54" i="29"/>
  <c r="Y53" i="29"/>
  <c r="AG53" i="29" s="1"/>
  <c r="Y52" i="29"/>
  <c r="Y51" i="29"/>
  <c r="AG51" i="29" s="1"/>
  <c r="Y50" i="29"/>
  <c r="Y48" i="29"/>
  <c r="AG48" i="29" s="1"/>
  <c r="Y47" i="29"/>
  <c r="Y46" i="29"/>
  <c r="AG46" i="29" s="1"/>
  <c r="Y45" i="29"/>
  <c r="Y44" i="29"/>
  <c r="AG44" i="29" s="1"/>
  <c r="Y42" i="29"/>
  <c r="Y41" i="29"/>
  <c r="AG41" i="29" s="1"/>
  <c r="Y40" i="29"/>
  <c r="Y39" i="29"/>
  <c r="AG39" i="29" s="1"/>
  <c r="Y38" i="29"/>
  <c r="Y36" i="29"/>
  <c r="AG36" i="29" s="1"/>
  <c r="Y35" i="29"/>
  <c r="Y34" i="29"/>
  <c r="AG34" i="29" s="1"/>
  <c r="Y33" i="29"/>
  <c r="Y32" i="29"/>
  <c r="AG32" i="29" s="1"/>
  <c r="Y30" i="29"/>
  <c r="AG30" i="29" s="1"/>
  <c r="Y29" i="29"/>
  <c r="Y28" i="29"/>
  <c r="AG28" i="29" s="1"/>
  <c r="Y27" i="29"/>
  <c r="Y26" i="29"/>
  <c r="AG26" i="29" s="1"/>
  <c r="Y24" i="29"/>
  <c r="Y23" i="29"/>
  <c r="AG23" i="29" s="1"/>
  <c r="Y22" i="29"/>
  <c r="Y21" i="29"/>
  <c r="AG21" i="29" s="1"/>
  <c r="Y20" i="29"/>
  <c r="Y18" i="29"/>
  <c r="AG18" i="29" s="1"/>
  <c r="Y17" i="29"/>
  <c r="Y16" i="29"/>
  <c r="AG16" i="29" s="1"/>
  <c r="Y15" i="29"/>
  <c r="Y14" i="29"/>
  <c r="AG14" i="29" s="1"/>
  <c r="Y12" i="29"/>
  <c r="AF40" i="29" l="1"/>
  <c r="AG40" i="29"/>
  <c r="AF77" i="29"/>
  <c r="AG77" i="29"/>
  <c r="AF143" i="29"/>
  <c r="AG143" i="29"/>
  <c r="AF35" i="29"/>
  <c r="AH35" i="29" s="1"/>
  <c r="AG35" i="29"/>
  <c r="AF38" i="29"/>
  <c r="AG38" i="29"/>
  <c r="AF47" i="29"/>
  <c r="AH47" i="29" s="1"/>
  <c r="AG47" i="29"/>
  <c r="AF57" i="29"/>
  <c r="AG57" i="29"/>
  <c r="AF75" i="29"/>
  <c r="AH75" i="29" s="1"/>
  <c r="AG75" i="29"/>
  <c r="AF140" i="29"/>
  <c r="AG140" i="29"/>
  <c r="AF150" i="29"/>
  <c r="AG150" i="29"/>
  <c r="AF29" i="29"/>
  <c r="AG29" i="29"/>
  <c r="AF68" i="29"/>
  <c r="AH68" i="29" s="1"/>
  <c r="AG68" i="29"/>
  <c r="AF141" i="29"/>
  <c r="AG141" i="29"/>
  <c r="AF127" i="29"/>
  <c r="AG127" i="29"/>
  <c r="AF22" i="29"/>
  <c r="AG22" i="29"/>
  <c r="AF88" i="29"/>
  <c r="AH88" i="29" s="1"/>
  <c r="AG88" i="29"/>
  <c r="AF98" i="29"/>
  <c r="AG98" i="29"/>
  <c r="AF128" i="29"/>
  <c r="AG128" i="29"/>
  <c r="AF144" i="29"/>
  <c r="AG144" i="29"/>
  <c r="AF153" i="29"/>
  <c r="AG153" i="29"/>
  <c r="AF96" i="29"/>
  <c r="AG96" i="29"/>
  <c r="AF50" i="29"/>
  <c r="AH50" i="29" s="1"/>
  <c r="AG50" i="29"/>
  <c r="AF15" i="29"/>
  <c r="AG15" i="29"/>
  <c r="AF33" i="29"/>
  <c r="AH33" i="29" s="1"/>
  <c r="AG33" i="29"/>
  <c r="AF42" i="29"/>
  <c r="AG42" i="29"/>
  <c r="AF52" i="29"/>
  <c r="AH52" i="29" s="1"/>
  <c r="AG52" i="29"/>
  <c r="AF62" i="29"/>
  <c r="AH62" i="29" s="1"/>
  <c r="AG62" i="29"/>
  <c r="AF70" i="29"/>
  <c r="AH70" i="29" s="1"/>
  <c r="AG70" i="29"/>
  <c r="AF79" i="29"/>
  <c r="AG79" i="29"/>
  <c r="AF129" i="29"/>
  <c r="AG129" i="29"/>
  <c r="AF145" i="29"/>
  <c r="AG145" i="29"/>
  <c r="AF154" i="29"/>
  <c r="AG154" i="29"/>
  <c r="AF126" i="29"/>
  <c r="AG126" i="29"/>
  <c r="AF152" i="29"/>
  <c r="AG152" i="29"/>
  <c r="AF90" i="29"/>
  <c r="AH90" i="29" s="1"/>
  <c r="AG90" i="29"/>
  <c r="AF111" i="29"/>
  <c r="AH111" i="29" s="1"/>
  <c r="AG111" i="29"/>
  <c r="AF137" i="29"/>
  <c r="AG137" i="29"/>
  <c r="AF146" i="29"/>
  <c r="AG146" i="29"/>
  <c r="AF20" i="29"/>
  <c r="AG20" i="29"/>
  <c r="AF59" i="29"/>
  <c r="AH59" i="29" s="1"/>
  <c r="AG59" i="29"/>
  <c r="AF45" i="29"/>
  <c r="AG45" i="29"/>
  <c r="AF54" i="29"/>
  <c r="AH54" i="29" s="1"/>
  <c r="AG54" i="29"/>
  <c r="AF72" i="29"/>
  <c r="AH72" i="29" s="1"/>
  <c r="AG72" i="29"/>
  <c r="AF138" i="29"/>
  <c r="AG138" i="29"/>
  <c r="AF147" i="29"/>
  <c r="AG147" i="29"/>
  <c r="AF151" i="29"/>
  <c r="AG151" i="29"/>
  <c r="AF24" i="29"/>
  <c r="AH24" i="29" s="1"/>
  <c r="AG24" i="29"/>
  <c r="AF17" i="29"/>
  <c r="AH17" i="29" s="1"/>
  <c r="AG17" i="29"/>
  <c r="AF27" i="29"/>
  <c r="AG27" i="29"/>
  <c r="AF65" i="29"/>
  <c r="AG65" i="29"/>
  <c r="AF93" i="29"/>
  <c r="AG93" i="29"/>
  <c r="AF139" i="29"/>
  <c r="AG139" i="29"/>
  <c r="AF148" i="29"/>
  <c r="AG148" i="29"/>
  <c r="AF12" i="29"/>
  <c r="AH12" i="29" s="1"/>
  <c r="AG12" i="29"/>
  <c r="AF85" i="29"/>
  <c r="AG85" i="29"/>
  <c r="AF81" i="29"/>
  <c r="AH81" i="29" s="1"/>
  <c r="AG81" i="29"/>
  <c r="AF83" i="29"/>
  <c r="AG83" i="29"/>
  <c r="AH45" i="29"/>
  <c r="AH22" i="29"/>
  <c r="AH27" i="29"/>
  <c r="AH40" i="29"/>
  <c r="AH79" i="29"/>
  <c r="AH98" i="29"/>
  <c r="AF114" i="29"/>
  <c r="AF116" i="29"/>
  <c r="AF119" i="29"/>
  <c r="AF121" i="29"/>
  <c r="AF123" i="29"/>
  <c r="AH65" i="29"/>
  <c r="AH83" i="29"/>
  <c r="AH93" i="29"/>
  <c r="AF113" i="29"/>
  <c r="AF115" i="29"/>
  <c r="AF117" i="29"/>
  <c r="AF120" i="29"/>
  <c r="AF122" i="29"/>
  <c r="AF125" i="29"/>
  <c r="AH15" i="29"/>
  <c r="AH20" i="29"/>
  <c r="AH29" i="29"/>
  <c r="AH38" i="29"/>
  <c r="AH42" i="29"/>
  <c r="AH57" i="29"/>
  <c r="AF14" i="29"/>
  <c r="AH14" i="29" s="1"/>
  <c r="AF16" i="29"/>
  <c r="AH16" i="29" s="1"/>
  <c r="AF18" i="29"/>
  <c r="AH18" i="29" s="1"/>
  <c r="AF21" i="29"/>
  <c r="AH21" i="29" s="1"/>
  <c r="AF64" i="29"/>
  <c r="AH64" i="29" s="1"/>
  <c r="AH77" i="29"/>
  <c r="AH85" i="29"/>
  <c r="AH96" i="29"/>
  <c r="AF23" i="29"/>
  <c r="AH23" i="29" s="1"/>
  <c r="AF26" i="29"/>
  <c r="AH26" i="29" s="1"/>
  <c r="AF28" i="29"/>
  <c r="AH28" i="29" s="1"/>
  <c r="AF30" i="29"/>
  <c r="AH30" i="29" s="1"/>
  <c r="AF32" i="29"/>
  <c r="AH32" i="29" s="1"/>
  <c r="AF34" i="29"/>
  <c r="AH34" i="29" s="1"/>
  <c r="AF36" i="29"/>
  <c r="AH36" i="29" s="1"/>
  <c r="AF39" i="29"/>
  <c r="AH39" i="29" s="1"/>
  <c r="AF41" i="29"/>
  <c r="AH41" i="29" s="1"/>
  <c r="AF44" i="29"/>
  <c r="AH44" i="29" s="1"/>
  <c r="AF46" i="29"/>
  <c r="AH46" i="29" s="1"/>
  <c r="AF48" i="29"/>
  <c r="AH48" i="29" s="1"/>
  <c r="AF51" i="29"/>
  <c r="AH51" i="29" s="1"/>
  <c r="AF53" i="29"/>
  <c r="AH53" i="29" s="1"/>
  <c r="AF56" i="29"/>
  <c r="AH56" i="29" s="1"/>
  <c r="AF58" i="29"/>
  <c r="AH58" i="29" s="1"/>
  <c r="AF60" i="29"/>
  <c r="AH60" i="29" s="1"/>
  <c r="AF63" i="29"/>
  <c r="AH63" i="29" s="1"/>
  <c r="AF66" i="29"/>
  <c r="AH66" i="29" s="1"/>
  <c r="AF69" i="29"/>
  <c r="AH69" i="29" s="1"/>
  <c r="AF71" i="29"/>
  <c r="AH71" i="29" s="1"/>
  <c r="AF74" i="29"/>
  <c r="AH74" i="29" s="1"/>
  <c r="AF76" i="29"/>
  <c r="AH76" i="29" s="1"/>
  <c r="AF78" i="29"/>
  <c r="AH78" i="29" s="1"/>
  <c r="AF82" i="29"/>
  <c r="AH82" i="29" s="1"/>
  <c r="AF84" i="29"/>
  <c r="AH84" i="29" s="1"/>
  <c r="AF87" i="29"/>
  <c r="AH87" i="29" s="1"/>
  <c r="AF89" i="29"/>
  <c r="AH89" i="29" s="1"/>
  <c r="AF91" i="29"/>
  <c r="AH91" i="29" s="1"/>
  <c r="AF95" i="29"/>
  <c r="AH95" i="29" s="1"/>
  <c r="AF97" i="29"/>
  <c r="AH97" i="29" s="1"/>
  <c r="AF99" i="29"/>
  <c r="AH99" i="29" s="1"/>
  <c r="A12" i="1" l="1"/>
  <c r="C304" i="12"/>
  <c r="AB505" i="2"/>
  <c r="AB492" i="2"/>
  <c r="AB479" i="2"/>
  <c r="AB464" i="2"/>
  <c r="AB446" i="2"/>
  <c r="AB441" i="2"/>
  <c r="AB428" i="2"/>
  <c r="AB417" i="2"/>
  <c r="AB412" i="2"/>
  <c r="AB378" i="2"/>
  <c r="AB368" i="2"/>
  <c r="AB366" i="2"/>
  <c r="AB357" i="2"/>
  <c r="AB349" i="2"/>
  <c r="AB344" i="2"/>
  <c r="AB335" i="2"/>
  <c r="AB324" i="2"/>
  <c r="AB319" i="2"/>
  <c r="AB306" i="2"/>
  <c r="AB302" i="2"/>
  <c r="AB294" i="2"/>
  <c r="AB282" i="2"/>
  <c r="AB262" i="2"/>
  <c r="AB254" i="2"/>
  <c r="AB244" i="2"/>
  <c r="AB235" i="2"/>
  <c r="AB383" i="2" s="1"/>
  <c r="AB226" i="2"/>
  <c r="AB217" i="2"/>
  <c r="AB219" i="2" s="1"/>
  <c r="AB208" i="2"/>
  <c r="AB200" i="2"/>
  <c r="AB167" i="2"/>
  <c r="AB154" i="2"/>
  <c r="AB141" i="2"/>
  <c r="AB130" i="2"/>
  <c r="AB117" i="2"/>
  <c r="AB113" i="2"/>
  <c r="AB107" i="2"/>
  <c r="AB73" i="2"/>
  <c r="AB69" i="2"/>
  <c r="AB62" i="2"/>
  <c r="AB54" i="2"/>
  <c r="AB44" i="2"/>
  <c r="AB40" i="2"/>
  <c r="AB33" i="2"/>
  <c r="AB28" i="2"/>
  <c r="AB365" i="2" l="1"/>
  <c r="AB351" i="2"/>
  <c r="AB169" i="2"/>
  <c r="AB308" i="2"/>
  <c r="AB326" i="2"/>
  <c r="AB78" i="2"/>
  <c r="AB264" i="2"/>
  <c r="AB369" i="2"/>
  <c r="AB143" i="2"/>
  <c r="AB507" i="2"/>
  <c r="AB509" i="2" s="1"/>
  <c r="AB246" i="2"/>
  <c r="AB248" i="2" s="1"/>
  <c r="AB56" i="2"/>
  <c r="E584" i="2" l="1"/>
  <c r="AB171" i="2"/>
  <c r="AB175" i="2" s="1"/>
  <c r="AB359" i="2"/>
  <c r="AB80" i="2"/>
  <c r="AB84" i="2" s="1"/>
  <c r="AB201" i="2" s="1"/>
  <c r="AB380" i="2"/>
  <c r="AB448" i="2" s="1"/>
  <c r="AB449" i="2" s="1"/>
  <c r="AB266" i="2"/>
  <c r="AB273" i="2" s="1"/>
  <c r="AB275" i="2" s="1"/>
  <c r="AB276" i="2" s="1"/>
  <c r="AB361" i="2" l="1"/>
  <c r="E583" i="2" s="1"/>
  <c r="R583" i="2" s="1"/>
  <c r="AB370" i="2"/>
  <c r="E563" i="2"/>
  <c r="E562" i="2"/>
  <c r="O41" i="1"/>
  <c r="H14" i="30" s="1"/>
  <c r="H16" i="30" s="1"/>
  <c r="I15" i="30" l="1"/>
  <c r="P583" i="2"/>
  <c r="R562" i="2"/>
  <c r="P562" i="2"/>
  <c r="AF417" i="2" l="1"/>
  <c r="Z417" i="2"/>
  <c r="X417" i="2"/>
  <c r="V417" i="2"/>
  <c r="T417" i="2"/>
  <c r="R417" i="2"/>
  <c r="P417" i="2"/>
  <c r="L417" i="2"/>
  <c r="I417" i="2"/>
  <c r="G417" i="2"/>
  <c r="AF412" i="2"/>
  <c r="Z412" i="2"/>
  <c r="X412" i="2"/>
  <c r="V412" i="2"/>
  <c r="T412" i="2"/>
  <c r="R412" i="2"/>
  <c r="P412" i="2"/>
  <c r="L412" i="2"/>
  <c r="I412" i="2"/>
  <c r="G412" i="2"/>
  <c r="G431" i="1"/>
  <c r="P431" i="1" l="1"/>
  <c r="H431" i="1"/>
  <c r="I431" i="1"/>
  <c r="J431" i="1"/>
  <c r="K431" i="1"/>
  <c r="L431" i="1"/>
  <c r="M431" i="1"/>
  <c r="N431" i="1"/>
  <c r="H436" i="1"/>
  <c r="I436" i="1"/>
  <c r="J436" i="1"/>
  <c r="K436" i="1"/>
  <c r="L436" i="1"/>
  <c r="M436" i="1"/>
  <c r="N436" i="1"/>
  <c r="G436" i="1"/>
  <c r="P143" i="1"/>
  <c r="G141" i="2"/>
  <c r="AF130" i="2"/>
  <c r="Z130" i="2"/>
  <c r="X130" i="2"/>
  <c r="V130" i="2"/>
  <c r="T130" i="2"/>
  <c r="R130" i="2"/>
  <c r="P130" i="2"/>
  <c r="L130" i="2"/>
  <c r="I130" i="2"/>
  <c r="G130" i="2"/>
  <c r="AF154" i="2"/>
  <c r="Z154" i="2"/>
  <c r="X154" i="2"/>
  <c r="V154" i="2"/>
  <c r="T154" i="2"/>
  <c r="R154" i="2"/>
  <c r="P154" i="2"/>
  <c r="L154" i="2"/>
  <c r="G154" i="2"/>
  <c r="I154" i="2"/>
  <c r="H148" i="1"/>
  <c r="I148" i="1"/>
  <c r="J148" i="1"/>
  <c r="K148" i="1"/>
  <c r="L148" i="1"/>
  <c r="M148" i="1"/>
  <c r="N148" i="1"/>
  <c r="G148" i="1"/>
  <c r="H172" i="1"/>
  <c r="I172" i="1"/>
  <c r="J172" i="1"/>
  <c r="K172" i="1"/>
  <c r="L172" i="1"/>
  <c r="M172" i="1"/>
  <c r="N172" i="1"/>
  <c r="G172" i="1"/>
  <c r="B19" i="14" l="1"/>
  <c r="C314" i="14" l="1"/>
  <c r="C125" i="14" l="1"/>
  <c r="C84" i="14"/>
  <c r="C245" i="14" l="1"/>
  <c r="C299" i="12" l="1"/>
  <c r="C293" i="12"/>
  <c r="B22" i="19" l="1"/>
  <c r="AG473" i="2" l="1"/>
  <c r="A263" i="12" l="1"/>
  <c r="C264" i="12" s="1"/>
  <c r="C239" i="12"/>
  <c r="B3" i="7"/>
  <c r="C340" i="14" l="1"/>
  <c r="B6" i="16" l="1"/>
  <c r="C150" i="12" l="1"/>
  <c r="C139" i="12"/>
  <c r="C108" i="12"/>
  <c r="C82" i="12"/>
  <c r="C54" i="12"/>
  <c r="C47" i="12"/>
  <c r="C41" i="12"/>
  <c r="C36" i="12"/>
  <c r="C31" i="12"/>
  <c r="C27" i="12"/>
  <c r="A182" i="12" l="1"/>
  <c r="A183" i="12" s="1"/>
  <c r="A184" i="12" s="1"/>
  <c r="A186" i="12" s="1"/>
  <c r="C187" i="12" s="1"/>
  <c r="C316" i="14" l="1"/>
  <c r="C342" i="14"/>
  <c r="C315" i="14"/>
  <c r="C82" i="14"/>
  <c r="A115" i="12"/>
  <c r="C329" i="14" l="1"/>
  <c r="C283"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7" i="14"/>
  <c r="C320" i="14"/>
  <c r="C322" i="14"/>
  <c r="C337" i="14"/>
  <c r="C338" i="14"/>
  <c r="C323" i="14"/>
  <c r="C326" i="14"/>
  <c r="C327" i="14"/>
  <c r="C328" i="14"/>
  <c r="C330" i="14"/>
  <c r="C232" i="14"/>
  <c r="C233" i="14"/>
  <c r="C235" i="14"/>
  <c r="C236" i="14"/>
  <c r="C237" i="14"/>
  <c r="C244" i="14"/>
  <c r="C246" i="14"/>
  <c r="C247" i="14"/>
  <c r="C248" i="14"/>
  <c r="C249" i="14"/>
  <c r="C250" i="14"/>
  <c r="C251" i="14"/>
  <c r="C252" i="14"/>
  <c r="C253" i="14"/>
  <c r="C254" i="14"/>
  <c r="C258" i="14"/>
  <c r="C198" i="14"/>
  <c r="C199" i="14"/>
  <c r="C200" i="14"/>
  <c r="C201" i="14"/>
  <c r="C202" i="14"/>
  <c r="C203" i="14"/>
  <c r="C204" i="14"/>
  <c r="C205" i="14"/>
  <c r="C206" i="14"/>
  <c r="C207" i="14"/>
  <c r="C208" i="14"/>
  <c r="C209" i="14"/>
  <c r="C210" i="14"/>
  <c r="C211" i="14"/>
  <c r="C212" i="14"/>
  <c r="C215" i="14"/>
  <c r="C216" i="14"/>
  <c r="C217" i="14"/>
  <c r="C218" i="14"/>
  <c r="C219" i="14"/>
  <c r="C220" i="14"/>
  <c r="C221" i="14"/>
  <c r="C222" i="14"/>
  <c r="C223" i="14"/>
  <c r="C224" i="14"/>
  <c r="C225" i="14"/>
  <c r="C226" i="14"/>
  <c r="C227" i="14"/>
  <c r="C228" i="14"/>
  <c r="C229" i="14"/>
  <c r="C230" i="14"/>
  <c r="C23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38" i="14"/>
  <c r="C139" i="14"/>
  <c r="C140" i="14"/>
  <c r="C141" i="14"/>
  <c r="C142" i="14"/>
  <c r="C143" i="14"/>
  <c r="C144" i="14"/>
  <c r="C145" i="14"/>
  <c r="C146" i="14"/>
  <c r="C147" i="14"/>
  <c r="C148" i="14"/>
  <c r="C149" i="14"/>
  <c r="C151" i="14"/>
  <c r="C152" i="14"/>
  <c r="C153" i="14"/>
  <c r="C154" i="14"/>
  <c r="C155" i="14"/>
  <c r="C156" i="14"/>
  <c r="C157" i="14"/>
  <c r="C158" i="14"/>
  <c r="C159" i="14"/>
  <c r="C160" i="14"/>
  <c r="C161" i="14"/>
  <c r="C162" i="14"/>
  <c r="C163" i="14"/>
  <c r="C164" i="14"/>
  <c r="C165" i="14"/>
  <c r="C166" i="14"/>
  <c r="C167" i="14"/>
  <c r="C168" i="14"/>
  <c r="C169" i="14"/>
  <c r="C171" i="14"/>
  <c r="C115" i="14"/>
  <c r="C116" i="14"/>
  <c r="C117" i="14"/>
  <c r="C118" i="14"/>
  <c r="C119" i="14"/>
  <c r="C120" i="14"/>
  <c r="C121" i="14"/>
  <c r="C122" i="14"/>
  <c r="C123" i="14"/>
  <c r="C124" i="14"/>
  <c r="C126" i="14"/>
  <c r="C127" i="14"/>
  <c r="C128" i="14"/>
  <c r="C130" i="14"/>
  <c r="C131" i="14"/>
  <c r="C132" i="14"/>
  <c r="C134" i="14"/>
  <c r="C135" i="14"/>
  <c r="C137" i="14"/>
  <c r="C95" i="14"/>
  <c r="C96" i="14"/>
  <c r="C97" i="14"/>
  <c r="C98" i="14"/>
  <c r="C99" i="14"/>
  <c r="C100" i="14"/>
  <c r="C101" i="14"/>
  <c r="C102" i="14"/>
  <c r="C103" i="14"/>
  <c r="C104" i="14"/>
  <c r="C105" i="14"/>
  <c r="C106" i="14"/>
  <c r="C107" i="14"/>
  <c r="C108" i="14"/>
  <c r="C111" i="14"/>
  <c r="C112" i="14"/>
  <c r="C113" i="14"/>
  <c r="C114" i="14"/>
  <c r="C94" i="14"/>
  <c r="C32" i="14"/>
  <c r="C33" i="14"/>
  <c r="C34" i="14"/>
  <c r="C35" i="14"/>
  <c r="C36" i="14"/>
  <c r="C37" i="14"/>
  <c r="C38" i="14"/>
  <c r="C39" i="14"/>
  <c r="C40" i="14"/>
  <c r="C41" i="14"/>
  <c r="C42" i="14"/>
  <c r="C43" i="14"/>
  <c r="C44" i="14"/>
  <c r="C45" i="14"/>
  <c r="C46" i="14"/>
  <c r="C47" i="14"/>
  <c r="C48" i="14"/>
  <c r="C49" i="14"/>
  <c r="C50" i="14"/>
  <c r="C51" i="14"/>
  <c r="C53" i="14"/>
  <c r="C54" i="14"/>
  <c r="C56" i="14"/>
  <c r="C57" i="14"/>
  <c r="C58" i="14"/>
  <c r="C60" i="14"/>
  <c r="C61" i="14"/>
  <c r="C62" i="14"/>
  <c r="C63" i="14"/>
  <c r="C64" i="14"/>
  <c r="C65" i="14"/>
  <c r="C66" i="14"/>
  <c r="C67" i="14"/>
  <c r="C68" i="14"/>
  <c r="C69" i="14"/>
  <c r="C70" i="14"/>
  <c r="C72" i="14"/>
  <c r="C73" i="14"/>
  <c r="C74" i="14"/>
  <c r="C76" i="14"/>
  <c r="C77" i="14"/>
  <c r="C78" i="14"/>
  <c r="C79" i="14"/>
  <c r="C80" i="14"/>
  <c r="C81" i="14"/>
  <c r="C83" i="14"/>
  <c r="C86" i="14"/>
  <c r="C87" i="14"/>
  <c r="C89" i="14"/>
  <c r="C90" i="14"/>
  <c r="C92" i="14"/>
  <c r="C31" i="14"/>
  <c r="A179" i="12" l="1"/>
  <c r="C180" i="12" s="1"/>
  <c r="B68" i="9" l="1"/>
  <c r="B69" i="9"/>
  <c r="B70" i="9"/>
  <c r="B71" i="9"/>
  <c r="B72" i="9"/>
  <c r="B73" i="9"/>
  <c r="B74" i="9"/>
  <c r="B67" i="9"/>
  <c r="B53" i="9"/>
  <c r="B54" i="9"/>
  <c r="B55" i="9"/>
  <c r="B56" i="9"/>
  <c r="B57" i="9"/>
  <c r="B58" i="9"/>
  <c r="B59" i="9"/>
  <c r="B52" i="9"/>
  <c r="D18" i="9"/>
  <c r="D19" i="9"/>
  <c r="D20" i="9"/>
  <c r="D21" i="9"/>
  <c r="D22" i="9"/>
  <c r="D23" i="9"/>
  <c r="D24" i="9"/>
  <c r="D25" i="9"/>
  <c r="D26" i="9"/>
  <c r="D27" i="9"/>
  <c r="D28" i="9"/>
  <c r="D29" i="9"/>
  <c r="D30" i="9"/>
  <c r="D31" i="9"/>
  <c r="D32" i="9"/>
  <c r="D33" i="9"/>
  <c r="D34" i="9"/>
  <c r="D35" i="9"/>
  <c r="D36" i="9"/>
  <c r="D37" i="9"/>
  <c r="D38" i="9"/>
  <c r="D39" i="9"/>
  <c r="D40" i="9"/>
  <c r="D41" i="9"/>
  <c r="D17" i="9"/>
  <c r="C282" i="12" l="1"/>
  <c r="C286" i="12"/>
  <c r="C274" i="12"/>
  <c r="C273" i="12"/>
  <c r="C272" i="12"/>
  <c r="C46" i="7" l="1"/>
  <c r="C47" i="7"/>
  <c r="C48" i="7"/>
  <c r="C49" i="7"/>
  <c r="C50" i="7"/>
  <c r="C51" i="7"/>
  <c r="C52" i="7"/>
  <c r="C45" i="7"/>
  <c r="E7" i="1" l="1"/>
  <c r="R143" i="1" l="1"/>
  <c r="R167" i="1"/>
  <c r="R232" i="1"/>
  <c r="R332" i="1"/>
  <c r="R337" i="1"/>
  <c r="R342" i="1"/>
  <c r="R180" i="1"/>
  <c r="F177" i="25" s="1"/>
  <c r="R168" i="1"/>
  <c r="R270" i="1"/>
  <c r="R276" i="1"/>
  <c r="R286" i="1"/>
  <c r="R304" i="1"/>
  <c r="R362" i="1"/>
  <c r="R374" i="1"/>
  <c r="R155" i="1"/>
  <c r="F152" i="25" s="1"/>
  <c r="R233" i="1"/>
  <c r="R242" i="1"/>
  <c r="R358" i="1"/>
  <c r="R169" i="1"/>
  <c r="R229" i="1"/>
  <c r="R271" i="1"/>
  <c r="R277" i="1"/>
  <c r="R311" i="1"/>
  <c r="R316" i="1"/>
  <c r="R375" i="1"/>
  <c r="R156" i="1"/>
  <c r="F153" i="25" s="1"/>
  <c r="R165" i="1"/>
  <c r="R230" i="1"/>
  <c r="R257" i="1"/>
  <c r="R335" i="1"/>
  <c r="R366" i="1"/>
  <c r="R275" i="1"/>
  <c r="R170" i="1"/>
  <c r="R250" i="1"/>
  <c r="R258" i="1"/>
  <c r="R288" i="1"/>
  <c r="R360" i="1"/>
  <c r="R171" i="1"/>
  <c r="R231" i="1"/>
  <c r="R318" i="1"/>
  <c r="R341" i="1"/>
  <c r="R367" i="1"/>
  <c r="R191" i="1"/>
  <c r="R179" i="1"/>
  <c r="F176" i="25" s="1"/>
  <c r="R455" i="1"/>
  <c r="R476" i="1"/>
  <c r="R444" i="1"/>
  <c r="D7" i="30"/>
  <c r="C7" i="29"/>
  <c r="R443" i="1"/>
  <c r="R454" i="1"/>
  <c r="R475" i="1"/>
  <c r="R386" i="1"/>
  <c r="C1" i="29"/>
  <c r="B288" i="12" l="1"/>
  <c r="C290" i="12" s="1"/>
  <c r="B275" i="12"/>
  <c r="B277" i="12" l="1"/>
  <c r="C279" i="12" s="1"/>
  <c r="C77" i="12" l="1"/>
  <c r="D6" i="23" l="1"/>
  <c r="C6" i="24"/>
  <c r="O464" i="1" l="1"/>
  <c r="O463" i="1"/>
  <c r="Q463" i="1" s="1"/>
  <c r="E73" i="18" l="1"/>
  <c r="Q464" i="1"/>
  <c r="E72" i="18"/>
  <c r="AF446" i="2"/>
  <c r="Z446" i="2"/>
  <c r="X446" i="2"/>
  <c r="V446" i="2"/>
  <c r="T446" i="2"/>
  <c r="R446" i="2"/>
  <c r="P446" i="2"/>
  <c r="L446" i="2"/>
  <c r="I446" i="2"/>
  <c r="G446" i="2"/>
  <c r="Z294" i="2" l="1"/>
  <c r="X294" i="2"/>
  <c r="F493" i="1" l="1"/>
  <c r="F492" i="1"/>
  <c r="C68" i="12" l="1"/>
  <c r="C71" i="12"/>
  <c r="M34" i="8" l="1"/>
  <c r="Z464" i="2" l="1"/>
  <c r="Z441" i="2"/>
  <c r="Z428" i="2"/>
  <c r="Z368" i="2"/>
  <c r="Z366" i="2"/>
  <c r="Z357" i="2"/>
  <c r="Z349" i="2"/>
  <c r="Z344" i="2"/>
  <c r="Z324" i="2"/>
  <c r="Z319" i="2"/>
  <c r="Z306" i="2"/>
  <c r="Z302" i="2"/>
  <c r="Z262" i="2"/>
  <c r="Z254" i="2"/>
  <c r="Z244" i="2"/>
  <c r="Z235" i="2"/>
  <c r="Z226" i="2"/>
  <c r="Z217" i="2"/>
  <c r="Z219" i="2" s="1"/>
  <c r="Z200" i="2"/>
  <c r="Z167" i="2"/>
  <c r="Z169" i="2" s="1"/>
  <c r="Z141" i="2"/>
  <c r="Z521" i="2" s="1"/>
  <c r="Z117" i="2"/>
  <c r="Z113" i="2"/>
  <c r="Z69" i="2"/>
  <c r="Z62" i="2"/>
  <c r="Z54" i="2"/>
  <c r="Z44" i="2"/>
  <c r="Z40" i="2"/>
  <c r="Z28" i="2"/>
  <c r="X428" i="2"/>
  <c r="X324" i="2"/>
  <c r="X319" i="2"/>
  <c r="X306" i="2"/>
  <c r="X302" i="2"/>
  <c r="X357" i="2"/>
  <c r="X349" i="2"/>
  <c r="X344" i="2"/>
  <c r="X262" i="2"/>
  <c r="X254" i="2"/>
  <c r="X244" i="2"/>
  <c r="X235" i="2"/>
  <c r="X226" i="2"/>
  <c r="X217" i="2"/>
  <c r="X219" i="2" s="1"/>
  <c r="X200" i="2"/>
  <c r="X167" i="2"/>
  <c r="X169" i="2" s="1"/>
  <c r="X141" i="2"/>
  <c r="X117" i="2"/>
  <c r="X113" i="2"/>
  <c r="X69" i="2"/>
  <c r="X62" i="2"/>
  <c r="X54" i="2"/>
  <c r="X44" i="2"/>
  <c r="X40" i="2"/>
  <c r="X28" i="2"/>
  <c r="Z365" i="2" l="1"/>
  <c r="X521" i="2"/>
  <c r="Z143" i="2"/>
  <c r="Z171" i="2" s="1"/>
  <c r="Z175" i="2" s="1"/>
  <c r="X143" i="2"/>
  <c r="X171" i="2" s="1"/>
  <c r="X175" i="2" s="1"/>
  <c r="Z326" i="2"/>
  <c r="Z351" i="2"/>
  <c r="Z369" i="2"/>
  <c r="X326" i="2"/>
  <c r="X78" i="2"/>
  <c r="X351" i="2"/>
  <c r="Z308" i="2"/>
  <c r="X264" i="2"/>
  <c r="Z264" i="2"/>
  <c r="Z246" i="2"/>
  <c r="Z248" i="2" s="1"/>
  <c r="Z56" i="2"/>
  <c r="Z78" i="2"/>
  <c r="X308" i="2"/>
  <c r="X246" i="2"/>
  <c r="X248" i="2" s="1"/>
  <c r="X56" i="2"/>
  <c r="X359" i="2" l="1"/>
  <c r="X80" i="2"/>
  <c r="X84" i="2" s="1"/>
  <c r="X201" i="2" s="1"/>
  <c r="Z359" i="2"/>
  <c r="X266" i="2"/>
  <c r="X273" i="2" s="1"/>
  <c r="X275" i="2" s="1"/>
  <c r="X276" i="2" s="1"/>
  <c r="Z266" i="2"/>
  <c r="Z273" i="2" s="1"/>
  <c r="Z275" i="2" s="1"/>
  <c r="Z276" i="2" s="1"/>
  <c r="Z80" i="2"/>
  <c r="Z84" i="2" s="1"/>
  <c r="Z201" i="2" s="1"/>
  <c r="P43" i="1"/>
  <c r="G50" i="1"/>
  <c r="Z361" i="2" l="1"/>
  <c r="Z370" i="2"/>
  <c r="X361" i="2"/>
  <c r="X370" i="2"/>
  <c r="A10" i="7"/>
  <c r="C62" i="12"/>
  <c r="C4" i="19"/>
  <c r="A166" i="12"/>
  <c r="A165" i="12"/>
  <c r="A164" i="12"/>
  <c r="A156" i="12"/>
  <c r="A154" i="12"/>
  <c r="A153" i="12"/>
  <c r="A152" i="12"/>
  <c r="C67" i="12" l="1"/>
  <c r="C72" i="12"/>
  <c r="C74" i="12"/>
  <c r="P99" i="1" l="1"/>
  <c r="AG516" i="2"/>
  <c r="AG515" i="2"/>
  <c r="AG513" i="2"/>
  <c r="AG504" i="2"/>
  <c r="AG503" i="2"/>
  <c r="AG502" i="2"/>
  <c r="AG501" i="2"/>
  <c r="AG500" i="2"/>
  <c r="AG499" i="2"/>
  <c r="AG498" i="2"/>
  <c r="AG497" i="2"/>
  <c r="AG496" i="2"/>
  <c r="AG495" i="2"/>
  <c r="AG491" i="2"/>
  <c r="AG490" i="2"/>
  <c r="AG489" i="2"/>
  <c r="AG488" i="2"/>
  <c r="AG487" i="2"/>
  <c r="AG486" i="2"/>
  <c r="AG485" i="2"/>
  <c r="AG484" i="2"/>
  <c r="AG483" i="2"/>
  <c r="AG482" i="2"/>
  <c r="AG477" i="2"/>
  <c r="AG476" i="2"/>
  <c r="AG475" i="2"/>
  <c r="AG474" i="2"/>
  <c r="R99" i="1" l="1"/>
  <c r="B261" i="12"/>
  <c r="A163" i="12"/>
  <c r="A173" i="12" s="1"/>
  <c r="A158" i="12"/>
  <c r="A159" i="12" s="1"/>
  <c r="A177" i="12"/>
  <c r="A151" i="12"/>
  <c r="C141" i="12"/>
  <c r="A125" i="12"/>
  <c r="C126" i="12" s="1"/>
  <c r="A124" i="12"/>
  <c r="A122" i="12"/>
  <c r="C123" i="12" s="1"/>
  <c r="A120" i="12"/>
  <c r="C121" i="12" s="1"/>
  <c r="A118" i="12"/>
  <c r="C119" i="12" s="1"/>
  <c r="A185" i="12" l="1"/>
  <c r="A168" i="12"/>
  <c r="A116" i="12"/>
  <c r="C117" i="12" s="1"/>
  <c r="A31" i="25"/>
  <c r="E6" i="25"/>
  <c r="E5" i="25"/>
  <c r="E4" i="25"/>
  <c r="E3" i="25"/>
  <c r="E2" i="25"/>
  <c r="A347" i="25" l="1"/>
  <c r="A221" i="25"/>
  <c r="B253" i="12" l="1"/>
  <c r="C131" i="12"/>
  <c r="C55" i="17"/>
  <c r="C52" i="17"/>
  <c r="C51" i="17"/>
  <c r="A5" i="19" l="1"/>
  <c r="A4" i="19"/>
  <c r="A3" i="19"/>
  <c r="V21" i="1" l="1"/>
  <c r="V25" i="1" s="1"/>
  <c r="V29" i="1" s="1"/>
  <c r="V18" i="1"/>
  <c r="V22" i="1" s="1"/>
  <c r="V26" i="1" s="1"/>
  <c r="V30" i="1" s="1"/>
  <c r="O191" i="1" l="1"/>
  <c r="B236" i="12" l="1"/>
  <c r="Q191" i="1"/>
  <c r="B215" i="12"/>
  <c r="B235" i="12" s="1"/>
  <c r="E188" i="25" l="1"/>
  <c r="G73" i="18"/>
  <c r="I73" i="18" s="1"/>
  <c r="K73" i="18" s="1"/>
  <c r="O99" i="1"/>
  <c r="Q99" i="1" s="1"/>
  <c r="B212" i="12" l="1"/>
  <c r="B194" i="12"/>
  <c r="B211" i="12" s="1"/>
  <c r="E96" i="25" l="1"/>
  <c r="G72" i="18"/>
  <c r="E1" i="25"/>
  <c r="C3" i="19"/>
  <c r="P505" i="2"/>
  <c r="P492" i="2"/>
  <c r="P479" i="2"/>
  <c r="P464" i="2"/>
  <c r="P441" i="2"/>
  <c r="P428" i="2"/>
  <c r="P378" i="2"/>
  <c r="P471" i="2" s="1"/>
  <c r="P512" i="2" s="1"/>
  <c r="P368" i="2"/>
  <c r="P366" i="2"/>
  <c r="P357" i="2"/>
  <c r="P349" i="2"/>
  <c r="P344" i="2"/>
  <c r="P335" i="2"/>
  <c r="P324" i="2"/>
  <c r="P319" i="2"/>
  <c r="P306" i="2"/>
  <c r="P302" i="2"/>
  <c r="P282" i="2"/>
  <c r="P262" i="2"/>
  <c r="P254" i="2"/>
  <c r="P244" i="2"/>
  <c r="P235" i="2"/>
  <c r="P383" i="2" s="1"/>
  <c r="P226" i="2"/>
  <c r="P217" i="2"/>
  <c r="P219" i="2" s="1"/>
  <c r="P208" i="2"/>
  <c r="P200" i="2"/>
  <c r="P167" i="2"/>
  <c r="P169" i="2" s="1"/>
  <c r="P141" i="2"/>
  <c r="P117" i="2"/>
  <c r="P113" i="2"/>
  <c r="P107" i="2"/>
  <c r="P73" i="2"/>
  <c r="P69" i="2"/>
  <c r="P62" i="2"/>
  <c r="P54" i="2"/>
  <c r="P44" i="2"/>
  <c r="P40" i="2"/>
  <c r="P33" i="2"/>
  <c r="P28" i="2"/>
  <c r="P154" i="1"/>
  <c r="P153" i="1"/>
  <c r="P152" i="1"/>
  <c r="P147" i="1"/>
  <c r="P146" i="1"/>
  <c r="P145" i="1"/>
  <c r="P142" i="1"/>
  <c r="P141" i="1"/>
  <c r="P140" i="1"/>
  <c r="P139" i="1"/>
  <c r="P138" i="1"/>
  <c r="P137" i="1"/>
  <c r="P134" i="1"/>
  <c r="P133" i="1"/>
  <c r="P130" i="1"/>
  <c r="P129" i="1"/>
  <c r="P128" i="1"/>
  <c r="P127" i="1"/>
  <c r="G26" i="10"/>
  <c r="G25" i="10"/>
  <c r="P521" i="2" l="1"/>
  <c r="P365" i="2"/>
  <c r="Q183" i="1"/>
  <c r="R183" i="1" s="1"/>
  <c r="Q184" i="1"/>
  <c r="R184" i="1" s="1"/>
  <c r="R146" i="1"/>
  <c r="P143" i="2"/>
  <c r="P436" i="1"/>
  <c r="P148" i="1"/>
  <c r="P172" i="1"/>
  <c r="I72" i="18"/>
  <c r="K72" i="18" s="1"/>
  <c r="P351" i="2"/>
  <c r="P369" i="2"/>
  <c r="P264" i="2"/>
  <c r="P326" i="2"/>
  <c r="P308" i="2"/>
  <c r="P246" i="2"/>
  <c r="P248" i="2" s="1"/>
  <c r="P78" i="2"/>
  <c r="P507" i="2"/>
  <c r="P509" i="2" s="1"/>
  <c r="P56" i="2"/>
  <c r="O287" i="1"/>
  <c r="O286" i="1"/>
  <c r="Q286" i="1" s="1"/>
  <c r="E287" i="1" l="1"/>
  <c r="Q287" i="1"/>
  <c r="R287" i="1" s="1"/>
  <c r="P359" i="2"/>
  <c r="P171" i="2"/>
  <c r="P175" i="2" s="1"/>
  <c r="P80" i="2"/>
  <c r="P84" i="2" s="1"/>
  <c r="P380" i="2"/>
  <c r="P448" i="2" s="1"/>
  <c r="P449" i="2" s="1"/>
  <c r="P266" i="2"/>
  <c r="P273" i="2" s="1"/>
  <c r="P275" i="2" s="1"/>
  <c r="P276" i="2" s="1"/>
  <c r="J397" i="1"/>
  <c r="J482" i="1"/>
  <c r="J460" i="1"/>
  <c r="J465" i="1" s="1"/>
  <c r="J447" i="1"/>
  <c r="J387" i="1"/>
  <c r="J385" i="1"/>
  <c r="J376" i="1"/>
  <c r="J368" i="1"/>
  <c r="J363" i="1"/>
  <c r="J343" i="1"/>
  <c r="J338" i="1"/>
  <c r="J325" i="1"/>
  <c r="J321" i="1"/>
  <c r="J313" i="1"/>
  <c r="J280" i="1"/>
  <c r="J272" i="1"/>
  <c r="J262" i="1"/>
  <c r="J253" i="1"/>
  <c r="J402" i="1" s="1"/>
  <c r="J244" i="1"/>
  <c r="J235" i="1"/>
  <c r="J237" i="1" s="1"/>
  <c r="J185" i="1"/>
  <c r="J187" i="1" s="1"/>
  <c r="J159" i="1"/>
  <c r="J135" i="1"/>
  <c r="J131" i="1"/>
  <c r="J90" i="1"/>
  <c r="J86" i="1"/>
  <c r="J79" i="1"/>
  <c r="J71" i="1"/>
  <c r="J61" i="1"/>
  <c r="J57" i="1"/>
  <c r="J50" i="1"/>
  <c r="J45" i="1"/>
  <c r="J384" i="1" s="1"/>
  <c r="I378" i="2"/>
  <c r="G378" i="2"/>
  <c r="I335" i="2"/>
  <c r="G335" i="2"/>
  <c r="I282" i="2"/>
  <c r="G282" i="2"/>
  <c r="I208" i="2"/>
  <c r="G208" i="2"/>
  <c r="I107" i="2"/>
  <c r="G107" i="2"/>
  <c r="G167" i="2"/>
  <c r="G117" i="2"/>
  <c r="O40" i="1"/>
  <c r="H10" i="30" s="1"/>
  <c r="H11" i="30" s="1"/>
  <c r="I244" i="2"/>
  <c r="C2" i="24"/>
  <c r="P313" i="1"/>
  <c r="N482" i="1"/>
  <c r="M482" i="1"/>
  <c r="L482" i="1"/>
  <c r="K482" i="1"/>
  <c r="I482" i="1"/>
  <c r="H482" i="1"/>
  <c r="G482" i="1"/>
  <c r="N460" i="1"/>
  <c r="N465" i="1" s="1"/>
  <c r="M460" i="1"/>
  <c r="M465" i="1" s="1"/>
  <c r="L460" i="1"/>
  <c r="L465" i="1" s="1"/>
  <c r="K460" i="1"/>
  <c r="K465" i="1" s="1"/>
  <c r="I460" i="1"/>
  <c r="I465" i="1" s="1"/>
  <c r="H460" i="1"/>
  <c r="H465" i="1" s="1"/>
  <c r="N447" i="1"/>
  <c r="M447" i="1"/>
  <c r="L447" i="1"/>
  <c r="K447" i="1"/>
  <c r="I447" i="1"/>
  <c r="H447" i="1"/>
  <c r="G447" i="1"/>
  <c r="P40" i="1"/>
  <c r="P41" i="1"/>
  <c r="P42" i="1"/>
  <c r="P44" i="1"/>
  <c r="P67" i="1"/>
  <c r="P368" i="1"/>
  <c r="C2" i="13"/>
  <c r="N376" i="1"/>
  <c r="M376" i="1"/>
  <c r="L376" i="1"/>
  <c r="K376" i="1"/>
  <c r="I376" i="1"/>
  <c r="H376" i="1"/>
  <c r="G376" i="1"/>
  <c r="N368" i="1"/>
  <c r="M368" i="1"/>
  <c r="L368" i="1"/>
  <c r="K368" i="1"/>
  <c r="I368" i="1"/>
  <c r="H368" i="1"/>
  <c r="G368" i="1"/>
  <c r="N363" i="1"/>
  <c r="M363" i="1"/>
  <c r="L363" i="1"/>
  <c r="K363" i="1"/>
  <c r="I363" i="1"/>
  <c r="H363" i="1"/>
  <c r="G363" i="1"/>
  <c r="G343" i="1"/>
  <c r="H343" i="1"/>
  <c r="I343" i="1"/>
  <c r="K343" i="1"/>
  <c r="L343" i="1"/>
  <c r="M343" i="1"/>
  <c r="N343" i="1"/>
  <c r="G338" i="1"/>
  <c r="H338" i="1"/>
  <c r="I338" i="1"/>
  <c r="K338" i="1"/>
  <c r="L338" i="1"/>
  <c r="M338" i="1"/>
  <c r="N338" i="1"/>
  <c r="P244" i="1"/>
  <c r="G280" i="1"/>
  <c r="H280" i="1"/>
  <c r="I280" i="1"/>
  <c r="K280" i="1"/>
  <c r="L280" i="1"/>
  <c r="M280" i="1"/>
  <c r="N280" i="1"/>
  <c r="G272" i="1"/>
  <c r="H272" i="1"/>
  <c r="I272" i="1"/>
  <c r="K272" i="1"/>
  <c r="L272" i="1"/>
  <c r="M272" i="1"/>
  <c r="N272" i="1"/>
  <c r="O271" i="1"/>
  <c r="Q271" i="1" s="1"/>
  <c r="G262" i="1"/>
  <c r="H262" i="1"/>
  <c r="I262" i="1"/>
  <c r="K262" i="1"/>
  <c r="L262" i="1"/>
  <c r="M262" i="1"/>
  <c r="N262" i="1"/>
  <c r="N253" i="1"/>
  <c r="N402" i="1" s="1"/>
  <c r="M253" i="1"/>
  <c r="L253" i="1"/>
  <c r="L402" i="1" s="1"/>
  <c r="K253" i="1"/>
  <c r="K402" i="1" s="1"/>
  <c r="I253" i="1"/>
  <c r="I402" i="1" s="1"/>
  <c r="H253" i="1"/>
  <c r="H402" i="1" s="1"/>
  <c r="G253" i="1"/>
  <c r="G402" i="1" s="1"/>
  <c r="N244" i="1"/>
  <c r="M244" i="1"/>
  <c r="L244" i="1"/>
  <c r="K244" i="1"/>
  <c r="I244" i="1"/>
  <c r="H244" i="1"/>
  <c r="G244" i="1"/>
  <c r="N235" i="1"/>
  <c r="N237" i="1" s="1"/>
  <c r="M235" i="1"/>
  <c r="M237" i="1" s="1"/>
  <c r="L235" i="1"/>
  <c r="L237" i="1" s="1"/>
  <c r="K235" i="1"/>
  <c r="K237" i="1" s="1"/>
  <c r="I235" i="1"/>
  <c r="I237" i="1" s="1"/>
  <c r="H235" i="1"/>
  <c r="H237" i="1" s="1"/>
  <c r="G235" i="1"/>
  <c r="G237" i="1" s="1"/>
  <c r="G135" i="1"/>
  <c r="O134" i="1"/>
  <c r="N185" i="1"/>
  <c r="N187" i="1" s="1"/>
  <c r="M185" i="1"/>
  <c r="M187" i="1" s="1"/>
  <c r="L185" i="1"/>
  <c r="L187" i="1" s="1"/>
  <c r="K185" i="1"/>
  <c r="K187" i="1" s="1"/>
  <c r="I185" i="1"/>
  <c r="I187" i="1" s="1"/>
  <c r="H185" i="1"/>
  <c r="H187" i="1" s="1"/>
  <c r="G185" i="1"/>
  <c r="G187" i="1" s="1"/>
  <c r="N159" i="1"/>
  <c r="M159" i="1"/>
  <c r="L159" i="1"/>
  <c r="K159" i="1"/>
  <c r="I159" i="1"/>
  <c r="H159" i="1"/>
  <c r="G159" i="1"/>
  <c r="N135" i="1"/>
  <c r="M135" i="1"/>
  <c r="L135" i="1"/>
  <c r="K135" i="1"/>
  <c r="I135" i="1"/>
  <c r="H135" i="1"/>
  <c r="N131" i="1"/>
  <c r="M131" i="1"/>
  <c r="L131" i="1"/>
  <c r="K131" i="1"/>
  <c r="I131" i="1"/>
  <c r="H131" i="1"/>
  <c r="G131" i="1"/>
  <c r="P47" i="1"/>
  <c r="P48" i="1"/>
  <c r="P49" i="1"/>
  <c r="P52" i="1"/>
  <c r="P53" i="1"/>
  <c r="P54" i="1"/>
  <c r="P55" i="1"/>
  <c r="P56" i="1"/>
  <c r="P59" i="1"/>
  <c r="P60" i="1"/>
  <c r="P63" i="1"/>
  <c r="P64" i="1"/>
  <c r="P65" i="1"/>
  <c r="P68" i="1"/>
  <c r="P69" i="1"/>
  <c r="P70" i="1"/>
  <c r="P76" i="1"/>
  <c r="P77" i="1"/>
  <c r="P78" i="1"/>
  <c r="P81" i="1"/>
  <c r="P82" i="1"/>
  <c r="P83" i="1"/>
  <c r="P84" i="1"/>
  <c r="P85" i="1"/>
  <c r="P88" i="1"/>
  <c r="P89" i="1"/>
  <c r="P92" i="1"/>
  <c r="P93" i="1"/>
  <c r="N90" i="1"/>
  <c r="M90" i="1"/>
  <c r="L90" i="1"/>
  <c r="K90" i="1"/>
  <c r="I90" i="1"/>
  <c r="H90" i="1"/>
  <c r="G90" i="1"/>
  <c r="N86" i="1"/>
  <c r="M86" i="1"/>
  <c r="L86" i="1"/>
  <c r="K86" i="1"/>
  <c r="I86" i="1"/>
  <c r="H86" i="1"/>
  <c r="G86" i="1"/>
  <c r="N79" i="1"/>
  <c r="M79" i="1"/>
  <c r="L79" i="1"/>
  <c r="K79" i="1"/>
  <c r="I79" i="1"/>
  <c r="H79" i="1"/>
  <c r="G79" i="1"/>
  <c r="C209" i="10"/>
  <c r="D207" i="10"/>
  <c r="D206" i="10"/>
  <c r="D204" i="10"/>
  <c r="D203" i="10"/>
  <c r="D202" i="10"/>
  <c r="D201" i="10"/>
  <c r="D200" i="10"/>
  <c r="D199" i="10"/>
  <c r="D198" i="10"/>
  <c r="D197" i="10"/>
  <c r="D196" i="10"/>
  <c r="D195" i="10"/>
  <c r="D194" i="10"/>
  <c r="D193" i="10"/>
  <c r="D192" i="10"/>
  <c r="D191" i="10"/>
  <c r="D190" i="10"/>
  <c r="D189" i="10"/>
  <c r="D65" i="10"/>
  <c r="D64" i="10"/>
  <c r="D63" i="10"/>
  <c r="D62" i="10"/>
  <c r="D61" i="10"/>
  <c r="D60" i="10"/>
  <c r="D59" i="10"/>
  <c r="D58" i="10"/>
  <c r="D57" i="10"/>
  <c r="D56" i="10"/>
  <c r="D55" i="10"/>
  <c r="D54" i="10"/>
  <c r="D53" i="10"/>
  <c r="D52" i="10"/>
  <c r="B2" i="10"/>
  <c r="D27" i="10"/>
  <c r="C27" i="10"/>
  <c r="B27" i="10"/>
  <c r="F44" i="9"/>
  <c r="D2" i="8"/>
  <c r="M57" i="8"/>
  <c r="J58" i="8"/>
  <c r="J71" i="8" s="1"/>
  <c r="J73" i="8" s="1"/>
  <c r="D71" i="8"/>
  <c r="D73" i="8" s="1"/>
  <c r="M33" i="8"/>
  <c r="M32" i="8"/>
  <c r="M31" i="8"/>
  <c r="M29" i="8"/>
  <c r="M28" i="8"/>
  <c r="M27" i="8"/>
  <c r="M26" i="8"/>
  <c r="M25" i="8"/>
  <c r="M20" i="8"/>
  <c r="M19" i="8"/>
  <c r="M18" i="8"/>
  <c r="M17" i="8"/>
  <c r="M16" i="8"/>
  <c r="J22" i="8"/>
  <c r="G22" i="8"/>
  <c r="E88" i="18" s="1"/>
  <c r="D22" i="8"/>
  <c r="D28" i="7"/>
  <c r="B28" i="7"/>
  <c r="D20" i="7"/>
  <c r="B20" i="7"/>
  <c r="O418" i="1"/>
  <c r="E28" i="18" s="1"/>
  <c r="G313" i="1"/>
  <c r="G321" i="1"/>
  <c r="G325" i="1"/>
  <c r="AF117" i="2"/>
  <c r="V113" i="2"/>
  <c r="V117" i="2"/>
  <c r="R113" i="2"/>
  <c r="L117" i="2"/>
  <c r="L113" i="2"/>
  <c r="I113" i="2"/>
  <c r="I117" i="2"/>
  <c r="G113" i="2"/>
  <c r="O137" i="1"/>
  <c r="Q137" i="1" s="1"/>
  <c r="R137" i="1" s="1"/>
  <c r="O127" i="1"/>
  <c r="Q127" i="1" s="1"/>
  <c r="R127" i="1" s="1"/>
  <c r="O128" i="1"/>
  <c r="Q128" i="1" s="1"/>
  <c r="R128" i="1" s="1"/>
  <c r="O129" i="1"/>
  <c r="Q129" i="1" s="1"/>
  <c r="R129" i="1" s="1"/>
  <c r="O130" i="1"/>
  <c r="O133" i="1"/>
  <c r="O138" i="1"/>
  <c r="O139" i="1"/>
  <c r="O140" i="1"/>
  <c r="B25" i="14" s="1"/>
  <c r="O141" i="1"/>
  <c r="Q141" i="1" s="1"/>
  <c r="R141" i="1" s="1"/>
  <c r="O142" i="1"/>
  <c r="Q142" i="1" s="1"/>
  <c r="R142" i="1" s="1"/>
  <c r="O143" i="1"/>
  <c r="Q143" i="1" s="1"/>
  <c r="O145" i="1"/>
  <c r="Q145" i="1" s="1"/>
  <c r="R145" i="1" s="1"/>
  <c r="O146" i="1"/>
  <c r="O147" i="1"/>
  <c r="Q147" i="1" s="1"/>
  <c r="R147" i="1" s="1"/>
  <c r="O152" i="1"/>
  <c r="O153" i="1"/>
  <c r="Q153" i="1" s="1"/>
  <c r="R153" i="1" s="1"/>
  <c r="O154" i="1"/>
  <c r="O157" i="1"/>
  <c r="O158" i="1"/>
  <c r="O477" i="1"/>
  <c r="E84" i="18" s="1"/>
  <c r="O479" i="1"/>
  <c r="E85" i="18" s="1"/>
  <c r="O478" i="1"/>
  <c r="O480" i="1"/>
  <c r="E480" i="1" s="1"/>
  <c r="O473" i="1"/>
  <c r="O474" i="1"/>
  <c r="E81" i="18" s="1"/>
  <c r="I492" i="2"/>
  <c r="I505" i="2"/>
  <c r="G492" i="2"/>
  <c r="G505" i="2"/>
  <c r="R492" i="2"/>
  <c r="T492" i="2"/>
  <c r="V492" i="2"/>
  <c r="X492" i="2"/>
  <c r="Z492" i="2"/>
  <c r="AF492" i="2"/>
  <c r="AF505" i="2"/>
  <c r="Z505" i="2"/>
  <c r="X505" i="2"/>
  <c r="V505" i="2"/>
  <c r="T505" i="2"/>
  <c r="R505" i="2"/>
  <c r="L492" i="2"/>
  <c r="L505" i="2"/>
  <c r="D1" i="23"/>
  <c r="O59" i="1"/>
  <c r="B32" i="7" s="1"/>
  <c r="O60" i="1"/>
  <c r="B34" i="7" s="1"/>
  <c r="O410" i="1"/>
  <c r="E19" i="18" s="1"/>
  <c r="O52" i="1"/>
  <c r="O53" i="1"/>
  <c r="O54" i="1"/>
  <c r="O55" i="1"/>
  <c r="O56" i="1"/>
  <c r="E56" i="1" s="1"/>
  <c r="O81" i="1"/>
  <c r="O82" i="1"/>
  <c r="O83" i="1"/>
  <c r="O84" i="1"/>
  <c r="O85" i="1"/>
  <c r="E85" i="1" s="1"/>
  <c r="O409" i="1"/>
  <c r="O251" i="1"/>
  <c r="O421" i="1"/>
  <c r="E31" i="18" s="1"/>
  <c r="H313" i="1"/>
  <c r="H321" i="1"/>
  <c r="H325" i="1"/>
  <c r="I313" i="1"/>
  <c r="I321" i="1"/>
  <c r="I325" i="1"/>
  <c r="K313" i="1"/>
  <c r="K321" i="1"/>
  <c r="K325" i="1"/>
  <c r="L313" i="1"/>
  <c r="L321" i="1"/>
  <c r="L325" i="1"/>
  <c r="M402" i="1"/>
  <c r="M313" i="1"/>
  <c r="M321" i="1"/>
  <c r="M325" i="1"/>
  <c r="N313" i="1"/>
  <c r="N321" i="1"/>
  <c r="N325" i="1"/>
  <c r="O420" i="1"/>
  <c r="E30" i="18" s="1"/>
  <c r="O422" i="1"/>
  <c r="E32" i="18" s="1"/>
  <c r="O228" i="1"/>
  <c r="O229" i="1"/>
  <c r="Q229" i="1" s="1"/>
  <c r="O231" i="1"/>
  <c r="Q231" i="1" s="1"/>
  <c r="O232" i="1"/>
  <c r="Q232" i="1" s="1"/>
  <c r="O233" i="1"/>
  <c r="Q233" i="1" s="1"/>
  <c r="O234" i="1"/>
  <c r="O240" i="1"/>
  <c r="Q240" i="1" s="1"/>
  <c r="R240" i="1" s="1"/>
  <c r="O242" i="1"/>
  <c r="O247" i="1"/>
  <c r="O248" i="1"/>
  <c r="O249" i="1"/>
  <c r="O252" i="1"/>
  <c r="O255" i="1"/>
  <c r="Q255" i="1" s="1"/>
  <c r="R255" i="1" s="1"/>
  <c r="O256" i="1"/>
  <c r="Q256" i="1" s="1"/>
  <c r="R256" i="1" s="1"/>
  <c r="O259" i="1"/>
  <c r="Q259" i="1" s="1"/>
  <c r="R259" i="1" s="1"/>
  <c r="O260" i="1"/>
  <c r="Q260" i="1" s="1"/>
  <c r="R260" i="1" s="1"/>
  <c r="O261" i="1"/>
  <c r="O403" i="1"/>
  <c r="O404" i="1"/>
  <c r="O405" i="1"/>
  <c r="O406" i="1"/>
  <c r="E406" i="1" s="1"/>
  <c r="O411" i="1"/>
  <c r="E20" i="18" s="1"/>
  <c r="O412" i="1"/>
  <c r="E21" i="18" s="1"/>
  <c r="O413" i="1"/>
  <c r="E22" i="18" s="1"/>
  <c r="O414" i="1"/>
  <c r="E23" i="18" s="1"/>
  <c r="O415" i="1"/>
  <c r="E24" i="18" s="1"/>
  <c r="O416" i="1"/>
  <c r="E26" i="18" s="1"/>
  <c r="O417" i="1"/>
  <c r="E27" i="18" s="1"/>
  <c r="O419" i="1"/>
  <c r="E29" i="18" s="1"/>
  <c r="O423" i="1"/>
  <c r="E33" i="18" s="1"/>
  <c r="O424" i="1"/>
  <c r="E34" i="18" s="1"/>
  <c r="O425" i="1"/>
  <c r="O428" i="1"/>
  <c r="O429" i="1"/>
  <c r="E39" i="18" s="1"/>
  <c r="O430" i="1"/>
  <c r="E40" i="18" s="1"/>
  <c r="O426" i="1"/>
  <c r="E36" i="18" s="1"/>
  <c r="O433" i="1"/>
  <c r="O434" i="1"/>
  <c r="E44" i="18" s="1"/>
  <c r="O435" i="1"/>
  <c r="O440" i="1"/>
  <c r="E50" i="18" s="1"/>
  <c r="O441" i="1"/>
  <c r="E51" i="18" s="1"/>
  <c r="O442" i="1"/>
  <c r="E52" i="18" s="1"/>
  <c r="O445" i="1"/>
  <c r="Q445" i="1" s="1"/>
  <c r="R445" i="1" s="1"/>
  <c r="O446" i="1"/>
  <c r="E56" i="18" s="1"/>
  <c r="O451" i="1"/>
  <c r="E61" i="18" s="1"/>
  <c r="O452" i="1"/>
  <c r="E62" i="18" s="1"/>
  <c r="O453" i="1"/>
  <c r="O456" i="1"/>
  <c r="E66" i="18" s="1"/>
  <c r="O457" i="1"/>
  <c r="E67" i="18" s="1"/>
  <c r="O458" i="1"/>
  <c r="E68" i="18" s="1"/>
  <c r="O459" i="1"/>
  <c r="E69" i="18" s="1"/>
  <c r="O303" i="1"/>
  <c r="Q303" i="1" s="1"/>
  <c r="R303" i="1" s="1"/>
  <c r="O304" i="1"/>
  <c r="Q304" i="1" s="1"/>
  <c r="O305" i="1"/>
  <c r="Q305" i="1" s="1"/>
  <c r="R305" i="1" s="1"/>
  <c r="O306" i="1"/>
  <c r="Q306" i="1" s="1"/>
  <c r="R306" i="1" s="1"/>
  <c r="O307" i="1"/>
  <c r="Q307" i="1" s="1"/>
  <c r="R307" i="1" s="1"/>
  <c r="O308" i="1"/>
  <c r="Q308" i="1" s="1"/>
  <c r="R308" i="1" s="1"/>
  <c r="O311" i="1"/>
  <c r="O315" i="1"/>
  <c r="Q315" i="1" s="1"/>
  <c r="R315" i="1" s="1"/>
  <c r="O316" i="1"/>
  <c r="Q316" i="1" s="1"/>
  <c r="O317" i="1"/>
  <c r="Q317" i="1" s="1"/>
  <c r="R317" i="1" s="1"/>
  <c r="O319" i="1"/>
  <c r="O320" i="1"/>
  <c r="O323" i="1"/>
  <c r="O324" i="1"/>
  <c r="G235" i="2"/>
  <c r="G383" i="2" s="1"/>
  <c r="AF244" i="2"/>
  <c r="Q438" i="1"/>
  <c r="R438" i="1" s="1"/>
  <c r="Q439" i="1"/>
  <c r="R439" i="1" s="1"/>
  <c r="Q449" i="1"/>
  <c r="R449" i="1" s="1"/>
  <c r="Q450" i="1"/>
  <c r="R450" i="1" s="1"/>
  <c r="AF262" i="2"/>
  <c r="V262" i="2"/>
  <c r="T262" i="2"/>
  <c r="R262" i="2"/>
  <c r="L262" i="2"/>
  <c r="I262" i="2"/>
  <c r="G262" i="2"/>
  <c r="O274" i="1"/>
  <c r="O275" i="1"/>
  <c r="Q275" i="1" s="1"/>
  <c r="O276" i="1"/>
  <c r="Q276" i="1" s="1"/>
  <c r="O277" i="1"/>
  <c r="Q277" i="1" s="1"/>
  <c r="O278" i="1"/>
  <c r="O279" i="1"/>
  <c r="O269" i="1"/>
  <c r="O270" i="1"/>
  <c r="Q270" i="1" s="1"/>
  <c r="O288" i="1"/>
  <c r="O289" i="1"/>
  <c r="O290" i="1"/>
  <c r="O212" i="1"/>
  <c r="O213" i="1"/>
  <c r="O214" i="1"/>
  <c r="O215" i="1"/>
  <c r="O216" i="1"/>
  <c r="O217" i="1"/>
  <c r="D120" i="8"/>
  <c r="D121" i="8"/>
  <c r="D122" i="8"/>
  <c r="D119" i="8"/>
  <c r="D114" i="8"/>
  <c r="D115" i="8"/>
  <c r="D116" i="8"/>
  <c r="D117" i="8"/>
  <c r="D99" i="8"/>
  <c r="D100" i="8"/>
  <c r="D101" i="8"/>
  <c r="D98" i="8"/>
  <c r="D93" i="8"/>
  <c r="D94" i="8"/>
  <c r="D95" i="8"/>
  <c r="D96" i="8"/>
  <c r="D86" i="8"/>
  <c r="D87" i="8"/>
  <c r="D88" i="8"/>
  <c r="M48" i="8"/>
  <c r="M49" i="8"/>
  <c r="M50" i="8"/>
  <c r="M51" i="8"/>
  <c r="M52" i="8"/>
  <c r="M54" i="8"/>
  <c r="M55" i="8"/>
  <c r="M56" i="8"/>
  <c r="O92" i="1"/>
  <c r="C6" i="20"/>
  <c r="C5" i="20"/>
  <c r="C4" i="20"/>
  <c r="C3" i="20"/>
  <c r="C2" i="20"/>
  <c r="O182" i="1"/>
  <c r="O181" i="1"/>
  <c r="O178" i="1"/>
  <c r="O177" i="1"/>
  <c r="O176" i="1"/>
  <c r="O171" i="1"/>
  <c r="Q171" i="1" s="1"/>
  <c r="O170" i="1"/>
  <c r="O169" i="1"/>
  <c r="Q169" i="1" s="1"/>
  <c r="O167" i="1"/>
  <c r="Q167" i="1" s="1"/>
  <c r="O165" i="1"/>
  <c r="Q165" i="1" s="1"/>
  <c r="O164" i="1"/>
  <c r="Q164" i="1" s="1"/>
  <c r="R164" i="1" s="1"/>
  <c r="O67" i="1"/>
  <c r="O385" i="1" s="1"/>
  <c r="O68" i="1"/>
  <c r="O69" i="1"/>
  <c r="O70" i="1"/>
  <c r="E70" i="1" s="1"/>
  <c r="O88" i="1"/>
  <c r="O89" i="1"/>
  <c r="E89" i="1" s="1"/>
  <c r="O65" i="1"/>
  <c r="A86" i="12" s="1"/>
  <c r="O64" i="1"/>
  <c r="O63" i="1"/>
  <c r="B6" i="18"/>
  <c r="B5" i="18"/>
  <c r="B4" i="18"/>
  <c r="B3" i="18"/>
  <c r="B2" i="18"/>
  <c r="B6" i="17"/>
  <c r="B5" i="17"/>
  <c r="B4" i="17"/>
  <c r="B3" i="17"/>
  <c r="B2" i="17"/>
  <c r="B5" i="16"/>
  <c r="B4" i="16"/>
  <c r="B3" i="16"/>
  <c r="B2" i="16"/>
  <c r="O166" i="1"/>
  <c r="O42" i="1"/>
  <c r="O43" i="1"/>
  <c r="Q43" i="1" s="1"/>
  <c r="R43" i="1" s="1"/>
  <c r="O44" i="1"/>
  <c r="O47" i="1"/>
  <c r="O48" i="1"/>
  <c r="O49" i="1"/>
  <c r="O76" i="1"/>
  <c r="O77" i="1"/>
  <c r="O78" i="1"/>
  <c r="O93" i="1"/>
  <c r="O73" i="8" s="1"/>
  <c r="B6" i="15"/>
  <c r="B5" i="15"/>
  <c r="B4" i="15"/>
  <c r="B3" i="15"/>
  <c r="B2" i="15"/>
  <c r="B6" i="14"/>
  <c r="B5" i="14"/>
  <c r="B4" i="14"/>
  <c r="B3" i="14"/>
  <c r="B2" i="14"/>
  <c r="AF306" i="2"/>
  <c r="C6" i="13"/>
  <c r="C5" i="13"/>
  <c r="C4" i="13"/>
  <c r="C3" i="13"/>
  <c r="C6" i="12"/>
  <c r="C5" i="12"/>
  <c r="C4" i="12"/>
  <c r="C3" i="12"/>
  <c r="C2" i="12"/>
  <c r="B6" i="11"/>
  <c r="B5" i="11"/>
  <c r="B4" i="11"/>
  <c r="B3" i="11"/>
  <c r="B2" i="11"/>
  <c r="G512" i="2"/>
  <c r="I512" i="2"/>
  <c r="B35" i="10"/>
  <c r="B42" i="10" s="1"/>
  <c r="B6" i="10"/>
  <c r="B5" i="10"/>
  <c r="B4" i="10"/>
  <c r="B3" i="10"/>
  <c r="B6" i="9"/>
  <c r="B5" i="9"/>
  <c r="B4" i="9"/>
  <c r="B3" i="9"/>
  <c r="B2" i="9"/>
  <c r="G471" i="2"/>
  <c r="I471" i="2"/>
  <c r="D113" i="8"/>
  <c r="D92" i="8"/>
  <c r="D85" i="8"/>
  <c r="D84" i="8"/>
  <c r="D6" i="8"/>
  <c r="D5" i="8"/>
  <c r="D4" i="8"/>
  <c r="D3" i="8"/>
  <c r="B6" i="7"/>
  <c r="B5" i="7"/>
  <c r="B4" i="7"/>
  <c r="B2" i="7"/>
  <c r="C5" i="24"/>
  <c r="C4" i="24"/>
  <c r="C3" i="24"/>
  <c r="D5" i="23"/>
  <c r="D4" i="23"/>
  <c r="D3" i="23"/>
  <c r="D2" i="23"/>
  <c r="G387" i="1"/>
  <c r="Q386" i="1"/>
  <c r="G385" i="1"/>
  <c r="G45" i="1"/>
  <c r="O375" i="1"/>
  <c r="Q375" i="1" s="1"/>
  <c r="O374" i="1"/>
  <c r="Q374" i="1" s="1"/>
  <c r="O373" i="1"/>
  <c r="O367" i="1"/>
  <c r="O366" i="1"/>
  <c r="O362" i="1"/>
  <c r="O361" i="1"/>
  <c r="O359" i="1"/>
  <c r="Q359" i="1" s="1"/>
  <c r="R359" i="1" s="1"/>
  <c r="O358" i="1"/>
  <c r="Q358" i="1" s="1"/>
  <c r="O357" i="1"/>
  <c r="Q357" i="1" s="1"/>
  <c r="R357" i="1" s="1"/>
  <c r="O356" i="1"/>
  <c r="O342" i="1"/>
  <c r="O341" i="1"/>
  <c r="O340" i="1"/>
  <c r="Q340" i="1" s="1"/>
  <c r="R340" i="1" s="1"/>
  <c r="O337" i="1"/>
  <c r="O336" i="1"/>
  <c r="O335" i="1"/>
  <c r="Q335" i="1" s="1"/>
  <c r="O333" i="1"/>
  <c r="Q333" i="1" s="1"/>
  <c r="R333" i="1" s="1"/>
  <c r="O331" i="1"/>
  <c r="Q331" i="1" s="1"/>
  <c r="R331" i="1" s="1"/>
  <c r="O330" i="1"/>
  <c r="Q330" i="1" s="1"/>
  <c r="R330" i="1" s="1"/>
  <c r="C1" i="24"/>
  <c r="H63" i="23"/>
  <c r="K63" i="23"/>
  <c r="N63" i="23"/>
  <c r="Q63" i="23"/>
  <c r="T63" i="23"/>
  <c r="W63" i="23"/>
  <c r="Z63" i="23"/>
  <c r="AC63" i="23"/>
  <c r="AF63" i="23"/>
  <c r="AI63" i="23"/>
  <c r="AL63" i="23"/>
  <c r="AR63" i="23"/>
  <c r="AU63" i="23"/>
  <c r="AX63" i="23"/>
  <c r="BD63" i="23"/>
  <c r="BG63" i="23"/>
  <c r="BJ63" i="23"/>
  <c r="BM63" i="23"/>
  <c r="BP63" i="23"/>
  <c r="AF357" i="2"/>
  <c r="AF344" i="2"/>
  <c r="AF349" i="2"/>
  <c r="AF319" i="2"/>
  <c r="AF324" i="2"/>
  <c r="AF302" i="2"/>
  <c r="AF217" i="2"/>
  <c r="AF219" i="2" s="1"/>
  <c r="AF235" i="2"/>
  <c r="AF383" i="2" s="1"/>
  <c r="AF226" i="2"/>
  <c r="AF254" i="2"/>
  <c r="AF479" i="2"/>
  <c r="V44" i="2"/>
  <c r="AF464" i="2"/>
  <c r="AF441" i="2"/>
  <c r="AF428" i="2"/>
  <c r="AF378" i="2"/>
  <c r="AF28" i="2"/>
  <c r="AF366" i="2"/>
  <c r="AF368" i="2"/>
  <c r="AF335" i="2"/>
  <c r="AF294" i="2"/>
  <c r="AF282" i="2"/>
  <c r="AF208" i="2"/>
  <c r="AF200" i="2"/>
  <c r="AF167" i="2"/>
  <c r="AF169" i="2" s="1"/>
  <c r="AF141" i="2"/>
  <c r="AF113" i="2"/>
  <c r="AF107" i="2"/>
  <c r="AF54" i="2"/>
  <c r="AF44" i="2"/>
  <c r="AF40" i="2"/>
  <c r="AF33" i="2"/>
  <c r="AF73" i="2"/>
  <c r="AF69" i="2"/>
  <c r="AF62" i="2"/>
  <c r="V294" i="2"/>
  <c r="T294" i="2"/>
  <c r="R479" i="2"/>
  <c r="T479" i="2"/>
  <c r="V479" i="2"/>
  <c r="X479" i="2"/>
  <c r="Z479" i="2"/>
  <c r="R464" i="2"/>
  <c r="T464" i="2"/>
  <c r="V464" i="2"/>
  <c r="X464" i="2"/>
  <c r="R217" i="2"/>
  <c r="R219" i="2" s="1"/>
  <c r="R235" i="2"/>
  <c r="R244" i="2"/>
  <c r="R226" i="2"/>
  <c r="R428" i="2"/>
  <c r="R441" i="2"/>
  <c r="T217" i="2"/>
  <c r="T219" i="2" s="1"/>
  <c r="T226" i="2"/>
  <c r="T244" i="2"/>
  <c r="T235" i="2"/>
  <c r="T383" i="2" s="1"/>
  <c r="T441" i="2"/>
  <c r="T428" i="2"/>
  <c r="V217" i="2"/>
  <c r="V219" i="2" s="1"/>
  <c r="V235" i="2"/>
  <c r="V383" i="2" s="1"/>
  <c r="P402" i="1" s="1"/>
  <c r="V244" i="2"/>
  <c r="V226" i="2"/>
  <c r="V428" i="2"/>
  <c r="V441" i="2"/>
  <c r="X383" i="2"/>
  <c r="X441" i="2"/>
  <c r="Z383" i="2"/>
  <c r="R28" i="2"/>
  <c r="T28" i="2"/>
  <c r="V28" i="2"/>
  <c r="X365" i="2"/>
  <c r="R366" i="2"/>
  <c r="T366" i="2"/>
  <c r="V366" i="2"/>
  <c r="X366" i="2"/>
  <c r="R368" i="2"/>
  <c r="T368" i="2"/>
  <c r="V368" i="2"/>
  <c r="X368" i="2"/>
  <c r="R306" i="2"/>
  <c r="R302" i="2"/>
  <c r="R319" i="2"/>
  <c r="R324" i="2"/>
  <c r="R344" i="2"/>
  <c r="R349" i="2"/>
  <c r="R357" i="2"/>
  <c r="T302" i="2"/>
  <c r="T306" i="2"/>
  <c r="T357" i="2"/>
  <c r="T344" i="2"/>
  <c r="T349" i="2"/>
  <c r="T319" i="2"/>
  <c r="T324" i="2"/>
  <c r="V306" i="2"/>
  <c r="V302" i="2"/>
  <c r="V344" i="2"/>
  <c r="V349" i="2"/>
  <c r="V319" i="2"/>
  <c r="V324" i="2"/>
  <c r="V357" i="2"/>
  <c r="R254" i="2"/>
  <c r="T254" i="2"/>
  <c r="V254" i="2"/>
  <c r="R200" i="2"/>
  <c r="T200" i="2"/>
  <c r="V200" i="2"/>
  <c r="R117" i="2"/>
  <c r="R141" i="2"/>
  <c r="R167" i="2"/>
  <c r="R169" i="2" s="1"/>
  <c r="T113" i="2"/>
  <c r="T141" i="2"/>
  <c r="T521" i="2" s="1"/>
  <c r="T117" i="2"/>
  <c r="T167" i="2"/>
  <c r="T169" i="2" s="1"/>
  <c r="V141" i="2"/>
  <c r="V167" i="2"/>
  <c r="V169" i="2" s="1"/>
  <c r="R40" i="2"/>
  <c r="R44" i="2"/>
  <c r="R54" i="2"/>
  <c r="R33" i="2"/>
  <c r="R73" i="2"/>
  <c r="R69" i="2"/>
  <c r="R62" i="2"/>
  <c r="T33" i="2"/>
  <c r="T40" i="2"/>
  <c r="T44" i="2"/>
  <c r="T54" i="2"/>
  <c r="T73" i="2"/>
  <c r="T69" i="2"/>
  <c r="T62" i="2"/>
  <c r="V40" i="2"/>
  <c r="V54" i="2"/>
  <c r="V33" i="2"/>
  <c r="V73" i="2"/>
  <c r="V69" i="2"/>
  <c r="V62" i="2"/>
  <c r="L479" i="2"/>
  <c r="I479" i="2"/>
  <c r="L464" i="2"/>
  <c r="L217" i="2"/>
  <c r="L219" i="2" s="1"/>
  <c r="L235" i="2"/>
  <c r="L383" i="2" s="1"/>
  <c r="L244" i="2"/>
  <c r="L226" i="2"/>
  <c r="L428" i="2"/>
  <c r="L441" i="2"/>
  <c r="L28" i="2"/>
  <c r="L366" i="2"/>
  <c r="L368" i="2"/>
  <c r="L302" i="2"/>
  <c r="L306" i="2"/>
  <c r="L319" i="2"/>
  <c r="L324" i="2"/>
  <c r="L349" i="2"/>
  <c r="L357" i="2"/>
  <c r="L254" i="2"/>
  <c r="L200" i="2"/>
  <c r="L141" i="2"/>
  <c r="L167" i="2"/>
  <c r="L169" i="2" s="1"/>
  <c r="L40" i="2"/>
  <c r="L44" i="2"/>
  <c r="L54" i="2"/>
  <c r="L33" i="2"/>
  <c r="L73" i="2"/>
  <c r="L69" i="2"/>
  <c r="L62" i="2"/>
  <c r="G479" i="2"/>
  <c r="I217" i="2"/>
  <c r="I219" i="2" s="1"/>
  <c r="I235" i="2"/>
  <c r="I383" i="2" s="1"/>
  <c r="I226" i="2"/>
  <c r="I428" i="2"/>
  <c r="I441" i="2"/>
  <c r="I464" i="2"/>
  <c r="I28" i="2"/>
  <c r="I366" i="2"/>
  <c r="I368" i="2"/>
  <c r="I302" i="2"/>
  <c r="I306" i="2"/>
  <c r="I319" i="2"/>
  <c r="I324" i="2"/>
  <c r="I344" i="2"/>
  <c r="I349" i="2"/>
  <c r="I357" i="2"/>
  <c r="I254" i="2"/>
  <c r="I200" i="2"/>
  <c r="I141" i="2"/>
  <c r="I167" i="2"/>
  <c r="I169" i="2" s="1"/>
  <c r="I40" i="2"/>
  <c r="I44" i="2"/>
  <c r="I54" i="2"/>
  <c r="I33" i="2"/>
  <c r="I73" i="2"/>
  <c r="I69" i="2"/>
  <c r="I62" i="2"/>
  <c r="G69" i="2"/>
  <c r="G62" i="2"/>
  <c r="G54" i="2"/>
  <c r="G217" i="2"/>
  <c r="G219" i="2" s="1"/>
  <c r="G244" i="2"/>
  <c r="G226" i="2"/>
  <c r="G428" i="2"/>
  <c r="G441" i="2"/>
  <c r="G464" i="2"/>
  <c r="G368" i="2"/>
  <c r="G366" i="2"/>
  <c r="G28" i="2"/>
  <c r="G302" i="2"/>
  <c r="G306" i="2"/>
  <c r="G319" i="2"/>
  <c r="G324" i="2"/>
  <c r="G344" i="2"/>
  <c r="G349" i="2"/>
  <c r="G357" i="2"/>
  <c r="G254" i="2"/>
  <c r="G200" i="2"/>
  <c r="G40" i="2"/>
  <c r="G44" i="2"/>
  <c r="I59" i="18"/>
  <c r="I60" i="18"/>
  <c r="A14" i="15"/>
  <c r="G57" i="1"/>
  <c r="G61" i="1"/>
  <c r="G71" i="1"/>
  <c r="C66" i="10"/>
  <c r="A2" i="20"/>
  <c r="A3" i="20"/>
  <c r="A4" i="20"/>
  <c r="A5" i="20"/>
  <c r="A6" i="20"/>
  <c r="A7" i="20"/>
  <c r="A1" i="20"/>
  <c r="A2" i="18"/>
  <c r="A3" i="18"/>
  <c r="A4" i="18"/>
  <c r="A5" i="18"/>
  <c r="A6" i="18"/>
  <c r="A7" i="18"/>
  <c r="A1" i="18"/>
  <c r="A2" i="17"/>
  <c r="A3" i="17"/>
  <c r="A4" i="17"/>
  <c r="A5" i="17"/>
  <c r="A6" i="17"/>
  <c r="A7" i="17"/>
  <c r="A1" i="17"/>
  <c r="A2" i="16"/>
  <c r="A3" i="16"/>
  <c r="A4" i="16"/>
  <c r="A5" i="16"/>
  <c r="A6" i="16"/>
  <c r="A7" i="16"/>
  <c r="A1" i="16"/>
  <c r="A2" i="15"/>
  <c r="A3" i="15"/>
  <c r="A4" i="15"/>
  <c r="A5" i="15"/>
  <c r="A6" i="15"/>
  <c r="A7" i="15"/>
  <c r="A1" i="15"/>
  <c r="A2" i="14"/>
  <c r="A3" i="14"/>
  <c r="A4" i="14"/>
  <c r="A5" i="14"/>
  <c r="A6" i="14"/>
  <c r="A7" i="14"/>
  <c r="A1" i="14"/>
  <c r="A2" i="13"/>
  <c r="A3" i="13"/>
  <c r="A4" i="13"/>
  <c r="A5" i="13"/>
  <c r="A6" i="13"/>
  <c r="A7" i="13"/>
  <c r="A1" i="13"/>
  <c r="A2" i="12"/>
  <c r="A3" i="12"/>
  <c r="A4" i="12"/>
  <c r="A5" i="12"/>
  <c r="A6" i="12"/>
  <c r="A7" i="12"/>
  <c r="A1" i="12"/>
  <c r="A2" i="11"/>
  <c r="A3" i="11"/>
  <c r="A4" i="11"/>
  <c r="A5" i="11"/>
  <c r="A6" i="11"/>
  <c r="A7" i="11"/>
  <c r="A1" i="11"/>
  <c r="A2" i="10"/>
  <c r="A3" i="10"/>
  <c r="A4" i="10"/>
  <c r="A5" i="10"/>
  <c r="A6" i="10"/>
  <c r="A7" i="10"/>
  <c r="A1" i="10"/>
  <c r="A2" i="9"/>
  <c r="A3" i="9"/>
  <c r="A4" i="9"/>
  <c r="A5" i="9"/>
  <c r="A6" i="9"/>
  <c r="A7" i="9"/>
  <c r="A1" i="9"/>
  <c r="A2" i="8"/>
  <c r="A3" i="8"/>
  <c r="A4" i="8"/>
  <c r="A5" i="8"/>
  <c r="A6" i="8"/>
  <c r="A7" i="8"/>
  <c r="A1" i="8"/>
  <c r="A2" i="7"/>
  <c r="A3" i="7"/>
  <c r="A4" i="7"/>
  <c r="A5" i="7"/>
  <c r="A6" i="7"/>
  <c r="A7" i="7"/>
  <c r="A1" i="7"/>
  <c r="H45" i="1"/>
  <c r="H384" i="1" s="1"/>
  <c r="H50" i="1"/>
  <c r="H57" i="1"/>
  <c r="H61" i="1"/>
  <c r="H71" i="1"/>
  <c r="I48" i="18"/>
  <c r="I49" i="18"/>
  <c r="Z378" i="2"/>
  <c r="X378" i="2"/>
  <c r="V378" i="2"/>
  <c r="T378" i="2"/>
  <c r="R378" i="2"/>
  <c r="L378" i="2"/>
  <c r="Z335" i="2"/>
  <c r="X335" i="2"/>
  <c r="V335" i="2"/>
  <c r="T335" i="2"/>
  <c r="R335" i="2"/>
  <c r="L335" i="2"/>
  <c r="Z282" i="2"/>
  <c r="X282" i="2"/>
  <c r="V282" i="2"/>
  <c r="T282" i="2"/>
  <c r="R282" i="2"/>
  <c r="L282" i="2"/>
  <c r="Z208" i="2"/>
  <c r="X208" i="2"/>
  <c r="V208" i="2"/>
  <c r="T208" i="2"/>
  <c r="R208" i="2"/>
  <c r="L208" i="2"/>
  <c r="Z107" i="2"/>
  <c r="X107" i="2"/>
  <c r="V107" i="2"/>
  <c r="T107" i="2"/>
  <c r="R107" i="2"/>
  <c r="L107" i="2"/>
  <c r="M45" i="1"/>
  <c r="M384" i="1" s="1"/>
  <c r="M385" i="1"/>
  <c r="M387" i="1"/>
  <c r="N45" i="1"/>
  <c r="N384" i="1" s="1"/>
  <c r="N385" i="1"/>
  <c r="N387" i="1"/>
  <c r="H387" i="1"/>
  <c r="H385" i="1"/>
  <c r="I45" i="1"/>
  <c r="I384" i="1" s="1"/>
  <c r="I387" i="1"/>
  <c r="I385" i="1"/>
  <c r="K45" i="1"/>
  <c r="K387" i="1"/>
  <c r="K385" i="1"/>
  <c r="L45" i="1"/>
  <c r="L387" i="1"/>
  <c r="L385" i="1"/>
  <c r="M61" i="1"/>
  <c r="M57" i="1"/>
  <c r="M50" i="1"/>
  <c r="M71" i="1"/>
  <c r="N50" i="1"/>
  <c r="N57" i="1"/>
  <c r="N61" i="1"/>
  <c r="N71" i="1"/>
  <c r="I57" i="1"/>
  <c r="I61" i="1"/>
  <c r="I71" i="1"/>
  <c r="I50" i="1"/>
  <c r="K57" i="1"/>
  <c r="K61" i="1"/>
  <c r="K50" i="1"/>
  <c r="K71" i="1"/>
  <c r="L57" i="1"/>
  <c r="L61" i="1"/>
  <c r="L50" i="1"/>
  <c r="L71" i="1"/>
  <c r="M397" i="1"/>
  <c r="L397" i="1"/>
  <c r="K354" i="1"/>
  <c r="T397" i="1"/>
  <c r="T354" i="1"/>
  <c r="T301" i="1"/>
  <c r="T226" i="1"/>
  <c r="T124" i="1"/>
  <c r="A10" i="14"/>
  <c r="A10" i="18"/>
  <c r="A10" i="17"/>
  <c r="A10" i="16"/>
  <c r="A10" i="13"/>
  <c r="A10" i="12"/>
  <c r="A10" i="11"/>
  <c r="A10" i="10"/>
  <c r="A10" i="9"/>
  <c r="A10" i="8"/>
  <c r="A540" i="2"/>
  <c r="N397" i="1"/>
  <c r="N354" i="1"/>
  <c r="N301" i="1"/>
  <c r="N226" i="1"/>
  <c r="N124" i="1"/>
  <c r="I397" i="1"/>
  <c r="I354" i="1"/>
  <c r="I301" i="1"/>
  <c r="I226" i="1"/>
  <c r="I124" i="1"/>
  <c r="O397" i="1"/>
  <c r="O354" i="1"/>
  <c r="O301" i="1"/>
  <c r="O226" i="1"/>
  <c r="O124" i="1"/>
  <c r="H397" i="1"/>
  <c r="H354" i="1"/>
  <c r="H301" i="1"/>
  <c r="H226" i="1"/>
  <c r="H124" i="1"/>
  <c r="A104" i="2"/>
  <c r="A105" i="2"/>
  <c r="A206" i="2" s="1"/>
  <c r="A280" i="2"/>
  <c r="A332" i="2" s="1"/>
  <c r="A375" i="2" s="1"/>
  <c r="A331" i="2"/>
  <c r="D1" i="8"/>
  <c r="B1" i="18"/>
  <c r="B1" i="17"/>
  <c r="G124" i="1"/>
  <c r="G226" i="1"/>
  <c r="G301" i="1"/>
  <c r="G354" i="1"/>
  <c r="G397" i="1"/>
  <c r="R397" i="1"/>
  <c r="Q397" i="1"/>
  <c r="S124" i="1"/>
  <c r="F397" i="1"/>
  <c r="F354" i="1"/>
  <c r="F301" i="1"/>
  <c r="S226" i="1"/>
  <c r="F226" i="1"/>
  <c r="F124" i="1"/>
  <c r="A299" i="1"/>
  <c r="A351" i="1" s="1"/>
  <c r="A394" i="1" s="1"/>
  <c r="A391" i="1"/>
  <c r="A350" i="1"/>
  <c r="A348" i="1"/>
  <c r="A296" i="1"/>
  <c r="A122" i="1"/>
  <c r="A224" i="1" s="1"/>
  <c r="A221" i="1"/>
  <c r="A121" i="1"/>
  <c r="A119" i="1"/>
  <c r="C1" i="20"/>
  <c r="B1" i="15"/>
  <c r="B1" i="16"/>
  <c r="B1" i="7"/>
  <c r="B1" i="9"/>
  <c r="F17" i="10"/>
  <c r="F16" i="10"/>
  <c r="E17" i="10"/>
  <c r="E16" i="10"/>
  <c r="B1" i="10"/>
  <c r="B1" i="11"/>
  <c r="C1" i="12"/>
  <c r="C1" i="13"/>
  <c r="B1" i="14"/>
  <c r="E80" i="18"/>
  <c r="L301" i="1"/>
  <c r="K397" i="1"/>
  <c r="K124" i="1"/>
  <c r="L354" i="1"/>
  <c r="K301" i="1"/>
  <c r="L226" i="1"/>
  <c r="M226" i="1"/>
  <c r="P135" i="1"/>
  <c r="P447" i="1"/>
  <c r="P262" i="1"/>
  <c r="P187" i="1"/>
  <c r="P460" i="1"/>
  <c r="P363" i="1"/>
  <c r="P280" i="1"/>
  <c r="P253" i="1"/>
  <c r="P131" i="1"/>
  <c r="P321" i="1"/>
  <c r="P272" i="1"/>
  <c r="E362" i="1" l="1"/>
  <c r="Q362" i="1"/>
  <c r="E324" i="1"/>
  <c r="Q324" i="1"/>
  <c r="R324" i="1" s="1"/>
  <c r="E341" i="1"/>
  <c r="Q341" i="1"/>
  <c r="E366" i="1"/>
  <c r="Q366" i="1"/>
  <c r="Q368" i="1" s="1"/>
  <c r="R368" i="1" s="1"/>
  <c r="E323" i="1"/>
  <c r="Q323" i="1"/>
  <c r="R323" i="1" s="1"/>
  <c r="O244" i="1"/>
  <c r="Q242" i="1"/>
  <c r="Q244" i="1" s="1"/>
  <c r="R244" i="1" s="1"/>
  <c r="E361" i="1"/>
  <c r="Q361" i="1"/>
  <c r="R361" i="1" s="1"/>
  <c r="F358" i="25" s="1"/>
  <c r="E342" i="1"/>
  <c r="Q342" i="1"/>
  <c r="E367" i="1"/>
  <c r="Q367" i="1"/>
  <c r="E170" i="1"/>
  <c r="Q170" i="1"/>
  <c r="Q172" i="1" s="1"/>
  <c r="R172" i="1" s="1"/>
  <c r="E288" i="1"/>
  <c r="Q288" i="1"/>
  <c r="E320" i="1"/>
  <c r="Q320" i="1"/>
  <c r="R320" i="1" s="1"/>
  <c r="E337" i="1"/>
  <c r="Q337" i="1"/>
  <c r="O313" i="1"/>
  <c r="Q311" i="1"/>
  <c r="Q313" i="1" s="1"/>
  <c r="R313" i="1" s="1"/>
  <c r="E79" i="18"/>
  <c r="Q356" i="1"/>
  <c r="R356" i="1" s="1"/>
  <c r="E319" i="1"/>
  <c r="Q319" i="1"/>
  <c r="R319" i="1" s="1"/>
  <c r="E279" i="1"/>
  <c r="Q279" i="1"/>
  <c r="R279" i="1" s="1"/>
  <c r="E336" i="1"/>
  <c r="Q336" i="1"/>
  <c r="E110" i="18"/>
  <c r="Q278" i="1"/>
  <c r="R278" i="1" s="1"/>
  <c r="E146" i="1"/>
  <c r="Q146" i="1"/>
  <c r="Q148" i="1" s="1"/>
  <c r="R148" i="1" s="1"/>
  <c r="AF521" i="2"/>
  <c r="AF365" i="2"/>
  <c r="V521" i="2"/>
  <c r="V365" i="2"/>
  <c r="T365" i="2"/>
  <c r="R521" i="2"/>
  <c r="R365" i="2"/>
  <c r="P361" i="2"/>
  <c r="E576" i="2" s="1"/>
  <c r="R576" i="2" s="1"/>
  <c r="P370" i="2"/>
  <c r="P201" i="2"/>
  <c r="L521" i="2"/>
  <c r="L365" i="2"/>
  <c r="I521" i="2"/>
  <c r="I365" i="2"/>
  <c r="G169" i="2"/>
  <c r="G521" i="2"/>
  <c r="G365" i="2"/>
  <c r="E130" i="1"/>
  <c r="Q130" i="1"/>
  <c r="R130" i="1" s="1"/>
  <c r="E138" i="1"/>
  <c r="Q138" i="1"/>
  <c r="R138" i="1" s="1"/>
  <c r="Q139" i="1"/>
  <c r="R139" i="1" s="1"/>
  <c r="Q158" i="1"/>
  <c r="R158" i="1"/>
  <c r="F155" i="25" s="1"/>
  <c r="Q157" i="1"/>
  <c r="R157" i="1"/>
  <c r="F154" i="25" s="1"/>
  <c r="Q154" i="1"/>
  <c r="R154" i="1" s="1"/>
  <c r="Q152" i="1"/>
  <c r="R152" i="1" s="1"/>
  <c r="D76" i="9"/>
  <c r="Q166" i="1"/>
  <c r="R166" i="1"/>
  <c r="Q181" i="1"/>
  <c r="R181" i="1" s="1"/>
  <c r="F178" i="25" s="1"/>
  <c r="E182" i="1"/>
  <c r="Q182" i="1"/>
  <c r="R182" i="1"/>
  <c r="F179" i="25" s="1"/>
  <c r="Q176" i="1"/>
  <c r="Q177" i="1"/>
  <c r="R177" i="1" s="1"/>
  <c r="Q178" i="1"/>
  <c r="R178" i="1" s="1"/>
  <c r="Q212" i="1"/>
  <c r="R212" i="1" s="1"/>
  <c r="Q217" i="1"/>
  <c r="R217" i="1" s="1"/>
  <c r="E216" i="1"/>
  <c r="Q216" i="1"/>
  <c r="R216" i="1"/>
  <c r="E215" i="1"/>
  <c r="Q215" i="1"/>
  <c r="R215" i="1"/>
  <c r="E214" i="1"/>
  <c r="Q214" i="1"/>
  <c r="R214" i="1" s="1"/>
  <c r="E213" i="1"/>
  <c r="Q213" i="1"/>
  <c r="R213" i="1" s="1"/>
  <c r="E234" i="1"/>
  <c r="Q234" i="1"/>
  <c r="Q235" i="1" s="1"/>
  <c r="Q228" i="1"/>
  <c r="R228" i="1" s="1"/>
  <c r="Q248" i="1"/>
  <c r="R248" i="1" s="1"/>
  <c r="Q247" i="1"/>
  <c r="R247" i="1" s="1"/>
  <c r="Q249" i="1"/>
  <c r="R249" i="1" s="1"/>
  <c r="G59" i="8"/>
  <c r="Q251" i="1"/>
  <c r="R251" i="1" s="1"/>
  <c r="G70" i="8"/>
  <c r="Q252" i="1"/>
  <c r="R252" i="1" s="1"/>
  <c r="E261" i="1"/>
  <c r="Q261" i="1"/>
  <c r="Q262" i="1" s="1"/>
  <c r="Q269" i="1"/>
  <c r="Q272" i="1" s="1"/>
  <c r="R272" i="1" s="1"/>
  <c r="Q274" i="1"/>
  <c r="F41" i="16"/>
  <c r="Q290" i="1"/>
  <c r="R290" i="1" s="1"/>
  <c r="Q289" i="1"/>
  <c r="R289" i="1" s="1"/>
  <c r="F286" i="25" s="1"/>
  <c r="Q373" i="1"/>
  <c r="E370" i="25" s="1"/>
  <c r="R373" i="1"/>
  <c r="F370" i="25" s="1"/>
  <c r="Q140" i="1"/>
  <c r="R140" i="1" s="1"/>
  <c r="F43" i="9"/>
  <c r="Q134" i="1"/>
  <c r="R134" i="1" s="1"/>
  <c r="F131" i="25" s="1"/>
  <c r="D62" i="9"/>
  <c r="Q133" i="1"/>
  <c r="Q84" i="1"/>
  <c r="E81" i="25" s="1"/>
  <c r="R84" i="1"/>
  <c r="Q69" i="1"/>
  <c r="E66" i="25" s="1"/>
  <c r="R69" i="1"/>
  <c r="Q55" i="1"/>
  <c r="E52" i="25" s="1"/>
  <c r="R55" i="1"/>
  <c r="Q41" i="1"/>
  <c r="R41" i="1" s="1"/>
  <c r="Q82" i="1"/>
  <c r="E79" i="25" s="1"/>
  <c r="Q65" i="1"/>
  <c r="R65" i="1" s="1"/>
  <c r="Q53" i="1"/>
  <c r="E50" i="25" s="1"/>
  <c r="Q68" i="1"/>
  <c r="E65" i="25" s="1"/>
  <c r="R68" i="1"/>
  <c r="Q93" i="1"/>
  <c r="R93" i="1" s="1"/>
  <c r="Q81" i="1"/>
  <c r="R81" i="1" s="1"/>
  <c r="Q64" i="1"/>
  <c r="R64" i="1" s="1"/>
  <c r="Q52" i="1"/>
  <c r="R52" i="1" s="1"/>
  <c r="Q83" i="1"/>
  <c r="E80" i="25" s="1"/>
  <c r="Q92" i="1"/>
  <c r="R92" i="1" s="1"/>
  <c r="Q78" i="1"/>
  <c r="E75" i="25" s="1"/>
  <c r="R78" i="1"/>
  <c r="Q63" i="1"/>
  <c r="R63" i="1" s="1"/>
  <c r="Q49" i="1"/>
  <c r="R49" i="1" s="1"/>
  <c r="Q40" i="1"/>
  <c r="R40" i="1" s="1"/>
  <c r="Q89" i="1"/>
  <c r="Q77" i="1"/>
  <c r="E74" i="25" s="1"/>
  <c r="R77" i="1"/>
  <c r="Q60" i="1"/>
  <c r="R60" i="1" s="1"/>
  <c r="Q48" i="1"/>
  <c r="E45" i="25" s="1"/>
  <c r="R48" i="1"/>
  <c r="Q67" i="1"/>
  <c r="R67" i="1" s="1"/>
  <c r="Q88" i="1"/>
  <c r="R88" i="1"/>
  <c r="Q76" i="1"/>
  <c r="R76" i="1"/>
  <c r="Q59" i="1"/>
  <c r="R59" i="1" s="1"/>
  <c r="Q47" i="1"/>
  <c r="Q44" i="1"/>
  <c r="E41" i="25" s="1"/>
  <c r="R44" i="1"/>
  <c r="Q54" i="1"/>
  <c r="R54" i="1" s="1"/>
  <c r="Q85" i="1"/>
  <c r="R85" i="1" s="1"/>
  <c r="Q70" i="1"/>
  <c r="R70" i="1" s="1"/>
  <c r="Q56" i="1"/>
  <c r="R56" i="1" s="1"/>
  <c r="Q42" i="1"/>
  <c r="R42" i="1" s="1"/>
  <c r="F494" i="1"/>
  <c r="B16" i="12"/>
  <c r="B15" i="12"/>
  <c r="B20" i="12"/>
  <c r="B19" i="12"/>
  <c r="B17" i="12"/>
  <c r="C39" i="10"/>
  <c r="D39" i="10" s="1"/>
  <c r="C41" i="10"/>
  <c r="D41" i="10" s="1"/>
  <c r="C40" i="10"/>
  <c r="D40" i="10" s="1"/>
  <c r="D110" i="8"/>
  <c r="G131" i="8"/>
  <c r="J131" i="8" s="1"/>
  <c r="G119" i="8"/>
  <c r="J119" i="8" s="1"/>
  <c r="G106" i="8"/>
  <c r="J106" i="8" s="1"/>
  <c r="G130" i="8"/>
  <c r="J130" i="8" s="1"/>
  <c r="G117" i="8"/>
  <c r="J117" i="8" s="1"/>
  <c r="G129" i="8"/>
  <c r="J129" i="8" s="1"/>
  <c r="G116" i="8"/>
  <c r="J116" i="8" s="1"/>
  <c r="G104" i="8"/>
  <c r="J104" i="8" s="1"/>
  <c r="G115" i="8"/>
  <c r="J115" i="8" s="1"/>
  <c r="G103" i="8"/>
  <c r="J103" i="8" s="1"/>
  <c r="G120" i="8"/>
  <c r="J120" i="8" s="1"/>
  <c r="G128" i="8"/>
  <c r="J128" i="8" s="1"/>
  <c r="G105" i="8"/>
  <c r="J105" i="8" s="1"/>
  <c r="G127" i="8"/>
  <c r="G114" i="8"/>
  <c r="J114" i="8" s="1"/>
  <c r="G101" i="8"/>
  <c r="J101" i="8" s="1"/>
  <c r="G122" i="8"/>
  <c r="J122" i="8" s="1"/>
  <c r="G113" i="8"/>
  <c r="J113" i="8" s="1"/>
  <c r="G132" i="8"/>
  <c r="J132" i="8" s="1"/>
  <c r="G121" i="8"/>
  <c r="J121" i="8" s="1"/>
  <c r="G108" i="8"/>
  <c r="J108" i="8" s="1"/>
  <c r="G107" i="8"/>
  <c r="J107" i="8" s="1"/>
  <c r="M45" i="8"/>
  <c r="G98" i="8"/>
  <c r="J98" i="8" s="1"/>
  <c r="G96" i="8"/>
  <c r="J96" i="8" s="1"/>
  <c r="G94" i="8"/>
  <c r="J94" i="8" s="1"/>
  <c r="G99" i="8"/>
  <c r="J99" i="8" s="1"/>
  <c r="G95" i="8"/>
  <c r="J95" i="8" s="1"/>
  <c r="G100" i="8"/>
  <c r="J100" i="8" s="1"/>
  <c r="L161" i="1"/>
  <c r="G92" i="8"/>
  <c r="G86" i="8"/>
  <c r="J86" i="8" s="1"/>
  <c r="G85" i="8"/>
  <c r="J85" i="8" s="1"/>
  <c r="G88" i="8"/>
  <c r="J88" i="8" s="1"/>
  <c r="G84" i="8"/>
  <c r="J84" i="8" s="1"/>
  <c r="G93" i="8"/>
  <c r="J93" i="8" s="1"/>
  <c r="G87" i="8"/>
  <c r="J87" i="8" s="1"/>
  <c r="C35" i="10"/>
  <c r="C36" i="10"/>
  <c r="D36" i="10" s="1"/>
  <c r="C37" i="10"/>
  <c r="D37" i="10" s="1"/>
  <c r="C38" i="10"/>
  <c r="D38" i="10" s="1"/>
  <c r="B111" i="10"/>
  <c r="B110" i="10"/>
  <c r="G108" i="30"/>
  <c r="F24" i="10"/>
  <c r="E24" i="10"/>
  <c r="L24" i="10" s="1"/>
  <c r="E23" i="10"/>
  <c r="L23" i="10" s="1"/>
  <c r="F23" i="10"/>
  <c r="F20" i="10"/>
  <c r="F52" i="10" s="1"/>
  <c r="E20" i="10"/>
  <c r="E19" i="10"/>
  <c r="F19" i="10"/>
  <c r="F97" i="10" s="1"/>
  <c r="F18" i="10"/>
  <c r="E18" i="10"/>
  <c r="M23" i="10"/>
  <c r="K161" i="1"/>
  <c r="E158" i="1"/>
  <c r="M24" i="10"/>
  <c r="B67" i="10"/>
  <c r="M20" i="10"/>
  <c r="M19" i="10"/>
  <c r="M18" i="10"/>
  <c r="O253" i="1"/>
  <c r="O402" i="1" s="1"/>
  <c r="Q402" i="1" s="1"/>
  <c r="R402" i="1" s="1"/>
  <c r="O148" i="1"/>
  <c r="D61" i="9"/>
  <c r="H161" i="1"/>
  <c r="M161" i="1"/>
  <c r="G161" i="1"/>
  <c r="F239" i="25"/>
  <c r="E43" i="18"/>
  <c r="O436" i="1"/>
  <c r="E38" i="18"/>
  <c r="E41" i="18" s="1"/>
  <c r="O431" i="1"/>
  <c r="I161" i="1"/>
  <c r="N161" i="1"/>
  <c r="J161" i="1"/>
  <c r="J189" i="1" s="1"/>
  <c r="J193" i="1" s="1"/>
  <c r="R143" i="2"/>
  <c r="V143" i="2"/>
  <c r="I143" i="2"/>
  <c r="L143" i="2"/>
  <c r="T143" i="2"/>
  <c r="AF143" i="2"/>
  <c r="AF264" i="2"/>
  <c r="E35" i="18"/>
  <c r="G143" i="2"/>
  <c r="G171" i="2" s="1"/>
  <c r="G175" i="2" s="1"/>
  <c r="L264" i="2"/>
  <c r="O172" i="1"/>
  <c r="N282" i="1"/>
  <c r="K370" i="1"/>
  <c r="B209" i="10"/>
  <c r="F308" i="25"/>
  <c r="F22" i="16"/>
  <c r="F23" i="16"/>
  <c r="O235" i="1"/>
  <c r="O237" i="1" s="1"/>
  <c r="D77" i="9"/>
  <c r="L327" i="1"/>
  <c r="E106" i="18"/>
  <c r="B17" i="17"/>
  <c r="B47" i="17" s="1"/>
  <c r="H370" i="1"/>
  <c r="M370" i="1"/>
  <c r="O368" i="1"/>
  <c r="B55" i="17"/>
  <c r="E55" i="17" s="1"/>
  <c r="F55" i="17" s="1"/>
  <c r="O460" i="1"/>
  <c r="E18" i="18"/>
  <c r="I246" i="2"/>
  <c r="I248" i="2" s="1"/>
  <c r="I380" i="2" s="1"/>
  <c r="I448" i="2" s="1"/>
  <c r="T264" i="2"/>
  <c r="E226" i="25"/>
  <c r="F226" i="25"/>
  <c r="G69" i="18"/>
  <c r="I69" i="18" s="1"/>
  <c r="K69" i="18" s="1"/>
  <c r="G68" i="18"/>
  <c r="I68" i="18" s="1"/>
  <c r="K68" i="18" s="1"/>
  <c r="N73" i="1"/>
  <c r="O280" i="1"/>
  <c r="O131" i="1"/>
  <c r="O159" i="1"/>
  <c r="B51" i="17"/>
  <c r="E51" i="17" s="1"/>
  <c r="F51" i="17" s="1"/>
  <c r="F40" i="16"/>
  <c r="E301" i="25"/>
  <c r="F301" i="25"/>
  <c r="E327" i="25"/>
  <c r="F327" i="25"/>
  <c r="P385" i="1"/>
  <c r="Q385" i="1" s="1"/>
  <c r="P387" i="1"/>
  <c r="E337" i="25"/>
  <c r="F337" i="25"/>
  <c r="G264" i="2"/>
  <c r="O338" i="1"/>
  <c r="O86" i="1"/>
  <c r="D30" i="7" s="1"/>
  <c r="O90" i="1"/>
  <c r="E55" i="18"/>
  <c r="E57" i="18" s="1"/>
  <c r="V56" i="2"/>
  <c r="H73" i="1"/>
  <c r="O22" i="8"/>
  <c r="O376" i="1"/>
  <c r="D89" i="8"/>
  <c r="O272" i="1"/>
  <c r="N327" i="1"/>
  <c r="I327" i="1"/>
  <c r="O61" i="1"/>
  <c r="G327" i="1"/>
  <c r="D209" i="10"/>
  <c r="M264" i="1"/>
  <c r="M266" i="1" s="1"/>
  <c r="M399" i="1" s="1"/>
  <c r="I370" i="1"/>
  <c r="L370" i="1"/>
  <c r="N370" i="1"/>
  <c r="T308" i="2"/>
  <c r="G369" i="2"/>
  <c r="O363" i="1"/>
  <c r="O343" i="1"/>
  <c r="O321" i="1"/>
  <c r="O71" i="1"/>
  <c r="O185" i="1"/>
  <c r="D7" i="8"/>
  <c r="B7" i="18"/>
  <c r="B56" i="17"/>
  <c r="E56" i="17" s="1"/>
  <c r="F56" i="17" s="1"/>
  <c r="I73" i="1"/>
  <c r="K384" i="1"/>
  <c r="K73" i="1"/>
  <c r="E105" i="18"/>
  <c r="G384" i="1"/>
  <c r="G73" i="1"/>
  <c r="O79" i="1"/>
  <c r="B52" i="17"/>
  <c r="E52" i="17" s="1"/>
  <c r="F52" i="17" s="1"/>
  <c r="D123" i="8"/>
  <c r="D136" i="8" s="1"/>
  <c r="Q453" i="1"/>
  <c r="R453" i="1" s="1"/>
  <c r="E63" i="18"/>
  <c r="E70" i="18" s="1"/>
  <c r="O447" i="1"/>
  <c r="Q435" i="1"/>
  <c r="R435" i="1" s="1"/>
  <c r="E45" i="18"/>
  <c r="O262" i="1"/>
  <c r="G58" i="8"/>
  <c r="B210" i="10"/>
  <c r="M73" i="1"/>
  <c r="L73" i="1"/>
  <c r="I264" i="2"/>
  <c r="V264" i="2"/>
  <c r="R264" i="2"/>
  <c r="AF308" i="2"/>
  <c r="O57" i="1"/>
  <c r="O135" i="1"/>
  <c r="H264" i="1"/>
  <c r="H266" i="1" s="1"/>
  <c r="K264" i="1"/>
  <c r="K266" i="1" s="1"/>
  <c r="N264" i="1"/>
  <c r="N266" i="1" s="1"/>
  <c r="M282" i="1"/>
  <c r="K282" i="1"/>
  <c r="H282" i="1"/>
  <c r="N345" i="1"/>
  <c r="L345" i="1"/>
  <c r="I345" i="1"/>
  <c r="G345" i="1"/>
  <c r="J95" i="1"/>
  <c r="J282" i="1"/>
  <c r="J327" i="1"/>
  <c r="F144" i="25"/>
  <c r="E296" i="1"/>
  <c r="E348" i="1"/>
  <c r="L384" i="1"/>
  <c r="K327" i="1"/>
  <c r="O387" i="1"/>
  <c r="F490" i="1"/>
  <c r="B100" i="12"/>
  <c r="B101" i="12"/>
  <c r="F489" i="1"/>
  <c r="O325" i="1"/>
  <c r="H95" i="1"/>
  <c r="K95" i="1"/>
  <c r="M95" i="1"/>
  <c r="G264" i="1"/>
  <c r="G266" i="1" s="1"/>
  <c r="L282" i="1"/>
  <c r="I282" i="1"/>
  <c r="G282" i="1"/>
  <c r="M345" i="1"/>
  <c r="K345" i="1"/>
  <c r="H345" i="1"/>
  <c r="B66" i="10"/>
  <c r="B78" i="10" s="1"/>
  <c r="B80" i="10" s="1"/>
  <c r="B81" i="10" s="1"/>
  <c r="A84" i="10" s="1"/>
  <c r="E221" i="1"/>
  <c r="G78" i="2"/>
  <c r="D66" i="10"/>
  <c r="M58" i="8"/>
  <c r="M71" i="8" s="1"/>
  <c r="J75" i="8"/>
  <c r="M22" i="8"/>
  <c r="BS63" i="23"/>
  <c r="I351" i="2"/>
  <c r="V507" i="2"/>
  <c r="V509" i="2" s="1"/>
  <c r="L308" i="2"/>
  <c r="P576" i="2"/>
  <c r="V326" i="2"/>
  <c r="G351" i="2"/>
  <c r="AF351" i="2"/>
  <c r="AG479" i="2"/>
  <c r="AG492" i="2"/>
  <c r="AG505" i="2"/>
  <c r="C5" i="19"/>
  <c r="E25" i="18"/>
  <c r="D90" i="9"/>
  <c r="D91" i="9"/>
  <c r="O45" i="1"/>
  <c r="O384" i="1" s="1"/>
  <c r="B26" i="14"/>
  <c r="G308" i="2"/>
  <c r="I326" i="2"/>
  <c r="T507" i="2"/>
  <c r="T509" i="2" s="1"/>
  <c r="X507" i="2"/>
  <c r="X509" i="2" s="1"/>
  <c r="AF507" i="2"/>
  <c r="AF509" i="2" s="1"/>
  <c r="E580" i="2"/>
  <c r="R580" i="2" s="1"/>
  <c r="AF326" i="2"/>
  <c r="B18" i="12"/>
  <c r="F188" i="25"/>
  <c r="E7" i="25"/>
  <c r="G40" i="18"/>
  <c r="I40" i="18" s="1"/>
  <c r="K40" i="18" s="1"/>
  <c r="E144" i="25"/>
  <c r="D7" i="23"/>
  <c r="D75" i="8"/>
  <c r="E55" i="7"/>
  <c r="E54" i="7"/>
  <c r="G95" i="1"/>
  <c r="C7" i="24"/>
  <c r="B7" i="14"/>
  <c r="C7" i="13"/>
  <c r="C7" i="12"/>
  <c r="B7" i="11"/>
  <c r="B7" i="10"/>
  <c r="B7" i="9"/>
  <c r="B7" i="7"/>
  <c r="B7" i="16"/>
  <c r="B7" i="15"/>
  <c r="C7" i="20"/>
  <c r="E119" i="1"/>
  <c r="E391" i="1"/>
  <c r="B7" i="17"/>
  <c r="P86" i="1"/>
  <c r="F96" i="25"/>
  <c r="J345" i="1"/>
  <c r="J370" i="1"/>
  <c r="M327" i="1"/>
  <c r="H327" i="1"/>
  <c r="O482" i="1"/>
  <c r="I95" i="1"/>
  <c r="L95" i="1"/>
  <c r="N95" i="1"/>
  <c r="P90" i="1"/>
  <c r="I264" i="1"/>
  <c r="I266" i="1" s="1"/>
  <c r="L264" i="1"/>
  <c r="L266" i="1" s="1"/>
  <c r="G370" i="1"/>
  <c r="E555" i="2"/>
  <c r="I308" i="2"/>
  <c r="L56" i="2"/>
  <c r="T56" i="2"/>
  <c r="T351" i="2"/>
  <c r="R351" i="2"/>
  <c r="AF246" i="2"/>
  <c r="AF248" i="2" s="1"/>
  <c r="Z507" i="2"/>
  <c r="Z509" i="2" s="1"/>
  <c r="R507" i="2"/>
  <c r="R509" i="2" s="1"/>
  <c r="P79" i="1"/>
  <c r="V78" i="2"/>
  <c r="V308" i="2"/>
  <c r="T326" i="2"/>
  <c r="AF56" i="2"/>
  <c r="P282" i="1"/>
  <c r="G246" i="2"/>
  <c r="G248" i="2" s="1"/>
  <c r="I78" i="2"/>
  <c r="L78" i="2"/>
  <c r="L344" i="2"/>
  <c r="L351" i="2" s="1"/>
  <c r="L369" i="2"/>
  <c r="R78" i="2"/>
  <c r="V351" i="2"/>
  <c r="R326" i="2"/>
  <c r="R308" i="2"/>
  <c r="V369" i="2"/>
  <c r="R369" i="2"/>
  <c r="T78" i="2"/>
  <c r="AF78" i="2"/>
  <c r="AF369" i="2"/>
  <c r="M124" i="1"/>
  <c r="M354" i="1"/>
  <c r="K226" i="1"/>
  <c r="M301" i="1"/>
  <c r="P376" i="1"/>
  <c r="P325" i="1"/>
  <c r="I507" i="2"/>
  <c r="I509" i="2" s="1"/>
  <c r="I369" i="2"/>
  <c r="I56" i="2"/>
  <c r="E581" i="2"/>
  <c r="E560" i="2"/>
  <c r="X369" i="2"/>
  <c r="G507" i="2"/>
  <c r="G326" i="2"/>
  <c r="P71" i="1"/>
  <c r="P61" i="1"/>
  <c r="G56" i="2"/>
  <c r="V246" i="2"/>
  <c r="V248" i="2" s="1"/>
  <c r="V380" i="2" s="1"/>
  <c r="T246" i="2"/>
  <c r="T248" i="2" s="1"/>
  <c r="T369" i="2"/>
  <c r="R246" i="2"/>
  <c r="R248" i="2" s="1"/>
  <c r="R380" i="2" s="1"/>
  <c r="R383" i="2"/>
  <c r="R56" i="2"/>
  <c r="L507" i="2"/>
  <c r="L509" i="2" s="1"/>
  <c r="L326" i="2"/>
  <c r="L246" i="2"/>
  <c r="L248" i="2" s="1"/>
  <c r="P57" i="1"/>
  <c r="P50" i="1"/>
  <c r="P159" i="1"/>
  <c r="P161" i="1" s="1"/>
  <c r="P235" i="1"/>
  <c r="P343" i="1"/>
  <c r="P338" i="1"/>
  <c r="P482" i="1"/>
  <c r="P45" i="1"/>
  <c r="P384" i="1" s="1"/>
  <c r="F359" i="25"/>
  <c r="O50" i="1"/>
  <c r="D19" i="24" s="1"/>
  <c r="J73" i="1"/>
  <c r="J124" i="1"/>
  <c r="J226" i="1"/>
  <c r="J264" i="1"/>
  <c r="J266" i="1" s="1"/>
  <c r="J399" i="1" s="1"/>
  <c r="J301" i="1"/>
  <c r="J354" i="1"/>
  <c r="L124" i="1"/>
  <c r="P264" i="1"/>
  <c r="E86" i="18"/>
  <c r="E90" i="18" s="1"/>
  <c r="A94" i="18" s="1"/>
  <c r="F167" i="25"/>
  <c r="F165" i="25"/>
  <c r="Q479" i="1"/>
  <c r="R479" i="1" s="1"/>
  <c r="Q477" i="1"/>
  <c r="R477" i="1" s="1"/>
  <c r="Q474" i="1"/>
  <c r="R474" i="1" s="1"/>
  <c r="Q458" i="1"/>
  <c r="R458" i="1" s="1"/>
  <c r="Q456" i="1"/>
  <c r="R456" i="1" s="1"/>
  <c r="Q452" i="1"/>
  <c r="R452" i="1" s="1"/>
  <c r="Q446" i="1"/>
  <c r="R446" i="1" s="1"/>
  <c r="Q442" i="1"/>
  <c r="R442" i="1" s="1"/>
  <c r="Q440" i="1"/>
  <c r="R440" i="1" s="1"/>
  <c r="Q434" i="1"/>
  <c r="R434" i="1" s="1"/>
  <c r="Q426" i="1"/>
  <c r="R426" i="1" s="1"/>
  <c r="Q429" i="1"/>
  <c r="R429" i="1" s="1"/>
  <c r="Q425" i="1"/>
  <c r="R425" i="1" s="1"/>
  <c r="Q423" i="1"/>
  <c r="R423" i="1" s="1"/>
  <c r="Q421" i="1"/>
  <c r="Q419" i="1"/>
  <c r="R419" i="1" s="1"/>
  <c r="Q417" i="1"/>
  <c r="R417" i="1" s="1"/>
  <c r="Q415" i="1"/>
  <c r="R415" i="1" s="1"/>
  <c r="Q413" i="1"/>
  <c r="R413" i="1" s="1"/>
  <c r="Q411" i="1"/>
  <c r="R411" i="1" s="1"/>
  <c r="Q409" i="1"/>
  <c r="R409" i="1" s="1"/>
  <c r="Q405" i="1"/>
  <c r="R405" i="1" s="1"/>
  <c r="Q403" i="1"/>
  <c r="R403" i="1" s="1"/>
  <c r="E111" i="18"/>
  <c r="F168" i="25"/>
  <c r="Q480" i="1"/>
  <c r="R480" i="1" s="1"/>
  <c r="Q478" i="1"/>
  <c r="R478" i="1" s="1"/>
  <c r="Q473" i="1"/>
  <c r="R473" i="1" s="1"/>
  <c r="Q459" i="1"/>
  <c r="R459" i="1" s="1"/>
  <c r="Q457" i="1"/>
  <c r="R457" i="1" s="1"/>
  <c r="Q451" i="1"/>
  <c r="R451" i="1" s="1"/>
  <c r="Q441" i="1"/>
  <c r="R441" i="1" s="1"/>
  <c r="Q433" i="1"/>
  <c r="Q430" i="1"/>
  <c r="R430" i="1" s="1"/>
  <c r="Q428" i="1"/>
  <c r="Q424" i="1"/>
  <c r="R424" i="1" s="1"/>
  <c r="Q422" i="1"/>
  <c r="R422" i="1" s="1"/>
  <c r="Q420" i="1"/>
  <c r="R420" i="1" s="1"/>
  <c r="Q418" i="1"/>
  <c r="R418" i="1" s="1"/>
  <c r="Q416" i="1"/>
  <c r="R416" i="1" s="1"/>
  <c r="Q414" i="1"/>
  <c r="R414" i="1" s="1"/>
  <c r="Q412" i="1"/>
  <c r="R412" i="1" s="1"/>
  <c r="Q410" i="1"/>
  <c r="R410" i="1" s="1"/>
  <c r="Q406" i="1"/>
  <c r="R406" i="1" s="1"/>
  <c r="Q404" i="1"/>
  <c r="R404" i="1" s="1"/>
  <c r="P370" i="1"/>
  <c r="R234" i="1" l="1"/>
  <c r="Q338" i="1"/>
  <c r="R336" i="1"/>
  <c r="F333" i="25" s="1"/>
  <c r="E358" i="25"/>
  <c r="R176" i="1"/>
  <c r="F173" i="25" s="1"/>
  <c r="Q185" i="1"/>
  <c r="Q343" i="1"/>
  <c r="Q345" i="1" s="1"/>
  <c r="Q325" i="1"/>
  <c r="R325" i="1" s="1"/>
  <c r="Q321" i="1"/>
  <c r="R338" i="1"/>
  <c r="Q280" i="1"/>
  <c r="R280" i="1" s="1"/>
  <c r="Q363" i="1"/>
  <c r="R363" i="1" s="1"/>
  <c r="G21" i="18"/>
  <c r="I21" i="18" s="1"/>
  <c r="K21" i="18" s="1"/>
  <c r="G22" i="18"/>
  <c r="I22" i="18" s="1"/>
  <c r="K22" i="18" s="1"/>
  <c r="E46" i="25"/>
  <c r="R83" i="1"/>
  <c r="F80" i="25" s="1"/>
  <c r="R53" i="1"/>
  <c r="F50" i="25" s="1"/>
  <c r="R82" i="1"/>
  <c r="F79" i="25" s="1"/>
  <c r="E53" i="25"/>
  <c r="E286" i="25"/>
  <c r="Q131" i="1"/>
  <c r="R131" i="1" s="1"/>
  <c r="E131" i="25"/>
  <c r="G31" i="18"/>
  <c r="I31" i="18" s="1"/>
  <c r="K31" i="18" s="1"/>
  <c r="E51" i="25"/>
  <c r="R274" i="1"/>
  <c r="F271" i="25" s="1"/>
  <c r="R261" i="1"/>
  <c r="F258" i="25" s="1"/>
  <c r="E78" i="25"/>
  <c r="R269" i="1"/>
  <c r="F266" i="25" s="1"/>
  <c r="Q253" i="1"/>
  <c r="R253" i="1" s="1"/>
  <c r="Q159" i="1"/>
  <c r="R159" i="1" s="1"/>
  <c r="R262" i="1"/>
  <c r="E37" i="25"/>
  <c r="Q237" i="1"/>
  <c r="E217" i="10"/>
  <c r="E221" i="10"/>
  <c r="R133" i="1"/>
  <c r="F130" i="25" s="1"/>
  <c r="Q135" i="1"/>
  <c r="M73" i="8"/>
  <c r="M75" i="8" s="1"/>
  <c r="B147" i="8" s="1"/>
  <c r="D138" i="8"/>
  <c r="E82" i="25"/>
  <c r="G20" i="18"/>
  <c r="I20" i="18" s="1"/>
  <c r="K20" i="18" s="1"/>
  <c r="Q50" i="1"/>
  <c r="R50" i="1" s="1"/>
  <c r="Q90" i="1"/>
  <c r="R90" i="1" s="1"/>
  <c r="P327" i="1"/>
  <c r="R89" i="1"/>
  <c r="F86" i="25" s="1"/>
  <c r="Q71" i="1"/>
  <c r="R71" i="1" s="1"/>
  <c r="Q45" i="1"/>
  <c r="Q57" i="1"/>
  <c r="R57" i="1" s="1"/>
  <c r="Q79" i="1"/>
  <c r="Q61" i="1"/>
  <c r="R61" i="1" s="1"/>
  <c r="E86" i="25"/>
  <c r="P237" i="1"/>
  <c r="P266" i="1" s="1"/>
  <c r="R235" i="1"/>
  <c r="R47" i="1"/>
  <c r="F44" i="25" s="1"/>
  <c r="Q86" i="1"/>
  <c r="R86" i="1" s="1"/>
  <c r="V448" i="2"/>
  <c r="V449" i="2" s="1"/>
  <c r="P399" i="1"/>
  <c r="I449" i="2"/>
  <c r="D35" i="10"/>
  <c r="A45" i="10" s="1"/>
  <c r="C42" i="10"/>
  <c r="J92" i="8"/>
  <c r="J110" i="8" s="1"/>
  <c r="G110" i="8"/>
  <c r="J127" i="8"/>
  <c r="J134" i="8" s="1"/>
  <c r="G134" i="8"/>
  <c r="J97" i="1"/>
  <c r="J101" i="1" s="1"/>
  <c r="O264" i="1"/>
  <c r="O266" i="1" s="1"/>
  <c r="O399" i="1" s="1"/>
  <c r="D24" i="24"/>
  <c r="G18" i="10"/>
  <c r="BS64" i="23"/>
  <c r="BS65" i="23"/>
  <c r="H120" i="30"/>
  <c r="G119" i="30"/>
  <c r="G109" i="30"/>
  <c r="H110" i="30"/>
  <c r="G112" i="30"/>
  <c r="B114" i="30" s="1"/>
  <c r="G134" i="30"/>
  <c r="B138" i="30" s="1"/>
  <c r="E138" i="30" s="1"/>
  <c r="F138" i="30" s="1"/>
  <c r="F148" i="30" s="1"/>
  <c r="B46" i="17"/>
  <c r="E46" i="18"/>
  <c r="G71" i="8"/>
  <c r="G73" i="8" s="1"/>
  <c r="G75" i="8" s="1"/>
  <c r="G19" i="10"/>
  <c r="M27" i="10"/>
  <c r="G23" i="10"/>
  <c r="F189" i="10"/>
  <c r="G20" i="10"/>
  <c r="O187" i="1"/>
  <c r="E107" i="18"/>
  <c r="E113" i="18" s="1"/>
  <c r="A117" i="18" s="1"/>
  <c r="E239" i="25"/>
  <c r="D25" i="24"/>
  <c r="F27" i="10"/>
  <c r="J468" i="1"/>
  <c r="J467" i="1"/>
  <c r="D23" i="24"/>
  <c r="D17" i="24"/>
  <c r="D18" i="24"/>
  <c r="D16" i="24"/>
  <c r="D21" i="24"/>
  <c r="M468" i="1"/>
  <c r="M467" i="1"/>
  <c r="O161" i="1"/>
  <c r="D22" i="24"/>
  <c r="D20" i="24"/>
  <c r="G24" i="10"/>
  <c r="R448" i="2"/>
  <c r="R449" i="2" s="1"/>
  <c r="H97" i="1"/>
  <c r="H101" i="1" s="1"/>
  <c r="R428" i="1"/>
  <c r="Q431" i="1"/>
  <c r="R431" i="1" s="1"/>
  <c r="G80" i="2"/>
  <c r="G84" i="2" s="1"/>
  <c r="G201" i="2" s="1"/>
  <c r="R433" i="1"/>
  <c r="Q436" i="1"/>
  <c r="G189" i="1"/>
  <c r="G193" i="1" s="1"/>
  <c r="O282" i="1"/>
  <c r="O345" i="1"/>
  <c r="E308" i="25"/>
  <c r="H189" i="1"/>
  <c r="H193" i="1" s="1"/>
  <c r="G266" i="2"/>
  <c r="G273" i="2" s="1"/>
  <c r="G275" i="2" s="1"/>
  <c r="R171" i="2"/>
  <c r="R175" i="2" s="1"/>
  <c r="F142" i="25"/>
  <c r="D29" i="7"/>
  <c r="L378" i="1"/>
  <c r="L380" i="1" s="1"/>
  <c r="L388" i="1" s="1"/>
  <c r="O370" i="1"/>
  <c r="F166" i="25"/>
  <c r="J378" i="1"/>
  <c r="J380" i="1" s="1"/>
  <c r="J389" i="1" s="1"/>
  <c r="M97" i="1"/>
  <c r="M101" i="1" s="1"/>
  <c r="O327" i="1"/>
  <c r="N378" i="1"/>
  <c r="N380" i="1" s="1"/>
  <c r="N388" i="1" s="1"/>
  <c r="E27" i="10"/>
  <c r="H69" i="10" s="1"/>
  <c r="K378" i="1"/>
  <c r="K380" i="1" s="1"/>
  <c r="K388" i="1" s="1"/>
  <c r="V80" i="2"/>
  <c r="V84" i="2" s="1"/>
  <c r="N97" i="1"/>
  <c r="N101" i="1" s="1"/>
  <c r="I378" i="1"/>
  <c r="I380" i="1" s="1"/>
  <c r="I388" i="1" s="1"/>
  <c r="D140" i="8"/>
  <c r="T359" i="2"/>
  <c r="AF171" i="2"/>
  <c r="AF175" i="2" s="1"/>
  <c r="E229" i="25"/>
  <c r="F229" i="25"/>
  <c r="E212" i="25"/>
  <c r="F212" i="25"/>
  <c r="F65" i="25"/>
  <c r="F46" i="25"/>
  <c r="F81" i="25"/>
  <c r="F41" i="25"/>
  <c r="E332" i="25"/>
  <c r="F332" i="25"/>
  <c r="E210" i="25"/>
  <c r="F210" i="25"/>
  <c r="F66" i="25"/>
  <c r="F74" i="25"/>
  <c r="F52" i="25"/>
  <c r="F53" i="25"/>
  <c r="E163" i="25"/>
  <c r="F163" i="25"/>
  <c r="E267" i="25"/>
  <c r="F267" i="25"/>
  <c r="F45" i="25"/>
  <c r="F60" i="25"/>
  <c r="F78" i="25"/>
  <c r="E364" i="25"/>
  <c r="F364" i="25"/>
  <c r="E316" i="25"/>
  <c r="F316" i="25"/>
  <c r="E228" i="25"/>
  <c r="F228" i="25"/>
  <c r="E283" i="25"/>
  <c r="F283" i="25"/>
  <c r="E127" i="25"/>
  <c r="F127" i="25"/>
  <c r="E141" i="25"/>
  <c r="F141" i="25"/>
  <c r="E339" i="25"/>
  <c r="F339" i="25"/>
  <c r="E230" i="25"/>
  <c r="F230" i="25"/>
  <c r="E249" i="25"/>
  <c r="F249" i="25"/>
  <c r="E285" i="25"/>
  <c r="F285" i="25"/>
  <c r="E213" i="25"/>
  <c r="F213" i="25"/>
  <c r="E317" i="25"/>
  <c r="F317" i="25"/>
  <c r="E211" i="25"/>
  <c r="F211" i="25"/>
  <c r="E338" i="25"/>
  <c r="F338" i="25"/>
  <c r="E40" i="25"/>
  <c r="F40" i="25"/>
  <c r="G39" i="18"/>
  <c r="I39" i="18" s="1"/>
  <c r="K39" i="18" s="1"/>
  <c r="F143" i="25"/>
  <c r="F51" i="25"/>
  <c r="F75" i="25"/>
  <c r="F82" i="25"/>
  <c r="I171" i="2"/>
  <c r="I175" i="2" s="1"/>
  <c r="A223" i="10"/>
  <c r="A219" i="10"/>
  <c r="L97" i="1"/>
  <c r="L101" i="1" s="1"/>
  <c r="Q387" i="1"/>
  <c r="R387" i="1" s="1"/>
  <c r="E126" i="25"/>
  <c r="F126" i="25"/>
  <c r="E231" i="25"/>
  <c r="F231" i="25"/>
  <c r="E138" i="25"/>
  <c r="F138" i="25"/>
  <c r="E276" i="25"/>
  <c r="F276" i="25"/>
  <c r="E258" i="25"/>
  <c r="R385" i="1"/>
  <c r="E136" i="25"/>
  <c r="F136" i="25"/>
  <c r="E161" i="25"/>
  <c r="E174" i="25"/>
  <c r="F174" i="25"/>
  <c r="E314" i="25"/>
  <c r="F314" i="25"/>
  <c r="E175" i="25"/>
  <c r="F175" i="25"/>
  <c r="E150" i="25"/>
  <c r="F150" i="25"/>
  <c r="E149" i="25"/>
  <c r="F149" i="25"/>
  <c r="F62" i="25"/>
  <c r="F61" i="25"/>
  <c r="E134" i="25"/>
  <c r="F134" i="25"/>
  <c r="E130" i="25"/>
  <c r="E137" i="25"/>
  <c r="F137" i="25"/>
  <c r="E354" i="25"/>
  <c r="F354" i="25"/>
  <c r="F37" i="25"/>
  <c r="E143" i="25"/>
  <c r="F491" i="1"/>
  <c r="B30" i="7"/>
  <c r="O95" i="1"/>
  <c r="AF359" i="2"/>
  <c r="I359" i="2"/>
  <c r="K399" i="1"/>
  <c r="K468" i="1" s="1"/>
  <c r="K284" i="1"/>
  <c r="K291" i="1" s="1"/>
  <c r="K294" i="1" s="1"/>
  <c r="G378" i="1"/>
  <c r="H378" i="1"/>
  <c r="H380" i="1" s="1"/>
  <c r="H388" i="1" s="1"/>
  <c r="M284" i="1"/>
  <c r="M291" i="1" s="1"/>
  <c r="M294" i="1" s="1"/>
  <c r="I80" i="2"/>
  <c r="I84" i="2" s="1"/>
  <c r="AF80" i="2"/>
  <c r="AF84" i="2" s="1"/>
  <c r="AF201" i="2" s="1"/>
  <c r="B29" i="7"/>
  <c r="G97" i="1"/>
  <c r="G101" i="1" s="1"/>
  <c r="L389" i="1"/>
  <c r="N284" i="1"/>
  <c r="N291" i="1" s="1"/>
  <c r="N294" i="1" s="1"/>
  <c r="N399" i="1"/>
  <c r="N467" i="1" s="1"/>
  <c r="H284" i="1"/>
  <c r="H291" i="1" s="1"/>
  <c r="H294" i="1" s="1"/>
  <c r="H399" i="1"/>
  <c r="H468" i="1" s="1"/>
  <c r="L171" i="2"/>
  <c r="L175" i="2" s="1"/>
  <c r="T171" i="2"/>
  <c r="T175" i="2" s="1"/>
  <c r="G359" i="2"/>
  <c r="I97" i="1"/>
  <c r="I101" i="1" s="1"/>
  <c r="K97" i="1"/>
  <c r="K101" i="1" s="1"/>
  <c r="G399" i="1"/>
  <c r="G468" i="1" s="1"/>
  <c r="G284" i="1"/>
  <c r="G291" i="1" s="1"/>
  <c r="R266" i="2"/>
  <c r="R273" i="2" s="1"/>
  <c r="R275" i="2" s="1"/>
  <c r="T80" i="2"/>
  <c r="T84" i="2" s="1"/>
  <c r="L80" i="2"/>
  <c r="L84" i="2" s="1"/>
  <c r="I266" i="2"/>
  <c r="I273" i="2" s="1"/>
  <c r="I275" i="2" s="1"/>
  <c r="Q384" i="1"/>
  <c r="R384" i="1" s="1"/>
  <c r="G509" i="2"/>
  <c r="AG509" i="2" s="1"/>
  <c r="AG507" i="2"/>
  <c r="E162" i="25"/>
  <c r="G34" i="18"/>
  <c r="I34" i="18" s="1"/>
  <c r="K34" i="18" s="1"/>
  <c r="E328" i="25"/>
  <c r="F328" i="25"/>
  <c r="E287" i="25"/>
  <c r="F287" i="25"/>
  <c r="P580" i="2"/>
  <c r="R359" i="2"/>
  <c r="R80" i="2"/>
  <c r="R84" i="2" s="1"/>
  <c r="R201" i="2" s="1"/>
  <c r="R581" i="2"/>
  <c r="P581" i="2"/>
  <c r="Z380" i="2"/>
  <c r="Z448" i="2" s="1"/>
  <c r="Z449" i="2" s="1"/>
  <c r="G380" i="2"/>
  <c r="G448" i="2" s="1"/>
  <c r="G449" i="2" s="1"/>
  <c r="R560" i="2"/>
  <c r="P560" i="2"/>
  <c r="P95" i="1"/>
  <c r="F246" i="25"/>
  <c r="E246" i="25"/>
  <c r="E266" i="25"/>
  <c r="F273" i="25"/>
  <c r="E273" i="25"/>
  <c r="G43" i="18"/>
  <c r="E166" i="25"/>
  <c r="E44" i="25"/>
  <c r="F355" i="25"/>
  <c r="E355" i="25"/>
  <c r="F256" i="25"/>
  <c r="E256" i="25"/>
  <c r="F284" i="25"/>
  <c r="E284" i="25"/>
  <c r="G56" i="18"/>
  <c r="I56" i="18" s="1"/>
  <c r="K56" i="18" s="1"/>
  <c r="E155" i="25"/>
  <c r="E173" i="25"/>
  <c r="F67" i="25"/>
  <c r="E67" i="25"/>
  <c r="F225" i="25"/>
  <c r="E225" i="25"/>
  <c r="E359" i="25"/>
  <c r="F320" i="25"/>
  <c r="E320" i="25"/>
  <c r="E333" i="25"/>
  <c r="F356" i="25"/>
  <c r="E356" i="25"/>
  <c r="F237" i="25"/>
  <c r="E237" i="25"/>
  <c r="F253" i="25"/>
  <c r="E253" i="25"/>
  <c r="F56" i="25"/>
  <c r="E56" i="25"/>
  <c r="F89" i="25"/>
  <c r="E89" i="25"/>
  <c r="R421" i="1"/>
  <c r="F300" i="25"/>
  <c r="E300" i="25"/>
  <c r="F304" i="25"/>
  <c r="E304" i="25"/>
  <c r="F372" i="25"/>
  <c r="E372" i="25"/>
  <c r="F248" i="25"/>
  <c r="E248" i="25"/>
  <c r="E271" i="25"/>
  <c r="F124" i="25"/>
  <c r="E124" i="25"/>
  <c r="G38" i="18"/>
  <c r="E142" i="25"/>
  <c r="G36" i="18"/>
  <c r="E165" i="25"/>
  <c r="G67" i="18"/>
  <c r="I67" i="18" s="1"/>
  <c r="K67" i="18" s="1"/>
  <c r="E179" i="25"/>
  <c r="F49" i="25"/>
  <c r="E49" i="25"/>
  <c r="E61" i="25"/>
  <c r="F90" i="25"/>
  <c r="E90" i="25"/>
  <c r="F305" i="25"/>
  <c r="E305" i="25"/>
  <c r="F303" i="25"/>
  <c r="E303" i="25"/>
  <c r="F39" i="25"/>
  <c r="E39" i="25"/>
  <c r="F330" i="25"/>
  <c r="E330" i="25"/>
  <c r="F244" i="25"/>
  <c r="E244" i="25"/>
  <c r="F257" i="25"/>
  <c r="E257" i="25"/>
  <c r="F268" i="25"/>
  <c r="E268" i="25"/>
  <c r="F275" i="25"/>
  <c r="E275" i="25"/>
  <c r="F125" i="25"/>
  <c r="E125" i="25"/>
  <c r="G55" i="18"/>
  <c r="I55" i="18" s="1"/>
  <c r="K55" i="18" s="1"/>
  <c r="E154" i="25"/>
  <c r="G45" i="18"/>
  <c r="I45" i="18" s="1"/>
  <c r="K45" i="18" s="1"/>
  <c r="E168" i="25"/>
  <c r="G66" i="18"/>
  <c r="I66" i="18" s="1"/>
  <c r="K66" i="18" s="1"/>
  <c r="E178" i="25"/>
  <c r="E60" i="25"/>
  <c r="F209" i="25"/>
  <c r="E209" i="25"/>
  <c r="F302" i="25"/>
  <c r="E302" i="25"/>
  <c r="F321" i="25"/>
  <c r="E321" i="25"/>
  <c r="F38" i="25"/>
  <c r="E38" i="25"/>
  <c r="F334" i="25"/>
  <c r="E334" i="25"/>
  <c r="F353" i="25"/>
  <c r="E353" i="25"/>
  <c r="F363" i="25"/>
  <c r="E363" i="25"/>
  <c r="F245" i="25"/>
  <c r="E245" i="25"/>
  <c r="F252" i="25"/>
  <c r="E252" i="25"/>
  <c r="F274" i="25"/>
  <c r="E274" i="25"/>
  <c r="G26" i="18"/>
  <c r="I26" i="18" s="1"/>
  <c r="K26" i="18" s="1"/>
  <c r="E135" i="25"/>
  <c r="F139" i="25"/>
  <c r="E139" i="25"/>
  <c r="F151" i="25"/>
  <c r="E151" i="25"/>
  <c r="G44" i="18"/>
  <c r="I44" i="18" s="1"/>
  <c r="K44" i="18" s="1"/>
  <c r="E167" i="25"/>
  <c r="F57" i="25"/>
  <c r="E57" i="25"/>
  <c r="F214" i="25"/>
  <c r="E214" i="25"/>
  <c r="F371" i="25"/>
  <c r="E371" i="25"/>
  <c r="F64" i="25"/>
  <c r="E64" i="25"/>
  <c r="E62" i="25"/>
  <c r="F312" i="25"/>
  <c r="E312" i="25"/>
  <c r="O73" i="1"/>
  <c r="J89" i="8"/>
  <c r="G50" i="18"/>
  <c r="I50" i="18" s="1"/>
  <c r="K50" i="18" s="1"/>
  <c r="I399" i="1"/>
  <c r="I468" i="1" s="1"/>
  <c r="I284" i="1"/>
  <c r="I291" i="1" s="1"/>
  <c r="L399" i="1"/>
  <c r="L468" i="1" s="1"/>
  <c r="L284" i="1"/>
  <c r="L291" i="1" s="1"/>
  <c r="M378" i="1"/>
  <c r="M380" i="1" s="1"/>
  <c r="R555" i="2"/>
  <c r="P555" i="2"/>
  <c r="J123" i="8"/>
  <c r="V266" i="2"/>
  <c r="V273" i="2" s="1"/>
  <c r="V275" i="2" s="1"/>
  <c r="G123" i="8"/>
  <c r="L359" i="2"/>
  <c r="V171" i="2"/>
  <c r="V175" i="2" s="1"/>
  <c r="G89" i="8"/>
  <c r="V359" i="2"/>
  <c r="Q376" i="1"/>
  <c r="R376" i="1" s="1"/>
  <c r="G52" i="18"/>
  <c r="I52" i="18" s="1"/>
  <c r="K52" i="18" s="1"/>
  <c r="G51" i="18"/>
  <c r="I51" i="18" s="1"/>
  <c r="K51" i="18" s="1"/>
  <c r="G63" i="18"/>
  <c r="I63" i="18" s="1"/>
  <c r="K63" i="18" s="1"/>
  <c r="G33" i="18"/>
  <c r="I33" i="18" s="1"/>
  <c r="K33" i="18" s="1"/>
  <c r="F162" i="25"/>
  <c r="Q482" i="1"/>
  <c r="R482" i="1" s="1"/>
  <c r="Q447" i="1"/>
  <c r="R447" i="1" s="1"/>
  <c r="P345" i="1"/>
  <c r="P73" i="1"/>
  <c r="J284" i="1"/>
  <c r="J291" i="1" s="1"/>
  <c r="F135" i="25"/>
  <c r="G62" i="18"/>
  <c r="I62" i="18" s="1"/>
  <c r="K62" i="18" s="1"/>
  <c r="G30" i="18"/>
  <c r="I30" i="18" s="1"/>
  <c r="K30" i="18" s="1"/>
  <c r="Q460" i="1"/>
  <c r="R460" i="1" s="1"/>
  <c r="G28" i="18"/>
  <c r="I28" i="18" s="1"/>
  <c r="K28" i="18" s="1"/>
  <c r="G32" i="18"/>
  <c r="I32" i="18" s="1"/>
  <c r="K32" i="18" s="1"/>
  <c r="G29" i="18"/>
  <c r="I29" i="18" s="1"/>
  <c r="K29" i="18" s="1"/>
  <c r="G35" i="18"/>
  <c r="T380" i="2"/>
  <c r="T448" i="2" s="1"/>
  <c r="T449" i="2" s="1"/>
  <c r="T266" i="2"/>
  <c r="T273" i="2" s="1"/>
  <c r="T275" i="2" s="1"/>
  <c r="T276" i="2" s="1"/>
  <c r="L380" i="2"/>
  <c r="L448" i="2" s="1"/>
  <c r="L449" i="2" s="1"/>
  <c r="L266" i="2"/>
  <c r="L273" i="2" s="1"/>
  <c r="L275" i="2" s="1"/>
  <c r="L276" i="2" s="1"/>
  <c r="G61" i="18"/>
  <c r="AF380" i="2"/>
  <c r="AF448" i="2" s="1"/>
  <c r="AF449" i="2" s="1"/>
  <c r="AF266" i="2"/>
  <c r="AF273" i="2" s="1"/>
  <c r="AF275" i="2" s="1"/>
  <c r="X380" i="2"/>
  <c r="X448" i="2" s="1"/>
  <c r="X449" i="2" s="1"/>
  <c r="R343" i="1" l="1"/>
  <c r="R321" i="1"/>
  <c r="Q327" i="1"/>
  <c r="R327" i="1" s="1"/>
  <c r="Q282" i="1"/>
  <c r="R282" i="1" s="1"/>
  <c r="F51" i="24"/>
  <c r="Q370" i="1"/>
  <c r="R370" i="1" s="1"/>
  <c r="AF361" i="2"/>
  <c r="AF370" i="2"/>
  <c r="V361" i="2"/>
  <c r="E579" i="2" s="1"/>
  <c r="V370" i="2"/>
  <c r="V201" i="2"/>
  <c r="T361" i="2"/>
  <c r="E578" i="2" s="1"/>
  <c r="R578" i="2" s="1"/>
  <c r="T370" i="2"/>
  <c r="T201" i="2"/>
  <c r="R361" i="2"/>
  <c r="E577" i="2" s="1"/>
  <c r="P577" i="2" s="1"/>
  <c r="R370" i="2"/>
  <c r="L361" i="2"/>
  <c r="E575" i="2" s="1"/>
  <c r="L370" i="2"/>
  <c r="L201" i="2"/>
  <c r="I361" i="2"/>
  <c r="E572" i="2" s="1"/>
  <c r="R572" i="2" s="1"/>
  <c r="I370" i="2"/>
  <c r="I201" i="2"/>
  <c r="G361" i="2"/>
  <c r="E569" i="2" s="1"/>
  <c r="P569" i="2" s="1"/>
  <c r="G370" i="2"/>
  <c r="G136" i="8"/>
  <c r="G138" i="8" s="1"/>
  <c r="G140" i="8" s="1"/>
  <c r="Q264" i="1"/>
  <c r="R264" i="1" s="1"/>
  <c r="D42" i="10"/>
  <c r="R237" i="1"/>
  <c r="Q187" i="1"/>
  <c r="R187" i="1" s="1"/>
  <c r="R185" i="1"/>
  <c r="R135" i="1"/>
  <c r="Q161" i="1"/>
  <c r="P378" i="1"/>
  <c r="P380" i="1" s="1"/>
  <c r="R345" i="1"/>
  <c r="R79" i="1"/>
  <c r="Q95" i="1"/>
  <c r="R95" i="1" s="1"/>
  <c r="R45" i="1"/>
  <c r="Q73" i="1"/>
  <c r="P284" i="1"/>
  <c r="E558" i="2"/>
  <c r="V276" i="2"/>
  <c r="E556" i="2"/>
  <c r="R556" i="2" s="1"/>
  <c r="R276" i="2"/>
  <c r="E550" i="2"/>
  <c r="R550" i="2" s="1"/>
  <c r="I276" i="2"/>
  <c r="E561" i="2"/>
  <c r="P561" i="2" s="1"/>
  <c r="AF276" i="2"/>
  <c r="J136" i="8"/>
  <c r="J138" i="8" s="1"/>
  <c r="J140" i="8" s="1"/>
  <c r="N389" i="1"/>
  <c r="O284" i="1"/>
  <c r="O291" i="1" s="1"/>
  <c r="G27" i="10"/>
  <c r="J388" i="1"/>
  <c r="A54" i="24"/>
  <c r="A197" i="8"/>
  <c r="A179" i="8"/>
  <c r="R584" i="2"/>
  <c r="E582" i="2"/>
  <c r="N468" i="1"/>
  <c r="G467" i="1"/>
  <c r="I467" i="1"/>
  <c r="H467" i="1"/>
  <c r="K467" i="1"/>
  <c r="K389" i="1"/>
  <c r="O378" i="1"/>
  <c r="O467" i="1"/>
  <c r="O468" i="1"/>
  <c r="L467" i="1"/>
  <c r="H219" i="1"/>
  <c r="M184" i="8"/>
  <c r="H72" i="10"/>
  <c r="A74" i="10" s="1"/>
  <c r="I43" i="18"/>
  <c r="G46" i="18"/>
  <c r="I38" i="18"/>
  <c r="G41" i="18"/>
  <c r="H218" i="1"/>
  <c r="H293" i="1" s="1"/>
  <c r="T467" i="1"/>
  <c r="R436" i="1"/>
  <c r="P578" i="2"/>
  <c r="I189" i="1"/>
  <c r="I193" i="1" s="1"/>
  <c r="I218" i="1" s="1"/>
  <c r="I293" i="1" s="1"/>
  <c r="F161" i="25"/>
  <c r="I389" i="1"/>
  <c r="H389" i="1"/>
  <c r="R569" i="2"/>
  <c r="R577" i="2"/>
  <c r="P572" i="2"/>
  <c r="P584" i="2"/>
  <c r="O97" i="1"/>
  <c r="O101" i="1" s="1"/>
  <c r="K5" i="25" s="1"/>
  <c r="K6" i="25" s="1"/>
  <c r="F27" i="25" s="1"/>
  <c r="G27" i="18"/>
  <c r="I27" i="18" s="1"/>
  <c r="K27" i="18" s="1"/>
  <c r="G23" i="18"/>
  <c r="I23" i="18" s="1"/>
  <c r="K23" i="18" s="1"/>
  <c r="G19" i="18"/>
  <c r="I19" i="18" s="1"/>
  <c r="K19" i="18" s="1"/>
  <c r="P97" i="1"/>
  <c r="P101" i="1" s="1"/>
  <c r="R579" i="2"/>
  <c r="P579" i="2"/>
  <c r="E33" i="13" s="1"/>
  <c r="E41" i="13" s="1"/>
  <c r="R575" i="2"/>
  <c r="P575" i="2"/>
  <c r="R558" i="2"/>
  <c r="P558" i="2"/>
  <c r="E17" i="13" s="1"/>
  <c r="W32" i="25"/>
  <c r="I36" i="18"/>
  <c r="V19" i="1"/>
  <c r="V23" i="1" s="1"/>
  <c r="V27" i="1" s="1"/>
  <c r="V20" i="1"/>
  <c r="V24" i="1" s="1"/>
  <c r="V28" i="1" s="1"/>
  <c r="G218" i="1"/>
  <c r="G219" i="1"/>
  <c r="M389" i="1"/>
  <c r="M388" i="1"/>
  <c r="L294" i="1"/>
  <c r="I57" i="18"/>
  <c r="I294" i="1"/>
  <c r="G57" i="18"/>
  <c r="E554" i="2"/>
  <c r="E547" i="2"/>
  <c r="G276" i="2"/>
  <c r="E559" i="2"/>
  <c r="E557" i="2"/>
  <c r="G18" i="18"/>
  <c r="I18" i="18" s="1"/>
  <c r="K18" i="18" s="1"/>
  <c r="J294" i="1"/>
  <c r="G25" i="18"/>
  <c r="I25" i="18" s="1"/>
  <c r="K25" i="18" s="1"/>
  <c r="G70" i="18"/>
  <c r="I61" i="18"/>
  <c r="G24" i="18"/>
  <c r="I24" i="18" s="1"/>
  <c r="K24" i="18" s="1"/>
  <c r="I35" i="18"/>
  <c r="E27" i="13" l="1"/>
  <c r="P550" i="2"/>
  <c r="Q266" i="1"/>
  <c r="Q189" i="1"/>
  <c r="Q193" i="1" s="1"/>
  <c r="R161" i="1"/>
  <c r="P291" i="1"/>
  <c r="R73" i="1"/>
  <c r="Q97" i="1"/>
  <c r="R561" i="2"/>
  <c r="P556" i="2"/>
  <c r="M203" i="8"/>
  <c r="P582" i="2"/>
  <c r="R582" i="2"/>
  <c r="K38" i="18"/>
  <c r="I41" i="18"/>
  <c r="K43" i="18"/>
  <c r="I46" i="18"/>
  <c r="P97" i="8"/>
  <c r="A143" i="8" s="1"/>
  <c r="P468" i="1"/>
  <c r="P467" i="1"/>
  <c r="L189" i="1"/>
  <c r="L193" i="1" s="1"/>
  <c r="L218" i="1" s="1"/>
  <c r="L293" i="1" s="1"/>
  <c r="O189" i="1"/>
  <c r="O193" i="1" s="1"/>
  <c r="O218" i="1" s="1"/>
  <c r="I219" i="1"/>
  <c r="J218" i="1"/>
  <c r="J293" i="1" s="1"/>
  <c r="P189" i="1"/>
  <c r="N189" i="1"/>
  <c r="N193" i="1" s="1"/>
  <c r="N219" i="1" s="1"/>
  <c r="M189" i="1"/>
  <c r="M193" i="1" s="1"/>
  <c r="M218" i="1" s="1"/>
  <c r="M293" i="1" s="1"/>
  <c r="K189" i="1"/>
  <c r="K193" i="1" s="1"/>
  <c r="I70" i="18"/>
  <c r="K61" i="18"/>
  <c r="K36" i="18"/>
  <c r="K35" i="18"/>
  <c r="F26" i="25"/>
  <c r="P388" i="1"/>
  <c r="P389" i="1"/>
  <c r="R547" i="2"/>
  <c r="P547" i="2"/>
  <c r="Q399" i="1"/>
  <c r="R563" i="2"/>
  <c r="P563" i="2"/>
  <c r="R557" i="2"/>
  <c r="P557" i="2"/>
  <c r="R559" i="2"/>
  <c r="P559" i="2"/>
  <c r="R554" i="2"/>
  <c r="P554" i="2"/>
  <c r="Q378" i="1"/>
  <c r="R378" i="1" s="1"/>
  <c r="Q284" i="1" l="1"/>
  <c r="R266" i="1"/>
  <c r="P193" i="1"/>
  <c r="P219" i="1" s="1"/>
  <c r="R189" i="1"/>
  <c r="R97" i="1"/>
  <c r="Q101" i="1"/>
  <c r="P294" i="1"/>
  <c r="M207" i="8"/>
  <c r="A237" i="8" s="1"/>
  <c r="O244" i="8"/>
  <c r="O219" i="1"/>
  <c r="L219" i="1"/>
  <c r="R399" i="1"/>
  <c r="Q467" i="1"/>
  <c r="R467" i="1" s="1"/>
  <c r="T218" i="1"/>
  <c r="J219" i="1"/>
  <c r="M219" i="1"/>
  <c r="K219" i="1"/>
  <c r="K218" i="1"/>
  <c r="K293" i="1" s="1"/>
  <c r="N218" i="1"/>
  <c r="N293" i="1" s="1"/>
  <c r="Q291" i="1" l="1"/>
  <c r="R291" i="1" s="1"/>
  <c r="R284" i="1"/>
  <c r="R101" i="1"/>
  <c r="Q218" i="1"/>
  <c r="P218" i="1"/>
  <c r="P293" i="1" s="1"/>
  <c r="R193" i="1"/>
  <c r="R218" i="1" l="1"/>
  <c r="Q292" i="1" l="1"/>
  <c r="G294" i="1"/>
  <c r="O292" i="1"/>
  <c r="G293" i="1"/>
  <c r="O293" i="1" l="1"/>
  <c r="E14" i="15" s="1"/>
  <c r="A17" i="15" s="1"/>
  <c r="F28" i="13"/>
  <c r="Q293" i="1"/>
  <c r="R293" i="1" s="1"/>
  <c r="R292" i="1"/>
  <c r="T293" i="1"/>
  <c r="O294" i="1"/>
  <c r="G380" i="1"/>
  <c r="G389" i="1" l="1"/>
  <c r="G388" i="1"/>
  <c r="O379" i="1"/>
  <c r="Q379" i="1" l="1"/>
  <c r="F42" i="13"/>
  <c r="O380" i="1"/>
  <c r="Q380" i="1" l="1"/>
  <c r="Q388" i="1" s="1"/>
  <c r="R388" i="1" s="1"/>
  <c r="R379" i="1"/>
  <c r="O388" i="1"/>
  <c r="O389" i="1"/>
  <c r="T388" i="1"/>
  <c r="R3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AEW</author>
    <author>Kevin L. Salminen</author>
    <author>Amy Warner</author>
    <author>JAW</author>
    <author>Doug Page</author>
    <author>Susan Jones</author>
    <author>Mary Christine Tuck</author>
    <author>K Winfield</author>
    <author>Sharon H. Lawrence</author>
    <author>Susan Livesay</author>
  </authors>
  <commentList>
    <comment ref="E6" authorId="0" shapeId="0" xr:uid="{00000000-0006-0000-02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S37" authorId="1" shapeId="0" xr:uid="{00000000-0006-0000-0200-000002000000}">
      <text>
        <r>
          <rPr>
            <b/>
            <sz val="10"/>
            <color indexed="81"/>
            <rFont val="Tahoma"/>
            <family val="2"/>
          </rPr>
          <t>Notes:</t>
        </r>
        <r>
          <rPr>
            <sz val="10"/>
            <color indexed="81"/>
            <rFont val="Tahoma"/>
            <family val="2"/>
          </rPr>
          <t xml:space="preserve">  Provide any fluctuation explanations in a Microsoft Word document and submit with this template.
</t>
        </r>
      </text>
    </comment>
    <comment ref="A60" authorId="2" shapeId="0" xr:uid="{00000000-0006-0000-0200-000003000000}">
      <text>
        <r>
          <rPr>
            <b/>
            <sz val="9"/>
            <color indexed="81"/>
            <rFont val="Tahoma"/>
            <family val="2"/>
          </rPr>
          <t xml:space="preserve">Due from Other State Agencies </t>
        </r>
        <r>
          <rPr>
            <sz val="9"/>
            <color indexed="81"/>
            <rFont val="Tahoma"/>
            <family val="2"/>
          </rPr>
          <t>must agree to "</t>
        </r>
        <r>
          <rPr>
            <b/>
            <sz val="9"/>
            <color indexed="81"/>
            <rFont val="Tahoma"/>
            <family val="2"/>
          </rPr>
          <t>Part 1</t>
        </r>
        <r>
          <rPr>
            <sz val="9"/>
            <color indexed="81"/>
            <rFont val="Tahoma"/>
            <family val="2"/>
          </rPr>
          <t xml:space="preserve"> -</t>
        </r>
        <r>
          <rPr>
            <b/>
            <sz val="9"/>
            <color indexed="81"/>
            <rFont val="Tahoma"/>
            <family val="2"/>
          </rPr>
          <t xml:space="preserve"> Internal</t>
        </r>
        <r>
          <rPr>
            <sz val="9"/>
            <color indexed="81"/>
            <rFont val="Tahoma"/>
            <family val="2"/>
          </rPr>
          <t xml:space="preserve">" worksheet at </t>
        </r>
        <r>
          <rPr>
            <sz val="9"/>
            <color indexed="12"/>
            <rFont val="Tahoma"/>
            <family val="2"/>
          </rPr>
          <t>Attachment 19
- Internal Service Funds - Conversion to Government-wide Statement of Activities</t>
        </r>
        <r>
          <rPr>
            <sz val="9"/>
            <color indexed="81"/>
            <rFont val="Tahoma"/>
            <family val="2"/>
          </rPr>
          <t>.  All other receivables from component units, higher education agencies, or other agencies not listed on that worksheet may be placed into Accounts Receivable</t>
        </r>
        <r>
          <rPr>
            <b/>
            <sz val="9"/>
            <color indexed="81"/>
            <rFont val="Tahoma"/>
            <family val="2"/>
          </rPr>
          <t>.</t>
        </r>
        <r>
          <rPr>
            <sz val="9"/>
            <color indexed="81"/>
            <rFont val="Tahoma"/>
            <family val="2"/>
          </rPr>
          <t xml:space="preserve">
</t>
        </r>
      </text>
    </comment>
    <comment ref="B77" authorId="3" shapeId="0" xr:uid="{00000000-0006-0000-0200-000004000000}">
      <text>
        <r>
          <rPr>
            <b/>
            <sz val="8"/>
            <color indexed="81"/>
            <rFont val="Tahoma"/>
            <family val="2"/>
          </rPr>
          <t xml:space="preserve">LGIP EM should be reported as Noncurrent Investments with the Treasurer - Other </t>
        </r>
      </text>
    </comment>
    <comment ref="A128" authorId="4" shapeId="0" xr:uid="{00000000-0006-0000-0200-000005000000}">
      <text>
        <r>
          <rPr>
            <b/>
            <sz val="9"/>
            <color indexed="81"/>
            <rFont val="Tahoma"/>
            <family val="2"/>
          </rPr>
          <t xml:space="preserve">Salary / Wages Payable:  </t>
        </r>
        <r>
          <rPr>
            <sz val="9"/>
            <color indexed="81"/>
            <rFont val="Tahoma"/>
            <family val="2"/>
          </rPr>
          <t xml:space="preserve">This amount should </t>
        </r>
        <r>
          <rPr>
            <b/>
            <sz val="9"/>
            <color indexed="81"/>
            <rFont val="Tahoma"/>
            <family val="2"/>
          </rPr>
          <t>exclude</t>
        </r>
        <r>
          <rPr>
            <sz val="9"/>
            <color indexed="81"/>
            <rFont val="Tahoma"/>
            <family val="2"/>
          </rPr>
          <t xml:space="preserve"> any accruals associated with the VRS-provided benefits as well as the DHRM-provided benefits (LAG Pay).</t>
        </r>
        <r>
          <rPr>
            <sz val="8"/>
            <color indexed="81"/>
            <rFont val="Tahoma"/>
            <family val="2"/>
          </rPr>
          <t xml:space="preserve">
</t>
        </r>
      </text>
    </comment>
    <comment ref="A134" authorId="5" shapeId="0" xr:uid="{00000000-0006-0000-0200-000006000000}">
      <text>
        <r>
          <rPr>
            <b/>
            <sz val="9"/>
            <color indexed="81"/>
            <rFont val="Tahoma"/>
            <family val="2"/>
          </rPr>
          <t xml:space="preserve">Due to Other State Agencies:  </t>
        </r>
        <r>
          <rPr>
            <sz val="9"/>
            <color indexed="81"/>
            <rFont val="Tahoma"/>
            <family val="2"/>
          </rPr>
          <t xml:space="preserve">This amount should </t>
        </r>
        <r>
          <rPr>
            <b/>
            <sz val="9"/>
            <color indexed="81"/>
            <rFont val="Tahoma"/>
            <family val="2"/>
          </rPr>
          <t>include</t>
        </r>
        <r>
          <rPr>
            <sz val="9"/>
            <color indexed="81"/>
            <rFont val="Tahoma"/>
            <family val="2"/>
          </rPr>
          <t xml:space="preserve"> any accruals associated with the DHRM-provided benefits (LAG Pay) </t>
        </r>
      </text>
    </comment>
    <comment ref="A137" authorId="5" shapeId="0" xr:uid="{00000000-0006-0000-0200-000007000000}">
      <text>
        <r>
          <rPr>
            <b/>
            <sz val="9"/>
            <color indexed="81"/>
            <rFont val="Tahoma"/>
            <family val="2"/>
          </rPr>
          <t xml:space="preserve">Due to External Parties (Fiduciary Funds):  </t>
        </r>
        <r>
          <rPr>
            <sz val="9"/>
            <color indexed="81"/>
            <rFont val="Tahoma"/>
            <family val="2"/>
          </rPr>
          <t xml:space="preserve">This amount should </t>
        </r>
        <r>
          <rPr>
            <b/>
            <sz val="9"/>
            <color indexed="81"/>
            <rFont val="Tahoma"/>
            <family val="2"/>
          </rPr>
          <t>include</t>
        </r>
        <r>
          <rPr>
            <sz val="9"/>
            <color indexed="81"/>
            <rFont val="Tahoma"/>
            <family val="2"/>
          </rPr>
          <t xml:space="preserve"> any accruals associated with the VRS-provided benefits as well as the VRS portion of LAG Pay </t>
        </r>
      </text>
    </comment>
    <comment ref="D218" authorId="6" shapeId="0" xr:uid="{00000000-0006-0000-0200-00000A000000}">
      <text>
        <r>
          <rPr>
            <b/>
            <sz val="9"/>
            <color indexed="81"/>
            <rFont val="Tahoma"/>
            <family val="2"/>
          </rPr>
          <t>Total Net Position:</t>
        </r>
        <r>
          <rPr>
            <sz val="9"/>
            <color indexed="81"/>
            <rFont val="Tahoma"/>
            <family val="2"/>
          </rPr>
          <t xml:space="preserve">
Total net position plus liabilities &amp; deferred inflows must equal total assets &amp; deferred outflows.  If amounts do not agree, an "error" message will appear.   Review amounts entered and make corrections as deemed necessary.</t>
        </r>
      </text>
    </comment>
    <comment ref="B278" authorId="7" shapeId="0" xr:uid="{EFC88BD1-BDCC-44A0-9F2E-5BD1F0BA5630}">
      <text>
        <r>
          <rPr>
            <b/>
            <sz val="9"/>
            <color indexed="81"/>
            <rFont val="Tahoma"/>
            <family val="2"/>
          </rPr>
          <t>Interest Expense:</t>
        </r>
        <r>
          <rPr>
            <sz val="9"/>
            <color indexed="81"/>
            <rFont val="Tahoma"/>
            <family val="2"/>
          </rPr>
          <t xml:space="preserve">
All interest associated with long-term lease liabilities and long-term SBITA liabilities should be reported as non-operating.</t>
        </r>
      </text>
    </comment>
    <comment ref="A292" authorId="6" shapeId="0" xr:uid="{00000000-0006-0000-0200-00000B000000}">
      <text>
        <r>
          <rPr>
            <b/>
            <sz val="10"/>
            <color indexed="81"/>
            <rFont val="Tahoma"/>
            <family val="2"/>
          </rPr>
          <t>Total Net Position-Beginning:</t>
        </r>
        <r>
          <rPr>
            <sz val="10"/>
            <color indexed="81"/>
            <rFont val="Tahoma"/>
            <family val="2"/>
          </rPr>
          <t xml:space="preserve">
This cell is linked to Tab 8-Restatements.  If a beginning net position restatement exists, complete tab 8.</t>
        </r>
      </text>
    </comment>
    <comment ref="A294" authorId="8" shapeId="0" xr:uid="{00000000-0006-0000-0200-00000C000000}">
      <text>
        <r>
          <rPr>
            <b/>
            <sz val="10"/>
            <color indexed="81"/>
            <rFont val="Tahoma"/>
            <family val="2"/>
          </rPr>
          <t>Net Position-Ending:</t>
        </r>
        <r>
          <rPr>
            <sz val="10"/>
            <color indexed="81"/>
            <rFont val="Tahoma"/>
            <family val="2"/>
          </rPr>
          <t xml:space="preserve">
Complete Tab 10 - Deficit Net Position if the ending balance is negative.</t>
        </r>
      </text>
    </comment>
    <comment ref="A305" authorId="6" shapeId="0" xr:uid="{00000000-0006-0000-0200-00000D000000}">
      <text>
        <r>
          <rPr>
            <b/>
            <sz val="10"/>
            <color indexed="81"/>
            <rFont val="Tahoma"/>
            <family val="2"/>
          </rPr>
          <t>Internal Activity-Receipts from Other Funds/ Internal Activity-Payments to Other Funds:</t>
        </r>
        <r>
          <rPr>
            <sz val="10"/>
            <color indexed="81"/>
            <rFont val="Tahoma"/>
            <family val="2"/>
          </rPr>
          <t xml:space="preserve">
Report quasi-external transactions with customers or suppliers that are part of the Commonwealth on the Statement of Cash Flows as "Internal Activity-Receipts from Other Funds" or "Internal Activity-Payments to Other Funds".</t>
        </r>
      </text>
    </comment>
    <comment ref="A308" authorId="9" shapeId="0" xr:uid="{00000000-0006-0000-0200-00000E000000}">
      <text>
        <r>
          <rPr>
            <b/>
            <sz val="10"/>
            <color indexed="81"/>
            <rFont val="Tahoma"/>
            <family val="2"/>
          </rPr>
          <t>Payments for Contractual Services:</t>
        </r>
        <r>
          <rPr>
            <sz val="10"/>
            <color indexed="81"/>
            <rFont val="Tahoma"/>
            <family val="2"/>
          </rPr>
          <t xml:space="preserve">
If the Statement of Revenues, Expenses, and Changes in Fund Net Position has an amount for Contractual Services Expenses, the Statement of Cash Flows should report the Cash Payments for Contractual Services on this line item.</t>
        </r>
      </text>
    </comment>
    <comment ref="A379" authorId="6" shapeId="0" xr:uid="{00000000-0006-0000-0200-00000F000000}">
      <text>
        <r>
          <rPr>
            <b/>
            <sz val="10"/>
            <color indexed="81"/>
            <rFont val="Tahoma"/>
            <family val="2"/>
          </rPr>
          <t>Total Cash and Cash Equivalents-Beginning:</t>
        </r>
        <r>
          <rPr>
            <sz val="10"/>
            <color indexed="81"/>
            <rFont val="Tahoma"/>
            <family val="2"/>
          </rPr>
          <t xml:space="preserve">
This cell is linked to Tab 8-Restatements.   If a beginning cash/ cash equivalents restatement exists, complete tab 8.</t>
        </r>
      </text>
    </comment>
    <comment ref="A467" authorId="6" shapeId="0" xr:uid="{00000000-0006-0000-0200-000010000000}">
      <text>
        <r>
          <rPr>
            <b/>
            <sz val="10"/>
            <color indexed="81"/>
            <rFont val="Tahoma"/>
            <family val="2"/>
          </rPr>
          <t>Net Cash Provided by (Used for) Operating Activities:</t>
        </r>
        <r>
          <rPr>
            <sz val="10"/>
            <color indexed="81"/>
            <rFont val="Tahoma"/>
            <family val="2"/>
          </rPr>
          <t xml:space="preserve">
Must equal the Net Cash Provided by (Used for) Operating Activities on the Statement of Cash Flows (Part 1).  If not, an "error" message will appear.  Make corrections as deemed necessary.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AEW</author>
    <author>Mary Christine Tuck</author>
    <author>Sharon H. Lawrence</author>
    <author>VITA Program</author>
    <author>test</author>
    <author>Sarah Drysdale</author>
  </authors>
  <commentList>
    <comment ref="B6" authorId="0" shapeId="0" xr:uid="{00000000-0006-0000-0B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E15" authorId="1" shapeId="0" xr:uid="{00000000-0006-0000-0B00-000002000000}">
      <text>
        <r>
          <rPr>
            <b/>
            <sz val="8"/>
            <color indexed="81"/>
            <rFont val="Tahoma"/>
            <family val="2"/>
          </rPr>
          <t xml:space="preserve">Balance June 30, 2024
Amounts </t>
        </r>
        <r>
          <rPr>
            <sz val="8"/>
            <color indexed="81"/>
            <rFont val="Tahoma"/>
            <family val="2"/>
          </rPr>
          <t>must agree to the corresponding total current and noncurrent long-term liabilities on the Statement of Net Position Template.  If not, an "error" message will appear.  Review and make corrections as deemed necessary.</t>
        </r>
      </text>
    </comment>
    <comment ref="F18" authorId="2" shapeId="0" xr:uid="{00000000-0006-0000-0B00-000003000000}">
      <text>
        <r>
          <rPr>
            <b/>
            <sz val="8"/>
            <color indexed="81"/>
            <rFont val="Tahoma"/>
            <family val="2"/>
          </rPr>
          <t xml:space="preserve">Compensated Absences: </t>
        </r>
        <r>
          <rPr>
            <sz val="8"/>
            <color indexed="81"/>
            <rFont val="Tahoma"/>
            <family val="2"/>
          </rPr>
          <t xml:space="preserve"> Directions for computing required amounts are located in Attachment 6B, Non-HCM and Hybrid users.  </t>
        </r>
      </text>
    </comment>
    <comment ref="F52" authorId="3" shapeId="0" xr:uid="{00000000-0006-0000-0B00-000006000000}">
      <text>
        <r>
          <rPr>
            <b/>
            <sz val="9"/>
            <color indexed="81"/>
            <rFont val="Tahoma"/>
            <family val="2"/>
          </rPr>
          <t xml:space="preserve">Installment Purchases Due Within One Year:  </t>
        </r>
        <r>
          <rPr>
            <sz val="9"/>
            <color indexed="81"/>
            <rFont val="Tahoma"/>
            <family val="2"/>
          </rPr>
          <t xml:space="preserve">
The Due Within One Year Installment Purchases in Part 1 should agree to the FY2025 principal amount in Part 2.</t>
        </r>
      </text>
    </comment>
    <comment ref="B66" authorId="1" shapeId="0" xr:uid="{00000000-0006-0000-0B00-000007000000}">
      <text>
        <r>
          <rPr>
            <b/>
            <sz val="8"/>
            <color indexed="81"/>
            <rFont val="Tahoma"/>
            <family val="2"/>
          </rPr>
          <t xml:space="preserve">Total Future Principal Amounts </t>
        </r>
        <r>
          <rPr>
            <sz val="8"/>
            <color indexed="81"/>
            <rFont val="Tahoma"/>
            <family val="2"/>
          </rPr>
          <t>must equal to total current and noncurrent installment purchase obligations reported on the Statement of Net Position.  If not, an "error" message will appear. Make corrections as deemed necessary.</t>
        </r>
      </text>
    </comment>
    <comment ref="B79" authorId="4" shapeId="0" xr:uid="{00000000-0006-0000-0B00-000008000000}">
      <text>
        <r>
          <rPr>
            <sz val="8"/>
            <color indexed="81"/>
            <rFont val="Tahoma"/>
            <family val="2"/>
          </rPr>
          <t>The MELP listing for fiscal year 2024 will become available mid July.</t>
        </r>
      </text>
    </comment>
    <comment ref="F97" authorId="5" shapeId="0" xr:uid="{00000000-0006-0000-0B00-000009000000}">
      <text>
        <r>
          <rPr>
            <b/>
            <sz val="9"/>
            <color indexed="81"/>
            <rFont val="Tahoma"/>
            <family val="2"/>
          </rPr>
          <t>Long-term Lease Liabilities (</t>
        </r>
        <r>
          <rPr>
            <b/>
            <u/>
            <sz val="9"/>
            <color indexed="81"/>
            <rFont val="Tahoma"/>
            <family val="2"/>
          </rPr>
          <t>GASBS No. 87</t>
        </r>
        <r>
          <rPr>
            <b/>
            <sz val="9"/>
            <color indexed="81"/>
            <rFont val="Tahoma"/>
            <family val="2"/>
          </rPr>
          <t>) Due Within One Year:</t>
        </r>
        <r>
          <rPr>
            <sz val="9"/>
            <color indexed="81"/>
            <rFont val="Tahoma"/>
            <family val="2"/>
          </rPr>
          <t xml:space="preserve"> The Due Within One Year Long-term Lease Liabilities in Part 1 should agree to the FY2025 principal amount in Part 3.</t>
        </r>
      </text>
    </comment>
    <comment ref="B110" authorId="1" shapeId="0" xr:uid="{00000000-0006-0000-0B00-00000A000000}">
      <text>
        <r>
          <rPr>
            <b/>
            <sz val="8"/>
            <color indexed="81"/>
            <rFont val="Tahoma"/>
            <family val="2"/>
          </rPr>
          <t xml:space="preserve">Total Future Principal Amounts </t>
        </r>
        <r>
          <rPr>
            <sz val="8"/>
            <color indexed="81"/>
            <rFont val="Tahoma"/>
            <family val="2"/>
          </rPr>
          <t>must equal to total current and noncurrent Long-term Lease Liability reported on the Statement of Net Position.  If not, an "error" message will appear. Make corrections as deemed necessary.</t>
        </r>
      </text>
    </comment>
    <comment ref="F130" authorId="5" shapeId="0" xr:uid="{00000000-0006-0000-0B00-00000B000000}">
      <text>
        <r>
          <rPr>
            <b/>
            <sz val="9"/>
            <color indexed="81"/>
            <rFont val="Tahoma"/>
            <family val="2"/>
          </rPr>
          <t>Financed Purchases Obligations (</t>
        </r>
        <r>
          <rPr>
            <b/>
            <u/>
            <sz val="9"/>
            <color indexed="81"/>
            <rFont val="Tahoma"/>
            <family val="2"/>
          </rPr>
          <t>GASBS No. 87</t>
        </r>
        <r>
          <rPr>
            <b/>
            <sz val="9"/>
            <color indexed="81"/>
            <rFont val="Tahoma"/>
            <family val="2"/>
          </rPr>
          <t>) Due Within One Year:</t>
        </r>
        <r>
          <rPr>
            <sz val="9"/>
            <color indexed="81"/>
            <rFont val="Tahoma"/>
            <family val="2"/>
          </rPr>
          <t xml:space="preserve"> The Due Within One Year Financed Purchases Obligations in Part 1 should agree to the FY2025 principal amount in Part 4.</t>
        </r>
      </text>
    </comment>
    <comment ref="B144" authorId="1" shapeId="0" xr:uid="{00000000-0006-0000-0B00-00000C000000}">
      <text>
        <r>
          <rPr>
            <b/>
            <sz val="8"/>
            <color indexed="81"/>
            <rFont val="Tahoma"/>
            <family val="2"/>
          </rPr>
          <t xml:space="preserve">Total Future Principal Amounts </t>
        </r>
        <r>
          <rPr>
            <sz val="8"/>
            <color indexed="81"/>
            <rFont val="Tahoma"/>
            <family val="2"/>
          </rPr>
          <t>must equal to total current and noncurrent Financed Purchases Obligations reported on the Statement of Net Position.  If not, an "error" message will appear. Make corrections as deemed necessary.</t>
        </r>
      </text>
    </comment>
    <comment ref="F153" authorId="5" shapeId="0" xr:uid="{F2615089-6261-41B6-B179-3F7BA7A2CE65}">
      <text>
        <r>
          <rPr>
            <b/>
            <sz val="9"/>
            <color indexed="81"/>
            <rFont val="Tahoma"/>
            <family val="2"/>
          </rPr>
          <t>Long-term SBITA Liabilities (</t>
        </r>
        <r>
          <rPr>
            <b/>
            <u/>
            <sz val="9"/>
            <color indexed="81"/>
            <rFont val="Tahoma"/>
            <family val="2"/>
          </rPr>
          <t>GASBS No. 96</t>
        </r>
        <r>
          <rPr>
            <b/>
            <sz val="9"/>
            <color indexed="81"/>
            <rFont val="Tahoma"/>
            <family val="2"/>
          </rPr>
          <t>) Due Within One Year:</t>
        </r>
        <r>
          <rPr>
            <sz val="9"/>
            <color indexed="81"/>
            <rFont val="Tahoma"/>
            <family val="2"/>
          </rPr>
          <t xml:space="preserve"> The Due Within One Year Long-term SBITA Liabilities in Part 1 should agree to the FY2025 principal amount in Part 5.</t>
        </r>
      </text>
    </comment>
    <comment ref="B166" authorId="1" shapeId="0" xr:uid="{EC496922-F3FE-47E0-BCF9-D5786554F480}">
      <text>
        <r>
          <rPr>
            <b/>
            <sz val="8"/>
            <color indexed="81"/>
            <rFont val="Tahoma"/>
            <family val="2"/>
          </rPr>
          <t xml:space="preserve">Total Future Principal Amounts </t>
        </r>
        <r>
          <rPr>
            <sz val="8"/>
            <color indexed="81"/>
            <rFont val="Tahoma"/>
            <family val="2"/>
          </rPr>
          <t>must equal to total current and noncurrent Long-term SBITA Liabilities reported on the Statement of Net Position.  If not, an "error" message will appear. Make corrections as deemed necessary.</t>
        </r>
      </text>
    </comment>
    <comment ref="F189" authorId="3" shapeId="0" xr:uid="{00000000-0006-0000-0B00-00000D000000}">
      <text>
        <r>
          <rPr>
            <b/>
            <sz val="9"/>
            <color indexed="81"/>
            <rFont val="Tahoma"/>
            <family val="2"/>
          </rPr>
          <t xml:space="preserve">Bonds Payable Due Within One Year:  </t>
        </r>
        <r>
          <rPr>
            <sz val="9"/>
            <color indexed="81"/>
            <rFont val="Tahoma"/>
            <family val="2"/>
          </rPr>
          <t xml:space="preserve">
The Due Within One Year Net Bonds Payable in Part 1 should agree to the FY2025 principal amount in Part 6.</t>
        </r>
      </text>
    </comment>
    <comment ref="B209" authorId="1" shapeId="0" xr:uid="{00000000-0006-0000-0B00-00000E000000}">
      <text>
        <r>
          <rPr>
            <b/>
            <sz val="8"/>
            <color indexed="81"/>
            <rFont val="Tahoma"/>
            <family val="2"/>
          </rPr>
          <t xml:space="preserve">Total Bonds Payable Principal Amount </t>
        </r>
        <r>
          <rPr>
            <sz val="8"/>
            <color indexed="81"/>
            <rFont val="Tahoma"/>
            <family val="2"/>
          </rPr>
          <t>must agree to the total current and noncurrent bonds payable amount reported on the Statement of Net Position template.  If not, an "error" message will appear.  Make corrections as deemed necessary.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AEW</author>
  </authors>
  <commentList>
    <comment ref="B6" authorId="0" shapeId="0" xr:uid="{00000000-0006-0000-0C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AEW</author>
    <author>Amy Warner</author>
  </authors>
  <commentList>
    <comment ref="C6" authorId="0" shapeId="0" xr:uid="{00000000-0006-0000-0D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B100" authorId="1" shapeId="0" xr:uid="{00000000-0006-0000-0D00-000002000000}">
      <text>
        <r>
          <rPr>
            <b/>
            <sz val="10"/>
            <color indexed="81"/>
            <rFont val="Tahoma"/>
            <family val="2"/>
          </rPr>
          <t xml:space="preserve">Total Prepaid Items </t>
        </r>
        <r>
          <rPr>
            <sz val="10"/>
            <color indexed="81"/>
            <rFont val="Tahoma"/>
            <family val="2"/>
          </rPr>
          <t>must equal total prepaid items reported on the Statement of Net Position.  If not, an "error" message will appear. Correct as necessary.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Katie Case</author>
    <author>Susan Livesay</author>
  </authors>
  <commentList>
    <comment ref="C6" authorId="0" shapeId="0" xr:uid="{066F1765-5FC0-4DB7-8CC6-40B514249660}">
      <text>
        <r>
          <rPr>
            <sz val="9"/>
            <color indexed="81"/>
            <rFont val="Tahoma"/>
            <family val="2"/>
          </rPr>
          <t xml:space="preserve">If this submission is a revision to a previous submission for which DOA acknowledged receipt and acceptance, </t>
        </r>
        <r>
          <rPr>
            <b/>
            <sz val="9"/>
            <color indexed="81"/>
            <rFont val="Tahoma"/>
            <family val="2"/>
          </rPr>
          <t>COMPLETE THE REVISION CONTROL LOG TAB.</t>
        </r>
        <r>
          <rPr>
            <sz val="9"/>
            <color indexed="81"/>
            <rFont val="Tahoma"/>
            <family val="2"/>
          </rPr>
          <t xml:space="preserve">
</t>
        </r>
      </text>
    </comment>
    <comment ref="E27" authorId="1" shapeId="0" xr:uid="{00000000-0006-0000-0E00-000002000000}">
      <text>
        <r>
          <rPr>
            <b/>
            <sz val="10"/>
            <color indexed="81"/>
            <rFont val="Tahoma"/>
            <family val="2"/>
          </rPr>
          <t>Beginning Net Position Balance:</t>
        </r>
        <r>
          <rPr>
            <sz val="10"/>
            <color indexed="81"/>
            <rFont val="Tahoma"/>
            <family val="2"/>
          </rPr>
          <t xml:space="preserve">
Beginning Net Position on the Statement of Revenues, Expenses, and Changes in Net Position are linked to these cells.</t>
        </r>
      </text>
    </comment>
    <comment ref="E41" authorId="1" shapeId="0" xr:uid="{00000000-0006-0000-0E00-000003000000}">
      <text>
        <r>
          <rPr>
            <b/>
            <sz val="10"/>
            <color indexed="81"/>
            <rFont val="Tahoma"/>
            <family val="2"/>
          </rPr>
          <t>Beginning Cash and Cash Equivalents Balance:</t>
        </r>
        <r>
          <rPr>
            <sz val="10"/>
            <color indexed="81"/>
            <rFont val="Tahoma"/>
            <family val="2"/>
          </rPr>
          <t xml:space="preserve">
Beginning Cash and Cash Equivalents on the Statement of Cash Flows are linked to these cells.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AEW</author>
    <author>Amy Warner</author>
  </authors>
  <commentList>
    <comment ref="B6" authorId="0" shapeId="0" xr:uid="{00000000-0006-0000-0F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B19" authorId="1" shapeId="0" xr:uid="{00000000-0006-0000-0F00-000002000000}">
      <text>
        <r>
          <rPr>
            <b/>
            <sz val="8"/>
            <color indexed="81"/>
            <rFont val="Tahoma"/>
            <family val="2"/>
          </rPr>
          <t>Prepayments Received as of June 30:</t>
        </r>
        <r>
          <rPr>
            <sz val="8"/>
            <color indexed="81"/>
            <rFont val="Tahoma"/>
            <family val="2"/>
          </rPr>
          <t xml:space="preserve">
This cell is the total of the prepayments received by agency as reported in Part 2.</t>
        </r>
      </text>
    </comment>
    <comment ref="B25" authorId="1" shapeId="0" xr:uid="{00000000-0006-0000-0F00-000003000000}">
      <text>
        <r>
          <rPr>
            <b/>
            <sz val="8"/>
            <color indexed="81"/>
            <rFont val="Tahoma"/>
            <family val="2"/>
          </rPr>
          <t xml:space="preserve">Total Unearned Revenue </t>
        </r>
        <r>
          <rPr>
            <sz val="8"/>
            <color indexed="81"/>
            <rFont val="Tahoma"/>
            <family val="2"/>
          </rPr>
          <t>must equal total unearned revenue reported on the Statement of Net Position.  If not, an "error" message will appear. Correct as necessary.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AEW</author>
  </authors>
  <commentList>
    <comment ref="B6" authorId="0" shapeId="0" xr:uid="{00000000-0006-0000-10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AEW</author>
    <author>dba</author>
  </authors>
  <commentList>
    <comment ref="B6" authorId="0" shapeId="0" xr:uid="{00000000-0006-0000-11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F22" authorId="1" shapeId="0" xr:uid="{00000000-0006-0000-1100-000002000000}">
      <text>
        <r>
          <rPr>
            <b/>
            <sz val="10"/>
            <color indexed="81"/>
            <rFont val="Tahoma"/>
            <family val="2"/>
          </rPr>
          <t>Total Transfers in</t>
        </r>
        <r>
          <rPr>
            <sz val="10"/>
            <color indexed="81"/>
            <rFont val="Tahoma"/>
            <family val="2"/>
          </rPr>
          <t xml:space="preserve"> must agree to the amount reported on the "Transfers In" line item on the template.  If not, an "error" message will appear.  Make corrections as deemed necessary.
</t>
        </r>
      </text>
    </comment>
    <comment ref="F40" authorId="1" shapeId="0" xr:uid="{00000000-0006-0000-1100-000003000000}">
      <text>
        <r>
          <rPr>
            <b/>
            <sz val="10"/>
            <color indexed="81"/>
            <rFont val="Tahoma"/>
            <family val="2"/>
          </rPr>
          <t>Total Transfers out</t>
        </r>
        <r>
          <rPr>
            <sz val="10"/>
            <color indexed="81"/>
            <rFont val="Tahoma"/>
            <family val="2"/>
          </rPr>
          <t xml:space="preserve"> must agree to the amount reported on the "Transfers Out" line item on the template.  If not, an "error" message will appear.  Make corrections as deemed necessary.
</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AEW</author>
    <author>Kevin L. Salminen</author>
    <author>Christy Tuck</author>
  </authors>
  <commentList>
    <comment ref="B6" authorId="0" shapeId="0" xr:uid="{00000000-0006-0000-12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B17" authorId="1" shapeId="0" xr:uid="{00000000-0006-0000-1200-000002000000}">
      <text>
        <r>
          <rPr>
            <b/>
            <sz val="10"/>
            <color indexed="81"/>
            <rFont val="Tahoma"/>
            <family val="2"/>
          </rPr>
          <t xml:space="preserve">Total Capital Assets:  
</t>
        </r>
        <r>
          <rPr>
            <sz val="10"/>
            <color indexed="81"/>
            <rFont val="Tahoma"/>
            <family val="2"/>
          </rPr>
          <t xml:space="preserve">This is the sum of Nondepreciable and Other Capital Assets, Net on the template. Total capital assets include nondepreciable capital assets, intangible assets as required by </t>
        </r>
        <r>
          <rPr>
            <b/>
            <u/>
            <sz val="10"/>
            <color indexed="81"/>
            <rFont val="Tahoma"/>
            <family val="2"/>
          </rPr>
          <t>GASBS No. 51</t>
        </r>
        <r>
          <rPr>
            <sz val="10"/>
            <color indexed="81"/>
            <rFont val="Tahoma"/>
            <family val="2"/>
          </rPr>
          <t xml:space="preserve"> and amortized right-to-use intangible assets required by </t>
        </r>
        <r>
          <rPr>
            <b/>
            <u/>
            <sz val="10"/>
            <color indexed="81"/>
            <rFont val="Tahoma"/>
            <family val="2"/>
          </rPr>
          <t>GASBS No. 87</t>
        </r>
        <r>
          <rPr>
            <sz val="10"/>
            <color indexed="81"/>
            <rFont val="Tahoma"/>
            <family val="2"/>
          </rPr>
          <t xml:space="preserve"> and </t>
        </r>
        <r>
          <rPr>
            <b/>
            <u/>
            <sz val="10"/>
            <color indexed="81"/>
            <rFont val="Tahoma"/>
            <family val="2"/>
          </rPr>
          <t>GASBS No. 96</t>
        </r>
        <r>
          <rPr>
            <sz val="10"/>
            <color indexed="81"/>
            <rFont val="Tahoma"/>
            <family val="2"/>
          </rPr>
          <t>.</t>
        </r>
      </text>
    </comment>
    <comment ref="D32" authorId="2" shapeId="0" xr:uid="{00000000-0006-0000-1200-000003000000}">
      <text>
        <r>
          <rPr>
            <b/>
            <sz val="9"/>
            <color indexed="81"/>
            <rFont val="Arial"/>
            <family val="2"/>
          </rPr>
          <t>Note B</t>
        </r>
        <r>
          <rPr>
            <sz val="9"/>
            <color indexed="81"/>
            <rFont val="Arial"/>
            <family val="2"/>
          </rPr>
          <t>: If an amount is provided for unspent proceeds on debt related to capital assets, do the unspent proceeds on debt exclude investment earnings? (yes or no)</t>
        </r>
      </text>
    </comment>
    <comment ref="B46" authorId="1" shapeId="0" xr:uid="{00000000-0006-0000-1200-000004000000}">
      <text>
        <r>
          <rPr>
            <b/>
            <sz val="10"/>
            <color indexed="81"/>
            <rFont val="Tahoma"/>
            <family val="2"/>
          </rPr>
          <t xml:space="preserve">Net investment in capital assets </t>
        </r>
        <r>
          <rPr>
            <sz val="10"/>
            <color indexed="81"/>
            <rFont val="Tahoma"/>
            <family val="2"/>
          </rPr>
          <t xml:space="preserve">must agree to the amount reported on the "Net investment in capital assets" line item on the template.  If not, an "error" message will appear.  Make corrections as deemed necessary.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AEW</author>
  </authors>
  <commentList>
    <comment ref="B6" authorId="0" shapeId="0" xr:uid="{00000000-0006-0000-13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AEW</author>
    <author>Christy Tuck</author>
  </authors>
  <commentList>
    <comment ref="E6" authorId="0" shapeId="0" xr:uid="{00000000-0006-0000-03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G29" authorId="1" shapeId="0" xr:uid="{00000000-0006-0000-0300-000002000000}">
      <text>
        <r>
          <rPr>
            <sz val="8"/>
            <color indexed="81"/>
            <rFont val="Arial"/>
            <family val="2"/>
          </rPr>
          <t xml:space="preserve">The row height for explanations should automatically increase. If additional space is needed, please provide explanations in a separate document, including fluctuation amount and percent.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AEW</author>
    <author>Kevin L. Salminen</author>
    <author>Gemma Yu-Meade</author>
  </authors>
  <commentList>
    <comment ref="D6" authorId="0" shapeId="0" xr:uid="{00000000-0006-0000-04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t>
        </r>
        <r>
          <rPr>
            <sz val="10"/>
            <color indexed="81"/>
            <rFont val="Tahoma"/>
            <family val="2"/>
          </rPr>
          <t xml:space="preserve">
</t>
        </r>
      </text>
    </comment>
    <comment ref="H10" authorId="1" shapeId="0" xr:uid="{00000000-0006-0000-0400-000002000000}">
      <text>
        <r>
          <rPr>
            <sz val="8"/>
            <color indexed="81"/>
            <rFont val="Tahoma"/>
            <family val="2"/>
          </rPr>
          <t>Linked to the Internal Service Template Cash held with the Treasurer.</t>
        </r>
      </text>
    </comment>
    <comment ref="H14" authorId="1" shapeId="0" xr:uid="{00000000-0006-0000-0400-000003000000}">
      <text>
        <r>
          <rPr>
            <sz val="8"/>
            <color indexed="81"/>
            <rFont val="Tahoma"/>
            <family val="2"/>
          </rPr>
          <t>Linked to the Internal Service Template Cash NOT held with the Treasurer.</t>
        </r>
      </text>
    </comment>
    <comment ref="H39" authorId="1" shapeId="0" xr:uid="{00000000-0006-0000-0400-000004000000}">
      <text>
        <r>
          <rPr>
            <sz val="8"/>
            <color indexed="81"/>
            <rFont val="Tahoma"/>
            <family val="2"/>
          </rPr>
          <t>This is the sum of 3a, 3b, &amp; 3c.  It should agree to the amount reported in 2.2 above.</t>
        </r>
        <r>
          <rPr>
            <sz val="10"/>
            <color indexed="81"/>
            <rFont val="Tahoma"/>
            <family val="2"/>
          </rPr>
          <t xml:space="preserve">
</t>
        </r>
      </text>
    </comment>
    <comment ref="G84" authorId="2" shapeId="0" xr:uid="{00000000-0006-0000-0400-000005000000}">
      <text>
        <r>
          <rPr>
            <sz val="8"/>
            <color indexed="81"/>
            <rFont val="Tahoma"/>
            <family val="2"/>
          </rPr>
          <t>Total LGIP EM should be reported as Noncurrent "Investments with the Treasurer - Other" on the Template.</t>
        </r>
      </text>
    </comment>
    <comment ref="G108" authorId="1" shapeId="0" xr:uid="{00000000-0006-0000-0400-000006000000}">
      <text>
        <r>
          <rPr>
            <sz val="8"/>
            <color indexed="81"/>
            <rFont val="Tahoma"/>
            <family val="2"/>
          </rPr>
          <t>Linked to the Internal Service Template Cash Equivalents and Investments NOT held with the Treasurer.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AEW</author>
    <author>Aneri Patel</author>
  </authors>
  <commentList>
    <comment ref="C6" authorId="0" shapeId="0" xr:uid="{00000000-0006-0000-0500-000001000000}">
      <text>
        <r>
          <rPr>
            <sz val="9"/>
            <color indexed="81"/>
            <rFont val="Tahoma"/>
            <family val="2"/>
          </rPr>
          <t xml:space="preserve">If this submission is a revision to a previous submission for which DOA acknowledged receipt and acceptance, </t>
        </r>
        <r>
          <rPr>
            <b/>
            <sz val="9"/>
            <color indexed="81"/>
            <rFont val="Tahoma"/>
            <family val="2"/>
          </rPr>
          <t>COMPLETE THE REVISION CONTROL LOG TAB</t>
        </r>
        <r>
          <rPr>
            <sz val="9"/>
            <color indexed="81"/>
            <rFont val="Tahoma"/>
            <family val="2"/>
          </rPr>
          <t>.</t>
        </r>
        <r>
          <rPr>
            <sz val="10"/>
            <color indexed="81"/>
            <rFont val="Tahoma"/>
            <family val="2"/>
          </rPr>
          <t xml:space="preserve">
</t>
        </r>
      </text>
    </comment>
    <comment ref="K10" authorId="1" shapeId="0" xr:uid="{00000000-0006-0000-0500-000002000000}">
      <text>
        <r>
          <rPr>
            <sz val="9"/>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u/>
            <sz val="9"/>
            <color indexed="81"/>
            <rFont val="Tahoma"/>
            <family val="2"/>
          </rPr>
          <t>do not</t>
        </r>
        <r>
          <rPr>
            <sz val="9"/>
            <color indexed="81"/>
            <rFont val="Tahoma"/>
            <family val="2"/>
          </rPr>
          <t xml:space="preserve"> categorize such securities in the "Unrated" column. Contact DOA for appropriate reporting.
</t>
        </r>
      </text>
    </comment>
    <comment ref="A11" authorId="1" shapeId="0" xr:uid="{00000000-0006-0000-0500-000003000000}">
      <text>
        <r>
          <rPr>
            <b/>
            <u/>
            <sz val="9"/>
            <color indexed="81"/>
            <rFont val="Tahoma"/>
            <family val="2"/>
          </rPr>
          <t>Note</t>
        </r>
        <r>
          <rPr>
            <sz val="9"/>
            <color indexed="81"/>
            <rFont val="Tahoma"/>
            <family val="2"/>
          </rPr>
          <t xml:space="preserve">:  This tab has been left unprotected and unlocked, so that rows may be added or information copied into it.  If rows are added, please ensure that the "Type" and "Investment" descriptions in columns A and B and the formulas at columns  P,  Q, Y, Z, AF, AG,  AH, and AI are copied into the new rows.
</t>
        </r>
      </text>
    </comment>
    <comment ref="AH11" authorId="1" shapeId="0" xr:uid="{00000000-0006-0000-0500-000004000000}">
      <text>
        <r>
          <rPr>
            <b/>
            <sz val="9"/>
            <color indexed="81"/>
            <rFont val="Tahoma"/>
            <family val="2"/>
          </rPr>
          <t>Accuracy check</t>
        </r>
        <r>
          <rPr>
            <sz val="9"/>
            <color indexed="81"/>
            <rFont val="Tahoma"/>
            <family val="2"/>
          </rPr>
          <t xml:space="preserve">: For the debt securities, total reported amount per column P, column Y, and column AF must agree. If it does not, an "Error" message will appear. Verify accuracy and make necessary corrections.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AEW</author>
    <author>Kevin L. Salminen</author>
  </authors>
  <commentList>
    <comment ref="D6" authorId="0" shapeId="0" xr:uid="{00000000-0006-0000-0600-000001000000}">
      <text>
        <r>
          <rPr>
            <sz val="9"/>
            <color indexed="81"/>
            <rFont val="Tahoma"/>
            <family val="2"/>
          </rPr>
          <t xml:space="preserve">If this submission is a revision to a previous submission for which DOA acknowledged receipt and acceptance, </t>
        </r>
        <r>
          <rPr>
            <b/>
            <sz val="9"/>
            <color indexed="81"/>
            <rFont val="Tahoma"/>
            <family val="2"/>
          </rPr>
          <t>COMPLETE THE REVISION CONTROL LOG TAB</t>
        </r>
        <r>
          <rPr>
            <sz val="9"/>
            <color indexed="81"/>
            <rFont val="Tahoma"/>
            <family val="2"/>
          </rPr>
          <t>.</t>
        </r>
        <r>
          <rPr>
            <sz val="10"/>
            <color indexed="81"/>
            <rFont val="Tahoma"/>
            <family val="2"/>
          </rPr>
          <t xml:space="preserve">
</t>
        </r>
      </text>
    </comment>
    <comment ref="BS64" authorId="1" shapeId="0" xr:uid="{00000000-0006-0000-0600-000002000000}">
      <text>
        <r>
          <rPr>
            <sz val="9"/>
            <color indexed="81"/>
            <rFont val="Tahoma"/>
            <family val="2"/>
          </rPr>
          <t>The total fair value of foreign currency should agree to the Step 7 amount that was reported on the "Tab 1A-GASB 3-40" tab.  If it does not, an "error" message will appear.</t>
        </r>
        <r>
          <rPr>
            <b/>
            <sz val="8"/>
            <color indexed="81"/>
            <rFont val="Tahoma"/>
            <family val="2"/>
          </rPr>
          <t xml:space="preserve">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AEW</author>
  </authors>
  <commentList>
    <comment ref="C6" authorId="0" shapeId="0" xr:uid="{00000000-0006-0000-07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t>
        </r>
        <r>
          <rPr>
            <sz val="10"/>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AEW</author>
    <author>Mary Christine Tuck</author>
    <author>Wai Levy</author>
    <author>dba</author>
  </authors>
  <commentList>
    <comment ref="B6" authorId="0" shapeId="0" xr:uid="{00000000-0006-0000-08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B29" authorId="1" shapeId="0" xr:uid="{00000000-0006-0000-0800-000002000000}">
      <text>
        <r>
          <rPr>
            <b/>
            <sz val="8"/>
            <color indexed="81"/>
            <rFont val="Tahoma"/>
            <family val="2"/>
          </rPr>
          <t xml:space="preserve">Total Receivables, Net </t>
        </r>
        <r>
          <rPr>
            <sz val="8"/>
            <color indexed="81"/>
            <rFont val="Tahoma"/>
            <family val="2"/>
          </rPr>
          <t>must agree to the current plus noncurrent Receivables, Net reported on the Statement of Net Position.  If not, an "error" message will appear.  Make corrections as deemed necessary.</t>
        </r>
      </text>
    </comment>
    <comment ref="D29" authorId="2" shapeId="0" xr:uid="{00000000-0006-0000-0800-000003000000}">
      <text>
        <r>
          <rPr>
            <b/>
            <sz val="8"/>
            <color indexed="81"/>
            <rFont val="Tahoma"/>
            <family val="2"/>
          </rPr>
          <t xml:space="preserve">Total Receivables To be collected after one year, Net </t>
        </r>
        <r>
          <rPr>
            <sz val="8"/>
            <color indexed="81"/>
            <rFont val="Tahoma"/>
            <family val="2"/>
          </rPr>
          <t xml:space="preserve">must agree to the noncurrent Receivables, Net reported on the Statement of Net Position. If not, an "error" message will appear. Make corrections as deemed necessary.
</t>
        </r>
      </text>
    </comment>
    <comment ref="E54" authorId="3" shapeId="0" xr:uid="{00000000-0006-0000-0800-000004000000}">
      <text>
        <r>
          <rPr>
            <b/>
            <sz val="8"/>
            <color indexed="81"/>
            <rFont val="Tahoma"/>
            <family val="2"/>
          </rPr>
          <t>Total Due from Other Funds</t>
        </r>
        <r>
          <rPr>
            <sz val="8"/>
            <color indexed="81"/>
            <rFont val="Tahoma"/>
            <family val="2"/>
          </rPr>
          <t xml:space="preserve"> must agree to the amount reported above.  If not, an "error" message will appear.  Make corrections as deemed necessary.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AEW</author>
    <author>K Winfield</author>
    <author>Mary Christine Tuck</author>
    <author>Matthew Wiggins</author>
    <author>dba</author>
  </authors>
  <commentList>
    <comment ref="D6" authorId="0" shapeId="0" xr:uid="{00000000-0006-0000-0900-000001000000}">
      <text>
        <r>
          <rPr>
            <sz val="9"/>
            <color indexed="81"/>
            <rFont val="Tahoma"/>
            <family val="2"/>
          </rPr>
          <t xml:space="preserve">If this submission is a revision to a previous submission for which DOA acknowledged receipt and acceptance, </t>
        </r>
        <r>
          <rPr>
            <b/>
            <sz val="9"/>
            <color indexed="81"/>
            <rFont val="Tahoma"/>
            <family val="2"/>
          </rPr>
          <t>COMPLETE THE REVISION CONTROL LOG TAB</t>
        </r>
        <r>
          <rPr>
            <sz val="9"/>
            <color indexed="81"/>
            <rFont val="Tahoma"/>
            <family val="2"/>
          </rPr>
          <t>.</t>
        </r>
        <r>
          <rPr>
            <sz val="10"/>
            <color indexed="81"/>
            <rFont val="Tahoma"/>
            <family val="2"/>
          </rPr>
          <t xml:space="preserve">
</t>
        </r>
      </text>
    </comment>
    <comment ref="A17" authorId="1" shapeId="0" xr:uid="{9705B1D2-F630-4133-82A7-5CEB40F8AA71}">
      <text>
        <r>
          <rPr>
            <sz val="9"/>
            <color indexed="81"/>
            <rFont val="Tahoma"/>
            <family val="2"/>
          </rPr>
          <t xml:space="preserve">SBITA payments before commencement should be recorded as CIP.
</t>
        </r>
      </text>
    </comment>
    <comment ref="M22" authorId="2" shapeId="0" xr:uid="{00000000-0006-0000-0900-000002000000}">
      <text>
        <r>
          <rPr>
            <b/>
            <sz val="8"/>
            <color indexed="81"/>
            <rFont val="Tahoma"/>
            <family val="2"/>
          </rPr>
          <t xml:space="preserve">Total Nondepreciable Capital Assets </t>
        </r>
        <r>
          <rPr>
            <sz val="8"/>
            <color indexed="81"/>
            <rFont val="Tahoma"/>
            <family val="2"/>
          </rPr>
          <t>must agree to the Total Nondepreciable Capital Assets reported on the Statement of Net Position.  If not, an "error" message will appear.  Make corrections as deemed necessary.</t>
        </r>
      </text>
    </comment>
    <comment ref="A36" authorId="3" shapeId="0" xr:uid="{00000000-0006-0000-0900-000003000000}">
      <text>
        <r>
          <rPr>
            <sz val="8"/>
            <color indexed="81"/>
            <rFont val="Tahoma"/>
            <family val="2"/>
          </rPr>
          <t xml:space="preserve">Assets obtained through Financed Purchase Obligations should </t>
        </r>
        <r>
          <rPr>
            <b/>
            <u/>
            <sz val="8"/>
            <color indexed="81"/>
            <rFont val="Tahoma"/>
            <family val="2"/>
          </rPr>
          <t>not</t>
        </r>
        <r>
          <rPr>
            <sz val="8"/>
            <color indexed="81"/>
            <rFont val="Tahoma"/>
            <family val="2"/>
          </rPr>
          <t xml:space="preserve"> be reported as Right-to-Use Intangible Assets.  These should be reported as Other Capital Assets above.</t>
        </r>
        <r>
          <rPr>
            <sz val="9"/>
            <color indexed="81"/>
            <rFont val="Tahoma"/>
            <family val="2"/>
          </rPr>
          <t xml:space="preserve">
</t>
        </r>
      </text>
    </comment>
    <comment ref="G58" authorId="4" shapeId="0" xr:uid="{00000000-0006-0000-0900-000004000000}">
      <text>
        <r>
          <rPr>
            <b/>
            <sz val="8"/>
            <color indexed="81"/>
            <rFont val="Tahoma"/>
            <family val="2"/>
          </rPr>
          <t xml:space="preserve">Total Increases to Accumulated Depreciation </t>
        </r>
        <r>
          <rPr>
            <sz val="8"/>
            <color indexed="81"/>
            <rFont val="Tahoma"/>
            <family val="2"/>
          </rPr>
          <t>must equal total depreciation expense reported on the Statement of Revenues, Expenses, and Changes in Net Position.  If not, an "error" message will appear.   Review amounts entered and make corrections as deemed necessary.</t>
        </r>
      </text>
    </comment>
    <comment ref="M73" authorId="2" shapeId="0" xr:uid="{00000000-0006-0000-0900-000006000000}">
      <text>
        <r>
          <rPr>
            <b/>
            <sz val="8"/>
            <color indexed="81"/>
            <rFont val="Tahoma"/>
            <family val="2"/>
          </rPr>
          <t xml:space="preserve">Total Other Capital Assets, Net </t>
        </r>
        <r>
          <rPr>
            <sz val="8"/>
            <color indexed="81"/>
            <rFont val="Tahoma"/>
            <family val="2"/>
          </rPr>
          <t>must agree to the Other Capital Assets, Net reported on the Statement of Net Position.  If not, an "error" message will appear.  Make corrections as deemed necessary.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AEW</author>
    <author>Jennifer Wykoff</author>
    <author>dba</author>
  </authors>
  <commentList>
    <comment ref="B6" authorId="0" shapeId="0" xr:uid="{00000000-0006-0000-0A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r>
          <rPr>
            <sz val="10"/>
            <color indexed="81"/>
            <rFont val="Tahoma"/>
            <family val="2"/>
          </rPr>
          <t xml:space="preserve">.
</t>
        </r>
      </text>
    </comment>
    <comment ref="C16" authorId="1" shapeId="0" xr:uid="{00000000-0006-0000-0A00-000002000000}">
      <text>
        <r>
          <rPr>
            <sz val="9"/>
            <color indexed="81"/>
            <rFont val="Tahoma"/>
            <family val="2"/>
          </rPr>
          <t>List the fund that will be paid. If unknown, then leave blank.</t>
        </r>
      </text>
    </comment>
    <comment ref="F43" authorId="2" shapeId="0" xr:uid="{00000000-0006-0000-0A00-000003000000}">
      <text>
        <r>
          <rPr>
            <b/>
            <sz val="8"/>
            <color indexed="81"/>
            <rFont val="Tahoma"/>
            <family val="2"/>
          </rPr>
          <t>Total Due to Other State Agencies</t>
        </r>
        <r>
          <rPr>
            <sz val="8"/>
            <color indexed="81"/>
            <rFont val="Tahoma"/>
            <family val="2"/>
          </rPr>
          <t xml:space="preserve"> must agree to the amount reported on the "Due to Other State Agencies" line item on the template.  If not, an "error" message will appear.  Make corrections as deemed necessary.
</t>
        </r>
      </text>
    </comment>
    <comment ref="D61" authorId="2" shapeId="0" xr:uid="{00000000-0006-0000-0A00-000004000000}">
      <text>
        <r>
          <rPr>
            <b/>
            <sz val="8"/>
            <color indexed="81"/>
            <rFont val="Tahoma"/>
            <family val="2"/>
          </rPr>
          <t>Total Due to Other Funds - Current</t>
        </r>
        <r>
          <rPr>
            <sz val="8"/>
            <color indexed="81"/>
            <rFont val="Tahoma"/>
            <family val="2"/>
          </rPr>
          <t xml:space="preserve"> must agree to the amount reported on the "Due to Other Funds - Current" line item on the template.  If not, an "error" message will appear.  Make corrections as deemed necessary.
</t>
        </r>
      </text>
    </comment>
    <comment ref="D76" authorId="2" shapeId="0" xr:uid="{00000000-0006-0000-0A00-000005000000}">
      <text>
        <r>
          <rPr>
            <b/>
            <sz val="8"/>
            <color indexed="81"/>
            <rFont val="Tahoma"/>
            <family val="2"/>
          </rPr>
          <t>Total Due to Other Funds - Noncurrent</t>
        </r>
        <r>
          <rPr>
            <sz val="8"/>
            <color indexed="81"/>
            <rFont val="Tahoma"/>
            <family val="2"/>
          </rPr>
          <t xml:space="preserve"> must agree to the amount reported on the "Due to Other Funds - Noncurrent" line item on the template.  If not, an "error" message will appear.  Make corrections as deemed necessary.
</t>
        </r>
      </text>
    </comment>
    <comment ref="D90" authorId="2" shapeId="0" xr:uid="{00000000-0006-0000-0A00-000006000000}">
      <text>
        <r>
          <rPr>
            <b/>
            <sz val="8"/>
            <color indexed="81"/>
            <rFont val="Tahoma"/>
            <family val="2"/>
          </rPr>
          <t xml:space="preserve">Total Due to External Parties (Fiduciary Funds) </t>
        </r>
        <r>
          <rPr>
            <sz val="8"/>
            <color indexed="81"/>
            <rFont val="Tahoma"/>
            <family val="2"/>
          </rPr>
          <t xml:space="preserve">must agree to the amount reported on the "Due to External Parties (Fiduciary Funds)" line item on the template.  If not, an "error" message will appear.  Make corrections as deemed necessary.
</t>
        </r>
      </text>
    </comment>
  </commentList>
</comments>
</file>

<file path=xl/sharedStrings.xml><?xml version="1.0" encoding="utf-8"?>
<sst xmlns="http://schemas.openxmlformats.org/spreadsheetml/2006/main" count="5883" uniqueCount="3989">
  <si>
    <t>Part 2.1)</t>
  </si>
  <si>
    <t>Nonnegotiable Certificates of Deposit (not held with the Treasurer of VA)</t>
  </si>
  <si>
    <t>Part 2.2)</t>
  </si>
  <si>
    <t>Cash Flows from Operating Activities:</t>
  </si>
  <si>
    <t>Receipts for Sales and Services</t>
  </si>
  <si>
    <t>Internal Activity-Receipts from Other Funds</t>
  </si>
  <si>
    <t>Internal Activity-Payments to Other Funds</t>
  </si>
  <si>
    <t>Payments to Suppliers for Goods and Services</t>
  </si>
  <si>
    <t>Total Cash and Cash Equivalents Balance-Ending</t>
  </si>
  <si>
    <t>Cash Equivalents with the Treasurer (Securities Lending from Treasury)</t>
  </si>
  <si>
    <t>Ending Cash and Cash Equivalents Balance per Prior Year's Financial Statements</t>
  </si>
  <si>
    <t>Statement of Cash Flows- Part 2</t>
  </si>
  <si>
    <t>Statement of Cash Flows-Part 1</t>
  </si>
  <si>
    <r>
      <t>Reporting</t>
    </r>
    <r>
      <rPr>
        <sz val="11"/>
        <rFont val="Times New Roman"/>
        <family val="1"/>
      </rPr>
      <t xml:space="preserve">:  Were intangible assets properly reported on the financial statement template in accordance with </t>
    </r>
    <r>
      <rPr>
        <b/>
        <u/>
        <sz val="11"/>
        <rFont val="Times New Roman"/>
        <family val="1"/>
      </rPr>
      <t>GASBS No. 51</t>
    </r>
    <r>
      <rPr>
        <sz val="11"/>
        <rFont val="Times New Roman"/>
        <family val="1"/>
      </rPr>
      <t xml:space="preserve">?  If </t>
    </r>
    <r>
      <rPr>
        <b/>
        <sz val="11"/>
        <rFont val="Times New Roman"/>
        <family val="1"/>
      </rPr>
      <t>no</t>
    </r>
    <r>
      <rPr>
        <sz val="11"/>
        <rFont val="Times New Roman"/>
        <family val="1"/>
      </rPr>
      <t>, explain.</t>
    </r>
  </si>
  <si>
    <t>Due to External Parties (Fiduciary Funds)</t>
  </si>
  <si>
    <t>Increase (Decrease) in Due to External Parties (Fiduciary Funds)</t>
  </si>
  <si>
    <t>Tab 3</t>
  </si>
  <si>
    <r>
      <t>Allowance for Doubtful Accounts</t>
    </r>
    <r>
      <rPr>
        <sz val="10"/>
        <rFont val="Times New Roman"/>
        <family val="1"/>
      </rPr>
      <t xml:space="preserve"> 
(Enter as a negative):</t>
    </r>
  </si>
  <si>
    <t xml:space="preserve">  Bonds Payable</t>
  </si>
  <si>
    <t xml:space="preserve">       </t>
  </si>
  <si>
    <t>#</t>
  </si>
  <si>
    <t xml:space="preserve">Reported as </t>
  </si>
  <si>
    <t>Yes / No / N/A*</t>
  </si>
  <si>
    <t>1a)</t>
  </si>
  <si>
    <t>Proceeds from Sale of Bonds and Notes</t>
  </si>
  <si>
    <t>Proceeds from Sale of Capital  Assets</t>
  </si>
  <si>
    <t>Total Other Capital and Related Financing Receipt Activities</t>
  </si>
  <si>
    <t>Total Other Capital and Related Financing Disbursement Activities</t>
  </si>
  <si>
    <t>Net Cash Provided by (Used for) Capital and Related Financing Activities</t>
  </si>
  <si>
    <t>Cash Flows from Investing Activities:</t>
  </si>
  <si>
    <t>Purchase of Investments</t>
  </si>
  <si>
    <t>Proceeds from Sales or Maturities of Investments</t>
  </si>
  <si>
    <t>Investment Income on Cash, Cash Equivalents, and Investments</t>
  </si>
  <si>
    <t>Net Cash Provided by (Used for) Investing Activities</t>
  </si>
  <si>
    <t>Net Increase (Decrease) in Cash and Cash Equivalents</t>
  </si>
  <si>
    <t xml:space="preserve">Reconciliation of Operating Income (Loss) to Net </t>
  </si>
  <si>
    <t>Cash Provided (Used) by Operating Activities:</t>
  </si>
  <si>
    <t>Adjustments to Reconcile Operating Income to</t>
  </si>
  <si>
    <t xml:space="preserve">            ii)   Collateralized with securities held by the pledging financial institution</t>
  </si>
  <si>
    <r>
      <t>GASBS No. 38</t>
    </r>
    <r>
      <rPr>
        <sz val="11"/>
        <rFont val="Times New Roman"/>
        <family val="1"/>
      </rPr>
      <t xml:space="preserve">, </t>
    </r>
    <r>
      <rPr>
        <i/>
        <sz val="11"/>
        <rFont val="Times New Roman"/>
        <family val="1"/>
      </rPr>
      <t>Certain Financial Statement Note Disclosures,</t>
    </r>
    <r>
      <rPr>
        <sz val="11"/>
        <rFont val="Times New Roman"/>
        <family val="1"/>
      </rPr>
      <t xml:space="preserve"> requires disclosure of any significant violations of finance-related legal or contractual provisions.  Does your internal service fund have any significant violations of the finance-related legal or contractual provisions that need to be disclosed?</t>
    </r>
  </si>
  <si>
    <t>Explanation of material variances:</t>
  </si>
  <si>
    <t>Part 2 c): Reconcile Total Future Payments to MELP Listing</t>
  </si>
  <si>
    <r>
      <t>Part 2 a):</t>
    </r>
    <r>
      <rPr>
        <sz val="10"/>
        <rFont val="Times New Roman"/>
        <family val="1"/>
      </rPr>
      <t xml:space="preserve">  Does the fund have any activity related to the Energy Leasing Program?  (See Attachment 11 Instructions).</t>
    </r>
  </si>
  <si>
    <r>
      <t>Part 2 b)</t>
    </r>
    <r>
      <rPr>
        <sz val="10"/>
        <rFont val="Times New Roman"/>
        <family val="1"/>
      </rPr>
      <t xml:space="preserve">:  Is the Installment Purchase Obligation related to the Energy Leasing Program included above? </t>
    </r>
  </si>
  <si>
    <t>Check Figure</t>
  </si>
  <si>
    <t>SNAP not with the Treasurer</t>
  </si>
  <si>
    <t>Unamortized Bond Issuance Expense</t>
  </si>
  <si>
    <t>Total Current Assets</t>
  </si>
  <si>
    <t>Total Noncurrent Assets</t>
  </si>
  <si>
    <t>TOTAL ASSETS</t>
  </si>
  <si>
    <t>LIABILITIES</t>
  </si>
  <si>
    <t>Increase (Decrease) in Compensated Absences</t>
  </si>
  <si>
    <t>Increase (Decrease) in Other Liabilities</t>
  </si>
  <si>
    <t>Increase (Decrease) in Deposits Pending Distribution</t>
  </si>
  <si>
    <t xml:space="preserve">  Noncurrent:</t>
  </si>
  <si>
    <t>Total Due to Other Funds - Noncurrent</t>
  </si>
  <si>
    <r>
      <t xml:space="preserve">                  If </t>
    </r>
    <r>
      <rPr>
        <b/>
        <sz val="10"/>
        <rFont val="Times New Roman"/>
        <family val="1"/>
      </rPr>
      <t>no</t>
    </r>
    <r>
      <rPr>
        <sz val="10"/>
        <rFont val="Times New Roman"/>
        <family val="1"/>
      </rPr>
      <t xml:space="preserve">, provide explanation below. If </t>
    </r>
    <r>
      <rPr>
        <b/>
        <sz val="10"/>
        <rFont val="Times New Roman"/>
        <family val="1"/>
      </rPr>
      <t>yes</t>
    </r>
    <r>
      <rPr>
        <sz val="10"/>
        <rFont val="Times New Roman"/>
        <family val="1"/>
      </rPr>
      <t>, leave the yellow space blank.</t>
    </r>
  </si>
  <si>
    <t>Interest Expense (Nonoperating)</t>
  </si>
  <si>
    <t>Cost-based measure - provided that the fair value is not significantly affected by the impairment of the credit standing of the issuer or other factors</t>
  </si>
  <si>
    <t>1b)</t>
  </si>
  <si>
    <t>Amortized Cost - provided that the fair value is not significantly affected by the impairment of the credit standing of the issuer or by other factors</t>
  </si>
  <si>
    <t>prepayments received as of June 30 is linked to Part 2 which requires reporting prepayments by agency.</t>
  </si>
  <si>
    <t>Part 1 - Total Unearned Revenue</t>
  </si>
  <si>
    <t>Explanation</t>
  </si>
  <si>
    <t>Pre-payments Received as of June 30</t>
  </si>
  <si>
    <t>Part 2 - Unearned Revenue - Prepayments by Agency</t>
  </si>
  <si>
    <r>
      <t>*Per</t>
    </r>
    <r>
      <rPr>
        <b/>
        <sz val="11"/>
        <rFont val="Times New Roman"/>
        <family val="1"/>
      </rPr>
      <t xml:space="preserve"> </t>
    </r>
    <r>
      <rPr>
        <b/>
        <u/>
        <sz val="11"/>
        <rFont val="Times New Roman"/>
        <family val="1"/>
      </rPr>
      <t>GASBS No. 49</t>
    </r>
    <r>
      <rPr>
        <sz val="11"/>
        <rFont val="Times New Roman"/>
        <family val="1"/>
      </rPr>
      <t xml:space="preserve">, paragraph 11, an obligating event is when any of the following events occurs (refer to </t>
    </r>
    <r>
      <rPr>
        <b/>
        <u/>
        <sz val="11"/>
        <rFont val="Times New Roman"/>
        <family val="1"/>
      </rPr>
      <t>GASBS No. 49</t>
    </r>
    <r>
      <rPr>
        <sz val="11"/>
        <rFont val="Times New Roman"/>
        <family val="1"/>
      </rPr>
      <t xml:space="preserve"> for guidance):  </t>
    </r>
  </si>
  <si>
    <t>Cash and Cash Equivalents per Statement of Cash Flows</t>
  </si>
  <si>
    <t>Noncash Investing, Capital, and Financing Activities:</t>
  </si>
  <si>
    <t>10-75</t>
  </si>
  <si>
    <t>2-50</t>
  </si>
  <si>
    <t>Per Statement of Cash Flow (Linked)</t>
  </si>
  <si>
    <t>Difference</t>
  </si>
  <si>
    <t>Explanation for Difference</t>
  </si>
  <si>
    <t>Tab 13-Cash Flow Analysis</t>
  </si>
  <si>
    <t>Tab 1B-CE &amp; Inv. Not w Treas</t>
  </si>
  <si>
    <t>Tab 4-Due to</t>
  </si>
  <si>
    <t>Tab 9-Unearned Revenue</t>
  </si>
  <si>
    <t>Tab 9:  Unearned Revenue</t>
  </si>
  <si>
    <t>Tab 4:  Due to</t>
  </si>
  <si>
    <t>Short-term Investments - Total</t>
  </si>
  <si>
    <t>Long-term Liabilities Due Within One Year - Total</t>
  </si>
  <si>
    <t>Other Long-term Liabilities</t>
  </si>
  <si>
    <t>Long-term Liabilities Due in More Than One Year - Total</t>
  </si>
  <si>
    <t>Increase (Decrease) in Other Long-term Liabilities</t>
  </si>
  <si>
    <t>Tab 5:  Long-term Liabilities</t>
  </si>
  <si>
    <t xml:space="preserve">  Other Long-term Liabilities, list below:</t>
  </si>
  <si>
    <t>Increase (Decrease) in Pension Liability (DOA will complete)</t>
  </si>
  <si>
    <t>Cash Equivalents with the Treasurer - Other</t>
  </si>
  <si>
    <t xml:space="preserve">     Other Liabilities - Due in Greater Than One Year</t>
  </si>
  <si>
    <t xml:space="preserve">     Long-term Liabilities - Due in Greater Than One Year</t>
  </si>
  <si>
    <t>Interest Receivable</t>
  </si>
  <si>
    <t>VA Information Technology Agency</t>
  </si>
  <si>
    <t>Fund Name:</t>
  </si>
  <si>
    <t>Provide an explanation if the reported amount is negative</t>
  </si>
  <si>
    <t>Cash not held by the Treasurer of Virginia:</t>
  </si>
  <si>
    <t>Health Insurance Fund Total</t>
  </si>
  <si>
    <t>Balance</t>
  </si>
  <si>
    <t>Increases</t>
  </si>
  <si>
    <t>Decreases</t>
  </si>
  <si>
    <t>Nondepreciable Capital Assets:</t>
  </si>
  <si>
    <t>Land</t>
  </si>
  <si>
    <t>$</t>
  </si>
  <si>
    <t>Construction in Progress</t>
  </si>
  <si>
    <t xml:space="preserve">    Total Nondepreciable Capital Assets</t>
  </si>
  <si>
    <t>Depreciable Capital Assets:</t>
  </si>
  <si>
    <t>Buildings</t>
  </si>
  <si>
    <t>Equipment</t>
  </si>
  <si>
    <t>Infrastructure</t>
  </si>
  <si>
    <t xml:space="preserve">   Total Capital Assets being Depreciated</t>
  </si>
  <si>
    <t>Less Accumulated Depreciation for:</t>
  </si>
  <si>
    <t xml:space="preserve">    Buildings</t>
  </si>
  <si>
    <t xml:space="preserve">    Equipment</t>
  </si>
  <si>
    <t xml:space="preserve">    Infrastructure</t>
  </si>
  <si>
    <t xml:space="preserve">       Total Accumulated Depreciation</t>
  </si>
  <si>
    <t xml:space="preserve">   </t>
  </si>
  <si>
    <t>Real Estate Services</t>
  </si>
  <si>
    <t>Maintenance and Repair</t>
  </si>
  <si>
    <t>Virginia Distribution Center</t>
  </si>
  <si>
    <t>Consolidated Laboratory</t>
  </si>
  <si>
    <t>Federal Surplus Property</t>
  </si>
  <si>
    <t xml:space="preserve">List the fair value of those investments reported as cash equivalents and investments NOT with the Treasurer of </t>
  </si>
  <si>
    <t xml:space="preserve">Virginia that are subject to foreign exchange risk.  This amount must agree to the total amount in tab entitled </t>
  </si>
  <si>
    <t>Mutual and Money Market Funds (Include SNAP)</t>
  </si>
  <si>
    <t>Mutual and Money Market Funds</t>
  </si>
  <si>
    <t>Guaranteed Investment Contracts</t>
  </si>
  <si>
    <t>Fixed Income and Commingled Funds</t>
  </si>
  <si>
    <t>Deposits with the U.S. Treasury for Unemployment Compensation</t>
  </si>
  <si>
    <t>Common and Preferred Stocks</t>
  </si>
  <si>
    <t>Foreign Currencies</t>
  </si>
  <si>
    <t>Equity Index and Pooled Funds</t>
  </si>
  <si>
    <t>Real Estate</t>
  </si>
  <si>
    <t>Deposits</t>
  </si>
  <si>
    <t>FIGURES</t>
  </si>
  <si>
    <t>Total Future Principal Payments</t>
  </si>
  <si>
    <t>Agency Total Shown on MELP listing</t>
  </si>
  <si>
    <t>Variance</t>
  </si>
  <si>
    <t>Historical Treasures</t>
  </si>
  <si>
    <t>Livestock</t>
  </si>
  <si>
    <t>Intangible Assets with Indefinite Useful Life (GASBS 51)</t>
  </si>
  <si>
    <t>Improvements Other Than Buildings</t>
  </si>
  <si>
    <t>Depreciable Works of Art/Historical Treasures</t>
  </si>
  <si>
    <r>
      <t>Intangible Assets (</t>
    </r>
    <r>
      <rPr>
        <b/>
        <u/>
        <sz val="8"/>
        <rFont val="Times New Roman"/>
        <family val="1"/>
      </rPr>
      <t>GASBS 51</t>
    </r>
    <r>
      <rPr>
        <sz val="8"/>
        <rFont val="Times New Roman"/>
        <family val="1"/>
      </rPr>
      <t>)</t>
    </r>
  </si>
  <si>
    <t>Computer Software</t>
  </si>
  <si>
    <t>Provide useful life range</t>
  </si>
  <si>
    <t>Secretary of Administration</t>
  </si>
  <si>
    <t>CHECK FIGURE</t>
  </si>
  <si>
    <t xml:space="preserve">CHECK  </t>
  </si>
  <si>
    <t xml:space="preserve">CHECK FIGURES </t>
  </si>
  <si>
    <t xml:space="preserve">and investments of state and local governments.”  With this in mind, please provide a description of any other type of risk to cash, cash equivalents, </t>
  </si>
  <si>
    <t>Part 1 b):  Comparison of Beginning Balances to Prior Year's Ending Balances</t>
  </si>
  <si>
    <t>Prior Year's Ending Balance (linked)</t>
  </si>
  <si>
    <t>Differences (provide explanations)</t>
  </si>
  <si>
    <t>Part 11)</t>
  </si>
  <si>
    <t>Patents / Trademarks / Copyrights</t>
  </si>
  <si>
    <t>Water Rights and/or Easements</t>
  </si>
  <si>
    <t>Other Intangibles - provide description</t>
  </si>
  <si>
    <t>Other Intangibles</t>
  </si>
  <si>
    <t>For differences above, please provide explanations for the restatements.</t>
  </si>
  <si>
    <t>Part 1 a):  Schedule of Changes in Long-term Liabilities:</t>
  </si>
  <si>
    <t>Long-term debt line item possibly related to capital assets</t>
  </si>
  <si>
    <t>Per F/S Template (Linked)</t>
  </si>
  <si>
    <t>Per This Tab 
(Linked)</t>
  </si>
  <si>
    <t>Explanation of the Difference</t>
  </si>
  <si>
    <t xml:space="preserve">  Other Long-term Liabilities</t>
  </si>
  <si>
    <t>Prepared by:</t>
  </si>
  <si>
    <t>Date:</t>
  </si>
  <si>
    <t>Name</t>
  </si>
  <si>
    <t>Title</t>
  </si>
  <si>
    <t>Reviewed by:</t>
  </si>
  <si>
    <t>CHECK FIGURES</t>
  </si>
  <si>
    <t>Are there any contingent liabilities that should be disclosed?</t>
  </si>
  <si>
    <t>Other Disclosures:  Contingent Liabilities</t>
  </si>
  <si>
    <t>Other Disclosures:  Subsequent Events</t>
  </si>
  <si>
    <t>Principal</t>
  </si>
  <si>
    <t>Maturity Fiscal Year Ended June 30:</t>
  </si>
  <si>
    <t>Interest</t>
  </si>
  <si>
    <t>Agency Fund Name:</t>
  </si>
  <si>
    <r>
      <t xml:space="preserve">If </t>
    </r>
    <r>
      <rPr>
        <b/>
        <sz val="8"/>
        <rFont val="Times New Roman"/>
        <family val="1"/>
      </rPr>
      <t>no</t>
    </r>
    <r>
      <rPr>
        <sz val="8"/>
        <rFont val="Times New Roman"/>
        <family val="1"/>
      </rPr>
      <t xml:space="preserve">, provide explanation and then go to Part 3.2.  </t>
    </r>
  </si>
  <si>
    <r>
      <t xml:space="preserve">If </t>
    </r>
    <r>
      <rPr>
        <b/>
        <sz val="8"/>
        <rFont val="Times New Roman"/>
        <family val="1"/>
      </rPr>
      <t>yes</t>
    </r>
    <r>
      <rPr>
        <sz val="8"/>
        <rFont val="Times New Roman"/>
        <family val="1"/>
      </rPr>
      <t>, provide the carrying amount of capital assets that are idle at year-end.</t>
    </r>
  </si>
  <si>
    <t>Contractual Services</t>
  </si>
  <si>
    <t>Supplies and Materials</t>
  </si>
  <si>
    <t>Depreciation</t>
  </si>
  <si>
    <t>Amortization</t>
  </si>
  <si>
    <t>Rent, Insurance, and Other Related Charges</t>
  </si>
  <si>
    <t>Total Operating Expenses</t>
  </si>
  <si>
    <t>Operating Income (Loss)</t>
  </si>
  <si>
    <t>Nonoperating Revenues (Expenses):</t>
  </si>
  <si>
    <t>Interest, Dividends, Rents, and Other Investment Income</t>
  </si>
  <si>
    <t xml:space="preserve">   Total Depreciable Capital Assets, Net</t>
  </si>
  <si>
    <t xml:space="preserve">   Total Capital Assets, Net</t>
  </si>
  <si>
    <t xml:space="preserve">      Total Receivables, Gross</t>
  </si>
  <si>
    <t>Gross Amounts:</t>
  </si>
  <si>
    <t>Advances / Contributions from the Commonwealth</t>
  </si>
  <si>
    <t>Other (provide description):</t>
  </si>
  <si>
    <t>Financial Statement Template Revisions</t>
  </si>
  <si>
    <t>Part 1)  Schedule of Changes in Capital Assets</t>
  </si>
  <si>
    <t>Part 1a)  Comparison of Beginning Balances to Prior Year's Ending Balances</t>
  </si>
  <si>
    <t xml:space="preserve">Prior </t>
  </si>
  <si>
    <t>Year's Ending</t>
  </si>
  <si>
    <t>Differences</t>
  </si>
  <si>
    <t>(linked)</t>
  </si>
  <si>
    <t>(provide explanations below)</t>
  </si>
  <si>
    <t>For differences, provide explanation for the restatement.</t>
  </si>
  <si>
    <t>Part 2) Capital Asset Capitalization Policy</t>
  </si>
  <si>
    <t>Increase (Decrease) in Due to Other State Agencies</t>
  </si>
  <si>
    <t>(Increase) Decrease in Other Assets</t>
  </si>
  <si>
    <t>Due to Other State Agencies</t>
  </si>
  <si>
    <t>Other Operating Expense - Description:</t>
  </si>
  <si>
    <t>Gain (Loss) on Sale/Disposal/Impairment of Capital Asset</t>
  </si>
  <si>
    <t>VA Correctional Enterprises</t>
  </si>
  <si>
    <t>Payroll Service Bureau Total</t>
  </si>
  <si>
    <t>Health Insurance Fund</t>
  </si>
  <si>
    <t>DGS - Fleet Management</t>
  </si>
  <si>
    <t>Treasury - Risk Management</t>
  </si>
  <si>
    <t>DHRM - Risk Management</t>
  </si>
  <si>
    <t>Template</t>
  </si>
  <si>
    <t>Fleet Management Total</t>
  </si>
  <si>
    <t>DHRM - Risk Management Total</t>
  </si>
  <si>
    <t>Other Operating Revenue - Description:</t>
  </si>
  <si>
    <t>Cash and Cash Equivalents - Total</t>
  </si>
  <si>
    <t>Receivables, Net - Total</t>
  </si>
  <si>
    <t>Investments - Total</t>
  </si>
  <si>
    <t>Other Assets - Total</t>
  </si>
  <si>
    <t xml:space="preserve"> Total Noncurrent Liabilities</t>
  </si>
  <si>
    <t>Other Assets Total</t>
  </si>
  <si>
    <t>Invested in Capital Assets, Net of Related Debt</t>
  </si>
  <si>
    <t>Prizes and Claims Expense - Total</t>
  </si>
  <si>
    <t>Depreciation and Amortization - Total</t>
  </si>
  <si>
    <t>Other Operating Expenses - Total</t>
  </si>
  <si>
    <t>Interest, Dividends, Rents, and Other Investment Income - Total</t>
  </si>
  <si>
    <t>Other Nonoperating Revenues (Expenses) - Total</t>
  </si>
  <si>
    <t>Retirements and Other Decreases (negative $)</t>
  </si>
  <si>
    <t xml:space="preserve">    Total</t>
  </si>
  <si>
    <t>(positive $)</t>
  </si>
  <si>
    <t>(negative $)</t>
  </si>
  <si>
    <t>Part 2:  Installment Purchase Obligations:</t>
  </si>
  <si>
    <t>%</t>
  </si>
  <si>
    <t>Notes</t>
  </si>
  <si>
    <t>State Surplus Property</t>
  </si>
  <si>
    <t>Graphic Communications</t>
  </si>
  <si>
    <t>Engineering Services</t>
  </si>
  <si>
    <t>Revised Information</t>
  </si>
  <si>
    <t>Non-recurring Cost Estimate Payments to Providers (Wireless E-911)</t>
  </si>
  <si>
    <t>Total Due to Other Funds - Current</t>
  </si>
  <si>
    <t>TAB 10</t>
  </si>
  <si>
    <t>3) The agency is named, or evidence indicates that it will be named, by a regulator as a responsible party or potentially responsible party for remediation, or as an agency responsible for sharing costs.</t>
  </si>
  <si>
    <t xml:space="preserve"> </t>
  </si>
  <si>
    <t>Payment of Principal and Interest on Bonds and Notes</t>
  </si>
  <si>
    <t>Transfers In From Other Funds</t>
  </si>
  <si>
    <t>Transfers Out to Other Funds</t>
  </si>
  <si>
    <t>Other Noncapital Financing Receipt Activities</t>
  </si>
  <si>
    <t>10e</t>
  </si>
  <si>
    <t>10f</t>
  </si>
  <si>
    <t>10g</t>
  </si>
  <si>
    <t>10h</t>
  </si>
  <si>
    <t xml:space="preserve">5) The agency commences, or legally obligates itself to commence, cleanup activities or monitoring or operation and maintenance of the remediation effort.  If these activities are voluntarily commenced and none of the other obligating events have occurred relative to the entire site, the amount recognized should be based on the portion of the remediation project that your agency has initiated and is legally required to complete. </t>
  </si>
  <si>
    <t>Nonoperating Revenue - Insurance Recoveries</t>
  </si>
  <si>
    <t>Other Payables</t>
  </si>
  <si>
    <t>Are the following statements correct?</t>
  </si>
  <si>
    <t>Yes</t>
  </si>
  <si>
    <t>No</t>
  </si>
  <si>
    <t>N/A</t>
  </si>
  <si>
    <t>FIFO</t>
  </si>
  <si>
    <t>LIFO</t>
  </si>
  <si>
    <t>Weighted Average</t>
  </si>
  <si>
    <t>Tab 2-Receivables</t>
  </si>
  <si>
    <t>Tab 3-Capital Assets</t>
  </si>
  <si>
    <t>Tab 5-LT Liabilities</t>
  </si>
  <si>
    <t>Tab 6-Commitments</t>
  </si>
  <si>
    <t>Tab 7-Miscellaneous</t>
  </si>
  <si>
    <t>Tab 8-Restatements</t>
  </si>
  <si>
    <t>Cash Equivalents with the Treasurer (Securities Lending from DOA)</t>
  </si>
  <si>
    <t>Investments with the Treasurer  (Securities Lending from DOA)</t>
  </si>
  <si>
    <t>Other Postemployment Benefits (OPEB) liability (to be completed by Department of Accounts)</t>
  </si>
  <si>
    <t>Increase (Decrease) in Other Postemployment Benefits (OPEB) liability (DOA will complete)</t>
  </si>
  <si>
    <t>Trade-ins of Used Capital Asset on New Capital Asset</t>
  </si>
  <si>
    <t>Installment Purchase Obligations</t>
  </si>
  <si>
    <t>Bonds Payable</t>
  </si>
  <si>
    <t>Total Current Liabilities</t>
  </si>
  <si>
    <t>TOTAL LIABILITIES</t>
  </si>
  <si>
    <t>Unrestricted</t>
  </si>
  <si>
    <t>Operating Revenues:</t>
  </si>
  <si>
    <t>Charges for Sales and Services</t>
  </si>
  <si>
    <t>Interest, Dividends, Rents and Other Investment Income</t>
  </si>
  <si>
    <t>Contributions</t>
  </si>
  <si>
    <t>Other</t>
  </si>
  <si>
    <t>Other Revenues</t>
  </si>
  <si>
    <t>Total Operating Revenues</t>
  </si>
  <si>
    <t>Operating Expenses:</t>
  </si>
  <si>
    <t>Interest Expense</t>
  </si>
  <si>
    <t>TAB 11</t>
  </si>
  <si>
    <t>Tab 11:  Transfers in / out</t>
  </si>
  <si>
    <t>Total Due to Other State Agencies</t>
  </si>
  <si>
    <t>Total Transfers In</t>
  </si>
  <si>
    <t>Total Transfers Out</t>
  </si>
  <si>
    <t xml:space="preserve">  Current:</t>
  </si>
  <si>
    <t>Total Receivables
as shown on the 
F/S Template</t>
  </si>
  <si>
    <t>Description</t>
  </si>
  <si>
    <t>Risk Management</t>
  </si>
  <si>
    <t>Due to Other Funds - Total</t>
  </si>
  <si>
    <t>Energy Performance Contracts</t>
  </si>
  <si>
    <t xml:space="preserve">Please provide an explanation for unearned revenue in Part 1.  The total of unearned revenue related to </t>
  </si>
  <si>
    <t>Computer Software (including websites)</t>
  </si>
  <si>
    <t>Impairment Loss $ (before netting with insurance recovery)</t>
  </si>
  <si>
    <t>Is the method and cost used to determine value consistent with that used in the previous fiscal year?</t>
  </si>
  <si>
    <t>Mutual and Money-Market Funds</t>
  </si>
  <si>
    <r>
      <t xml:space="preserve">If </t>
    </r>
    <r>
      <rPr>
        <b/>
        <sz val="8"/>
        <rFont val="Times New Roman"/>
        <family val="1"/>
      </rPr>
      <t>yes</t>
    </r>
    <r>
      <rPr>
        <sz val="8"/>
        <rFont val="Times New Roman"/>
        <family val="1"/>
      </rPr>
      <t xml:space="preserve">, provide a description of the event or change in circumstances, month / year it took place, the possible impaired capital assets, and then go to B. 
If </t>
    </r>
    <r>
      <rPr>
        <b/>
        <sz val="8"/>
        <rFont val="Times New Roman"/>
        <family val="1"/>
      </rPr>
      <t>no</t>
    </r>
    <r>
      <rPr>
        <sz val="8"/>
        <rFont val="Times New Roman"/>
        <family val="1"/>
      </rPr>
      <t>, proceed to next financial statement footnote tab.</t>
    </r>
  </si>
  <si>
    <r>
      <t xml:space="preserve">B) </t>
    </r>
    <r>
      <rPr>
        <b/>
        <sz val="8"/>
        <rFont val="Times New Roman"/>
        <family val="1"/>
      </rPr>
      <t>Impairment Test</t>
    </r>
    <r>
      <rPr>
        <sz val="8"/>
        <rFont val="Times New Roman"/>
        <family val="1"/>
      </rPr>
      <t xml:space="preserve">:  If </t>
    </r>
    <r>
      <rPr>
        <b/>
        <sz val="8"/>
        <rFont val="Times New Roman"/>
        <family val="1"/>
      </rPr>
      <t>yes</t>
    </r>
    <r>
      <rPr>
        <sz val="8"/>
        <rFont val="Times New Roman"/>
        <family val="1"/>
      </rPr>
      <t xml:space="preserve"> to A, are the following two factors present:</t>
    </r>
  </si>
  <si>
    <r>
      <t xml:space="preserve">         If </t>
    </r>
    <r>
      <rPr>
        <b/>
        <sz val="8"/>
        <rFont val="Times New Roman"/>
        <family val="1"/>
      </rPr>
      <t>yes</t>
    </r>
    <r>
      <rPr>
        <sz val="8"/>
        <rFont val="Times New Roman"/>
        <family val="1"/>
      </rPr>
      <t xml:space="preserve">, go to C.  If </t>
    </r>
    <r>
      <rPr>
        <b/>
        <sz val="8"/>
        <rFont val="Times New Roman"/>
        <family val="1"/>
      </rPr>
      <t>no</t>
    </r>
    <r>
      <rPr>
        <sz val="8"/>
        <rFont val="Times New Roman"/>
        <family val="1"/>
      </rPr>
      <t>, proceed to next financial statement footnote tab.</t>
    </r>
  </si>
  <si>
    <r>
      <t xml:space="preserve">C) </t>
    </r>
    <r>
      <rPr>
        <b/>
        <sz val="8"/>
        <rFont val="Times New Roman"/>
        <family val="1"/>
      </rPr>
      <t>Permanent Impairment</t>
    </r>
    <r>
      <rPr>
        <sz val="8"/>
        <rFont val="Times New Roman"/>
        <family val="1"/>
      </rPr>
      <t xml:space="preserve">:  If </t>
    </r>
    <r>
      <rPr>
        <b/>
        <sz val="8"/>
        <rFont val="Times New Roman"/>
        <family val="1"/>
      </rPr>
      <t>yes</t>
    </r>
    <r>
      <rPr>
        <sz val="8"/>
        <rFont val="Times New Roman"/>
        <family val="1"/>
      </rPr>
      <t xml:space="preserve"> to A and B, is this considered a permanent impairment?</t>
    </r>
  </si>
  <si>
    <r>
      <t xml:space="preserve">        If </t>
    </r>
    <r>
      <rPr>
        <b/>
        <sz val="8"/>
        <rFont val="Times New Roman"/>
        <family val="1"/>
      </rPr>
      <t>yes</t>
    </r>
    <r>
      <rPr>
        <sz val="8"/>
        <rFont val="Times New Roman"/>
        <family val="1"/>
      </rPr>
      <t xml:space="preserve">, go to D.  If </t>
    </r>
    <r>
      <rPr>
        <b/>
        <sz val="8"/>
        <rFont val="Times New Roman"/>
        <family val="1"/>
      </rPr>
      <t>no</t>
    </r>
    <r>
      <rPr>
        <sz val="8"/>
        <rFont val="Times New Roman"/>
        <family val="1"/>
      </rPr>
      <t>, go to Part 3.2.</t>
    </r>
  </si>
  <si>
    <t>Tab 1D-GASB 31</t>
  </si>
  <si>
    <t>Long-term debt related to capital assets (enter negative numbers):</t>
  </si>
  <si>
    <t>Part 5)</t>
  </si>
  <si>
    <t>Part 6)</t>
  </si>
  <si>
    <t>Part 7)</t>
  </si>
  <si>
    <t>Part 8)</t>
  </si>
  <si>
    <t>Part 9)</t>
  </si>
  <si>
    <t>Part 10)</t>
  </si>
  <si>
    <t>Bank Balance Amount</t>
  </si>
  <si>
    <t>Accounts Payable - Total</t>
  </si>
  <si>
    <t>Due from Other State Agencies</t>
  </si>
  <si>
    <t>Due from Other Funds - Total</t>
  </si>
  <si>
    <t xml:space="preserve">Loans Receivable, Net </t>
  </si>
  <si>
    <t xml:space="preserve">Accounts Receivable, Net </t>
  </si>
  <si>
    <t>Securities Lending Cash Equivalents</t>
  </si>
  <si>
    <t>Less</t>
  </si>
  <si>
    <t xml:space="preserve">Czech Koruna </t>
  </si>
  <si>
    <t xml:space="preserve">Danish Krone </t>
  </si>
  <si>
    <t xml:space="preserve">Egyptian Pound </t>
  </si>
  <si>
    <t xml:space="preserve">Euro Currency Unit </t>
  </si>
  <si>
    <t xml:space="preserve">Hong Kong Dollar </t>
  </si>
  <si>
    <t xml:space="preserve">Hungarian Forint </t>
  </si>
  <si>
    <t xml:space="preserve">Indian Rupee </t>
  </si>
  <si>
    <t xml:space="preserve">Israeli Shekel </t>
  </si>
  <si>
    <t xml:space="preserve">Japanese Yen </t>
  </si>
  <si>
    <t xml:space="preserve">Malaysian Ringgit </t>
  </si>
  <si>
    <r>
      <t>Intangible Assets with Indefinite Useful Life (</t>
    </r>
    <r>
      <rPr>
        <b/>
        <u/>
        <sz val="8"/>
        <rFont val="Times New Roman"/>
        <family val="1"/>
      </rPr>
      <t>GASBS No. 51</t>
    </r>
    <r>
      <rPr>
        <sz val="8"/>
        <rFont val="Times New Roman"/>
        <family val="1"/>
      </rPr>
      <t>) -provide description:</t>
    </r>
  </si>
  <si>
    <r>
      <t>Intangible Assets (</t>
    </r>
    <r>
      <rPr>
        <b/>
        <u/>
        <sz val="8"/>
        <rFont val="Times New Roman"/>
        <family val="1"/>
      </rPr>
      <t>GASBS No. 51</t>
    </r>
    <r>
      <rPr>
        <sz val="8"/>
        <rFont val="Times New Roman"/>
        <family val="1"/>
      </rPr>
      <t>)</t>
    </r>
  </si>
  <si>
    <t>Increase (Decrease) in Lottery Prizes Payable</t>
  </si>
  <si>
    <t>Amount</t>
  </si>
  <si>
    <t>Total:</t>
  </si>
  <si>
    <t>Type of Investment</t>
  </si>
  <si>
    <t>Nonparticipating contracts</t>
  </si>
  <si>
    <t>Amortized Cost</t>
  </si>
  <si>
    <t xml:space="preserve">  Installment Purchase Obligations</t>
  </si>
  <si>
    <t>4)  Estimated net pollution remediation liability $ - recognized amount (2 less 3)</t>
  </si>
  <si>
    <t>10b</t>
  </si>
  <si>
    <t>10c</t>
  </si>
  <si>
    <t>10d</t>
  </si>
  <si>
    <t>Asset-Backed Securities</t>
  </si>
  <si>
    <t>Insurance Recoveries</t>
  </si>
  <si>
    <t>Current Liabilities (due within one year):</t>
  </si>
  <si>
    <t xml:space="preserve">Net Cash Provided (Used) by Operating Activities: </t>
  </si>
  <si>
    <t>Miscellaneous Nonoperating Income</t>
  </si>
  <si>
    <t>Other Expenses</t>
  </si>
  <si>
    <t>Change in Assets and Liabilities:</t>
  </si>
  <si>
    <t>(Increase) Decrease in Due From Other Funds</t>
  </si>
  <si>
    <t>Increase (Decrease) in Accounts Payable</t>
  </si>
  <si>
    <t>Agency 149 - Health Insurance Fund</t>
  </si>
  <si>
    <t>Agency 711 - VA Correctional Enterprises</t>
  </si>
  <si>
    <t>Agency 194 - Fleet Mgmt</t>
  </si>
  <si>
    <t>Agency 194 - Property Mgmt</t>
  </si>
  <si>
    <t>Agency 194 - General Services</t>
  </si>
  <si>
    <t>Expendable Equipment / Improvements</t>
  </si>
  <si>
    <t>Capital Asset Addition Included in Accounts Payable</t>
  </si>
  <si>
    <t>Increase (Decrease) in Due to Other Funds</t>
  </si>
  <si>
    <t>Increase (Decrease) in Accrued Interest Payable</t>
  </si>
  <si>
    <t>1)  Nature and source of pollution remediation obligations</t>
  </si>
  <si>
    <t xml:space="preserve">New Taiwan Dollar </t>
  </si>
  <si>
    <t xml:space="preserve">New Zealand Dollar </t>
  </si>
  <si>
    <t>Amortized Cost - provided that fair value is not significantly affected by the impairment of the credit standing of the issuer or by other factors</t>
  </si>
  <si>
    <t>Agency Unsecured Bonds and Notes</t>
  </si>
  <si>
    <t>Agency Mortgage Backed Securities</t>
  </si>
  <si>
    <t>Agency Name / Customer Name</t>
  </si>
  <si>
    <r>
      <t>GASBS No. 42</t>
    </r>
    <r>
      <rPr>
        <sz val="11"/>
        <rFont val="Times New Roman"/>
        <family val="1"/>
      </rPr>
      <t>,</t>
    </r>
    <r>
      <rPr>
        <i/>
        <sz val="11"/>
        <rFont val="Times New Roman"/>
        <family val="1"/>
      </rPr>
      <t xml:space="preserve"> Accounting and Financial Reporting for Impairment of Capital Assets and for Insurance Recoveries</t>
    </r>
  </si>
  <si>
    <r>
      <t xml:space="preserve">If </t>
    </r>
    <r>
      <rPr>
        <b/>
        <sz val="11"/>
        <rFont val="Times New Roman"/>
        <family val="1"/>
      </rPr>
      <t>yes</t>
    </r>
    <r>
      <rPr>
        <sz val="11"/>
        <rFont val="Times New Roman"/>
        <family val="1"/>
      </rPr>
      <t xml:space="preserve"> above, has activity related to the energy performance contract been appropriately recorded on the financial statement template based on the guidance given in this attachment's instructions?
If energy performance contract activity has not been recorded in accordance with attachment instructions, please explain below.</t>
    </r>
  </si>
  <si>
    <r>
      <t>GASBS No. 47</t>
    </r>
    <r>
      <rPr>
        <sz val="11"/>
        <rFont val="Times New Roman"/>
        <family val="1"/>
      </rPr>
      <t xml:space="preserve">, </t>
    </r>
    <r>
      <rPr>
        <i/>
        <sz val="11"/>
        <rFont val="Times New Roman"/>
        <family val="1"/>
      </rPr>
      <t>Accounting for Termination Benefits</t>
    </r>
  </si>
  <si>
    <t>Agency 151 - DOA (Payroll Service Bureau)</t>
  </si>
  <si>
    <r>
      <t>GASBS No. 38</t>
    </r>
    <r>
      <rPr>
        <sz val="11"/>
        <rFont val="Times New Roman"/>
        <family val="1"/>
      </rPr>
      <t xml:space="preserve">, </t>
    </r>
    <r>
      <rPr>
        <i/>
        <sz val="11"/>
        <rFont val="Times New Roman"/>
        <family val="1"/>
      </rPr>
      <t>Certain Financial Statement Note Disclosures</t>
    </r>
  </si>
  <si>
    <t xml:space="preserve">at amortized cost.  A "no" answer to these questions would indicate that these types of investments are reported </t>
  </si>
  <si>
    <r>
      <t xml:space="preserve">If </t>
    </r>
    <r>
      <rPr>
        <b/>
        <sz val="8"/>
        <rFont val="Times New Roman"/>
        <family val="1"/>
      </rPr>
      <t>no</t>
    </r>
    <r>
      <rPr>
        <sz val="8"/>
        <rFont val="Times New Roman"/>
        <family val="1"/>
      </rPr>
      <t xml:space="preserve">, explain the discrepancies in the yellow box below. </t>
    </r>
  </si>
  <si>
    <t xml:space="preserve">Norwegian Krone </t>
  </si>
  <si>
    <t xml:space="preserve">Philippines Peso </t>
  </si>
  <si>
    <t xml:space="preserve">Polish Zloty </t>
  </si>
  <si>
    <t xml:space="preserve">Singapore Dollar </t>
  </si>
  <si>
    <t xml:space="preserve">South Korean Won </t>
  </si>
  <si>
    <t xml:space="preserve">Sri Lanka Rupee </t>
  </si>
  <si>
    <t xml:space="preserve">Swedish Krona </t>
  </si>
  <si>
    <t xml:space="preserve">Swiss Franc </t>
  </si>
  <si>
    <t xml:space="preserve">Thailand Baht </t>
  </si>
  <si>
    <t xml:space="preserve">Turkish Lira </t>
  </si>
  <si>
    <t>Other (Please list)</t>
  </si>
  <si>
    <t>Tab 1C-Foreign Currency Inv</t>
  </si>
  <si>
    <t>Yes or No</t>
  </si>
  <si>
    <t>Financial Statement Template line item:</t>
  </si>
  <si>
    <t>Special Item</t>
  </si>
  <si>
    <t>Extraordinary Item</t>
  </si>
  <si>
    <t xml:space="preserve">be reported net of the associated insurance recovery.  </t>
  </si>
  <si>
    <t>Part 3.2) Idle Capital Assets - Temporarily or Permanently Impaired</t>
  </si>
  <si>
    <t>Comments for the Internal Service Fund:</t>
  </si>
  <si>
    <t>Internal Service Fund Comments:</t>
  </si>
  <si>
    <t>Tab 3 - Capital Assets</t>
  </si>
  <si>
    <t>Tab 5 - Long-term Liabilities</t>
  </si>
  <si>
    <t>PRIOR YEAR BALANCES</t>
  </si>
  <si>
    <t>Check Figures</t>
  </si>
  <si>
    <t xml:space="preserve">as Due From Other State Agencies.  </t>
  </si>
  <si>
    <t>Beginning Cash Balances</t>
  </si>
  <si>
    <t>A)  Footnote Disclosure:  Does this fund have any idle capital assets at year-end that are temporarily or permanently impaired?</t>
  </si>
  <si>
    <t>Permanently Impaired Capital Assets</t>
  </si>
  <si>
    <t>Temporarily Impaired Capital Assets</t>
  </si>
  <si>
    <t>drop-down list</t>
  </si>
  <si>
    <r>
      <t xml:space="preserve">         Is the decline in service utility of the capital asset significant </t>
    </r>
    <r>
      <rPr>
        <b/>
        <sz val="8"/>
        <rFont val="Times New Roman"/>
        <family val="1"/>
      </rPr>
      <t>and</t>
    </r>
    <r>
      <rPr>
        <sz val="8"/>
        <rFont val="Times New Roman"/>
        <family val="1"/>
      </rPr>
      <t xml:space="preserve"> unexpected?</t>
    </r>
  </si>
  <si>
    <t>Insurance Recovery $ 
(See Note a)</t>
  </si>
  <si>
    <t>Part 1:  Cash Flow</t>
  </si>
  <si>
    <t>Part 2:  Acquisition of Capital Assets Reconciliation</t>
  </si>
  <si>
    <t>Part 3:  Payment of Principal and Interest Reconciliation</t>
  </si>
  <si>
    <t>Capital Assets Addition Included in Accounts Payable</t>
  </si>
  <si>
    <t>If difference above, please provide explanation.</t>
  </si>
  <si>
    <t xml:space="preserve">            i)    Uncollateralized</t>
  </si>
  <si>
    <t>1c)</t>
  </si>
  <si>
    <t>Treasury - Risk Management Total</t>
  </si>
  <si>
    <t>VA Correctional Enterprises Total</t>
  </si>
  <si>
    <t>Acquisition of Capital Assets</t>
  </si>
  <si>
    <t>c)  Provide an explanation if the reported amount is negative</t>
  </si>
  <si>
    <t>and investments not covered elsewhere on this attachment.</t>
  </si>
  <si>
    <t>U. S. Treasury and Agency Securities</t>
  </si>
  <si>
    <t>Commercial Paper</t>
  </si>
  <si>
    <t>Banker's Acceptance</t>
  </si>
  <si>
    <t>Negotiable Certificates of Deposit</t>
  </si>
  <si>
    <t>Reverse Repurchase Agreements</t>
  </si>
  <si>
    <t>Repurchase Agreements</t>
  </si>
  <si>
    <t>Municipal Securities</t>
  </si>
  <si>
    <t>Asset Backed Securities</t>
  </si>
  <si>
    <t>Agency Mortgage Backed</t>
  </si>
  <si>
    <t>2)  Estimated pollution remediation liability $</t>
  </si>
  <si>
    <t>5)  Provide the FST line item that the above estimated net pollution remediation liability -recognized $ amount is reported</t>
  </si>
  <si>
    <t>6)  Methods and assumptions used for the above estimate</t>
  </si>
  <si>
    <t>7)  Describe the potential for changes (i.e. price increases or reductions, technology, applicable laws or regulations, etc.)</t>
  </si>
  <si>
    <t>Description of insurance recoveries:</t>
  </si>
  <si>
    <t>Financial Statement Template line items:</t>
  </si>
  <si>
    <t xml:space="preserve"> $ Amount</t>
  </si>
  <si>
    <t>Extraordinary Items</t>
  </si>
  <si>
    <t xml:space="preserve">Does the internal service fund have any nonexchange transactions that are not recognizable because they are not measurable?   </t>
  </si>
  <si>
    <t>Does the internal service fund have any subsequent events that need to be reported and / or disclosed?</t>
  </si>
  <si>
    <t>Property Management</t>
  </si>
  <si>
    <t>General Services</t>
  </si>
  <si>
    <t>Fleet Management</t>
  </si>
  <si>
    <r>
      <t>Change in Fair Value of Investments (</t>
    </r>
    <r>
      <rPr>
        <b/>
        <u/>
        <sz val="9"/>
        <color indexed="12"/>
        <rFont val="Times New Roman"/>
        <family val="1"/>
      </rPr>
      <t>GASBS No. 31</t>
    </r>
    <r>
      <rPr>
        <sz val="9"/>
        <color indexed="12"/>
        <rFont val="Times New Roman"/>
        <family val="1"/>
      </rPr>
      <t xml:space="preserve"> requirement)</t>
    </r>
  </si>
  <si>
    <r>
      <t xml:space="preserve">Change in Fair Value of Investments (Required by </t>
    </r>
    <r>
      <rPr>
        <b/>
        <u/>
        <sz val="9"/>
        <rFont val="Times New Roman"/>
        <family val="1"/>
      </rPr>
      <t>GASBS No. 31</t>
    </r>
    <r>
      <rPr>
        <sz val="9"/>
        <rFont val="Times New Roman"/>
        <family val="1"/>
      </rPr>
      <t>)</t>
    </r>
  </si>
  <si>
    <t>Total Cash and Cash Equivalents Balance-Beginning</t>
  </si>
  <si>
    <t>Localities</t>
  </si>
  <si>
    <t>n/a</t>
  </si>
  <si>
    <t>Other External Parties</t>
  </si>
  <si>
    <t>Certification Tab</t>
  </si>
  <si>
    <t xml:space="preserve">b)  Bank balance as of June 30  </t>
  </si>
  <si>
    <t xml:space="preserve">Taxes Receivable </t>
  </si>
  <si>
    <t>Tab 1A-GASB 3-40</t>
  </si>
  <si>
    <t>Tab 2:  Receivables</t>
  </si>
  <si>
    <t>Tab 6:  Commitments</t>
  </si>
  <si>
    <t>Total Due from Other Funds</t>
  </si>
  <si>
    <t>Increase (Decrease) in Installment Purchase Obligation</t>
  </si>
  <si>
    <t>Increase (Decrease) in Bonds Payable</t>
  </si>
  <si>
    <t>Reconciliation of Cash and Cash Equivalents:</t>
  </si>
  <si>
    <t>Cash and Cash Equivalents (linked)</t>
  </si>
  <si>
    <t>Cash and Travel Advances (linked)</t>
  </si>
  <si>
    <t>Payments to Providers for Non-recurring Cost Estimates (Wireless E-911)</t>
  </si>
  <si>
    <t>Payments for Interest</t>
  </si>
  <si>
    <t>Payments for Contractual Services</t>
  </si>
  <si>
    <t>Receipts from Taxes</t>
  </si>
  <si>
    <t>Repayments of Advances/Contributions from the Commonwealth</t>
  </si>
  <si>
    <t>Accounts Receivable</t>
  </si>
  <si>
    <t>Loans Receivable</t>
  </si>
  <si>
    <t>Restricted for:</t>
  </si>
  <si>
    <t>(Increase) Decrease in Inventories</t>
  </si>
  <si>
    <t>(Increase) Decrease in Prepaid Items</t>
  </si>
  <si>
    <t>(Increase) Decrease in Receivables, Net</t>
  </si>
  <si>
    <t>Increase (Decrease) in Amounts Due to Other Governments</t>
  </si>
  <si>
    <t>Increase (Decrease) in Other Liabilities - Due in Greater Than One Year</t>
  </si>
  <si>
    <t>Increase (Decrease) in Long-term Liabilities - Due in Greater Than One Year</t>
  </si>
  <si>
    <t xml:space="preserve">     Other Liabilities - Due Within One Year</t>
  </si>
  <si>
    <r>
      <t>Answer the following questions.  (</t>
    </r>
    <r>
      <rPr>
        <b/>
        <u/>
        <sz val="11"/>
        <rFont val="Times New Roman"/>
        <family val="1"/>
      </rPr>
      <t>Note</t>
    </r>
    <r>
      <rPr>
        <sz val="11"/>
        <rFont val="Times New Roman"/>
        <family val="1"/>
      </rPr>
      <t>:  DOA may request additional information based on the answers provided.)</t>
    </r>
  </si>
  <si>
    <r>
      <t xml:space="preserve">If </t>
    </r>
    <r>
      <rPr>
        <b/>
        <sz val="11"/>
        <rFont val="Times New Roman"/>
        <family val="1"/>
      </rPr>
      <t>yes</t>
    </r>
    <r>
      <rPr>
        <sz val="11"/>
        <rFont val="Times New Roman"/>
        <family val="1"/>
      </rPr>
      <t xml:space="preserve">, explain below.
If </t>
    </r>
    <r>
      <rPr>
        <b/>
        <sz val="11"/>
        <rFont val="Times New Roman"/>
        <family val="1"/>
      </rPr>
      <t>no</t>
    </r>
    <r>
      <rPr>
        <sz val="11"/>
        <rFont val="Times New Roman"/>
        <family val="1"/>
      </rPr>
      <t>, leave the yellow box blank.</t>
    </r>
  </si>
  <si>
    <r>
      <t xml:space="preserve">If </t>
    </r>
    <r>
      <rPr>
        <b/>
        <sz val="11"/>
        <rFont val="Times New Roman"/>
        <family val="1"/>
      </rPr>
      <t>yes</t>
    </r>
    <r>
      <rPr>
        <sz val="11"/>
        <rFont val="Times New Roman"/>
        <family val="1"/>
      </rPr>
      <t xml:space="preserve">, explain below.
If </t>
    </r>
    <r>
      <rPr>
        <b/>
        <sz val="11"/>
        <rFont val="Times New Roman"/>
        <family val="1"/>
      </rPr>
      <t>no</t>
    </r>
    <r>
      <rPr>
        <sz val="11"/>
        <rFont val="Times New Roman"/>
        <family val="1"/>
      </rPr>
      <t>, leave the yellow boxes blank.</t>
    </r>
  </si>
  <si>
    <r>
      <t>GASBS No. 49</t>
    </r>
    <r>
      <rPr>
        <b/>
        <sz val="11"/>
        <rFont val="Times New Roman"/>
        <family val="1"/>
      </rPr>
      <t xml:space="preserve">, </t>
    </r>
    <r>
      <rPr>
        <i/>
        <sz val="11"/>
        <rFont val="Times New Roman"/>
        <family val="1"/>
      </rPr>
      <t>Accounting and Financial Reporting for Pollution Remediation Obligations</t>
    </r>
  </si>
  <si>
    <t>1b</t>
  </si>
  <si>
    <t>Cash Not with the Treasurer</t>
  </si>
  <si>
    <t>Due from Other Funds</t>
  </si>
  <si>
    <t>Interfund Receivable</t>
  </si>
  <si>
    <t>Inventories</t>
  </si>
  <si>
    <t>Prepaid Items</t>
  </si>
  <si>
    <t>Cash and Travel Advances</t>
  </si>
  <si>
    <t>Other Assets</t>
  </si>
  <si>
    <t>Other Noncapital Financing Disbursement Activities</t>
  </si>
  <si>
    <t>Net Cash Provided by (Used for) Noncapital Financing Activities</t>
  </si>
  <si>
    <t>Cash Flows from Capital and Related Financing Activities:</t>
  </si>
  <si>
    <t>Acquisition of Capital  Assets</t>
  </si>
  <si>
    <t>Cash Flow Statement</t>
  </si>
  <si>
    <t>Capital Asset Footnote</t>
  </si>
  <si>
    <t>Long-term Liability Footnote</t>
  </si>
  <si>
    <t>Linked</t>
  </si>
  <si>
    <t xml:space="preserve">Acquisition of Capital Assets (Cash Flows from Capital and Related Financing Activities) </t>
  </si>
  <si>
    <t xml:space="preserve">Installment Purchases Used to Finance Capital Assets </t>
  </si>
  <si>
    <t xml:space="preserve">Trade-ins of Used Capital Asset on New Capital Asset </t>
  </si>
  <si>
    <t xml:space="preserve"> d) Provide an explanation if the amount reported in Part 3a) is greater than $250,000.</t>
  </si>
  <si>
    <t xml:space="preserve">Part 4)  </t>
  </si>
  <si>
    <t>List all SNAP accounts reported on this template.</t>
  </si>
  <si>
    <t>Other Receivables, Net - Description</t>
  </si>
  <si>
    <t>New Capital Leases</t>
  </si>
  <si>
    <t xml:space="preserve">     Long-term Liabilities - Due Within One Year</t>
  </si>
  <si>
    <t>Other Debt Securities</t>
  </si>
  <si>
    <t>Participating interest-earning investment contracts with a remaining maturity at the time of purchase of one year or less</t>
  </si>
  <si>
    <t>1d)</t>
  </si>
  <si>
    <t>1e)</t>
  </si>
  <si>
    <t>1f)</t>
  </si>
  <si>
    <t>1g)</t>
  </si>
  <si>
    <t>All other investments</t>
  </si>
  <si>
    <t>Fair Value</t>
  </si>
  <si>
    <t xml:space="preserve">at fair value rather than amortized cost. </t>
  </si>
  <si>
    <t xml:space="preserve">     </t>
  </si>
  <si>
    <t>Is any of the inventory pledged or has liens against it?</t>
  </si>
  <si>
    <t>Total Beginning Cash and Cash Equivalents Balance per the Current Year's Financial Statement Template</t>
  </si>
  <si>
    <t>4) The agency is named, or evidence indicates that it will be named, in a lawsuit to compel your agency to participate in remediation.</t>
  </si>
  <si>
    <t>Cost of Sales and Services</t>
  </si>
  <si>
    <t>Insurance Claims</t>
  </si>
  <si>
    <t>Income From Security Lending Transactions</t>
  </si>
  <si>
    <t>Expenses For Security Lending Transactions</t>
  </si>
  <si>
    <t xml:space="preserve">Total Nonoperating Revenues (Expenses) </t>
  </si>
  <si>
    <t>Income (Loss) Before Contributions and Transfers</t>
  </si>
  <si>
    <t>Capital Contributions</t>
  </si>
  <si>
    <t>Proceeds from Sale of Capital Assets</t>
  </si>
  <si>
    <t>Prior Year</t>
  </si>
  <si>
    <t xml:space="preserve">Other Receivables </t>
  </si>
  <si>
    <t xml:space="preserve">Due from Other State Agencies   </t>
  </si>
  <si>
    <t xml:space="preserve">       Total Allowance for Doubtful Accounts</t>
  </si>
  <si>
    <t xml:space="preserve">       Total Receivables, Net</t>
  </si>
  <si>
    <t>Current Assets (converted to cash within one year):</t>
  </si>
  <si>
    <t>Noncurrent Assets (converted to cash in greater than one year):</t>
  </si>
  <si>
    <t>10i</t>
  </si>
  <si>
    <t>Non-operating Gain (loss) on Sale/Disposal/Impairment of Capital Asset (b)</t>
  </si>
  <si>
    <t>General Service Fund Total</t>
  </si>
  <si>
    <t>Property Management Fund Total</t>
  </si>
  <si>
    <t>Interest Receivable, Net</t>
  </si>
  <si>
    <t>Unearned Revenue</t>
  </si>
  <si>
    <t>Other Liabilities Due Within One Year - Total</t>
  </si>
  <si>
    <t>Increase (Decrease) in Interfund Payable - Due Within One Year</t>
  </si>
  <si>
    <t>Increase (Decrease) in Unearned Revenue</t>
  </si>
  <si>
    <t>Increase (Decrease) in Claims Payable - Due Within One Year</t>
  </si>
  <si>
    <t>Increase (Decrease) in Other Liabilities - Due Within One Year</t>
  </si>
  <si>
    <t>Increase (Decrease) in Long-term Liabilities - Due Within One Year</t>
  </si>
  <si>
    <t>Other Liabilities Due in Greater Than One Yea r- Total</t>
  </si>
  <si>
    <t>Increase (Decrease) in Interfund Payable - Due in Greater Than One Year</t>
  </si>
  <si>
    <t>Increase (Decrease) in Claims Payable - Due in Greater Than One Year</t>
  </si>
  <si>
    <t>Payments for Tuition Benefits</t>
  </si>
  <si>
    <t>Less: Unamortized Discount (negative amount)</t>
  </si>
  <si>
    <t>Less: Discount Unaccreted Capital Appreciation Bonds (negative amount)</t>
  </si>
  <si>
    <t>Fund Number:</t>
  </si>
  <si>
    <t>Issuances and Other Increases</t>
  </si>
  <si>
    <t>Due Within One Year</t>
  </si>
  <si>
    <t>Noncurrent Liabilities (due greater than one year):</t>
  </si>
  <si>
    <t>$ Amount</t>
  </si>
  <si>
    <t>Agency Number:</t>
  </si>
  <si>
    <t>Beginning Cash and Cash Equivalents Restatement:</t>
  </si>
  <si>
    <t>Tab 7: Miscellaneous</t>
  </si>
  <si>
    <t>Tab 8:  Restatements</t>
  </si>
  <si>
    <t>Other Noncapital Financing Receipts - Description:</t>
  </si>
  <si>
    <t>Other Noncapital Financing Disbursements - Description:</t>
  </si>
  <si>
    <t>Other Capital &amp; Related Financing Receipts - Description:</t>
  </si>
  <si>
    <t>Other Capital &amp; Related Financing Disbursements - Description:</t>
  </si>
  <si>
    <t>Other - Description:</t>
  </si>
  <si>
    <t>(Increase) Decrease in Interfund Receivable</t>
  </si>
  <si>
    <t>Average Cost</t>
  </si>
  <si>
    <t>Cost</t>
  </si>
  <si>
    <t>Current Market Cost</t>
  </si>
  <si>
    <t>Method used to determine value</t>
  </si>
  <si>
    <t>General description of inventory on hand</t>
  </si>
  <si>
    <t>2) The agency is in violation of a pollution prevention-related permit or license, such as a Resource Conservation and Recovery Act permit or similar permits under state law.</t>
  </si>
  <si>
    <t>Unearned Revenue (formerly Deferred Revenue)</t>
  </si>
  <si>
    <t>Accretion of Principal</t>
  </si>
  <si>
    <t>Are any of the agency's cash equivalents or investments in debt securities not with the Treasurer of VA</t>
  </si>
  <si>
    <t>Salary / Wages Payable</t>
  </si>
  <si>
    <t>equivalent amounts have been restated.</t>
  </si>
  <si>
    <t>Cost used to determine value</t>
  </si>
  <si>
    <t>Lower of Cost or Market</t>
  </si>
  <si>
    <t>Inventory</t>
  </si>
  <si>
    <t>Agency Contact Name:</t>
  </si>
  <si>
    <t>Agency Contact Phone Number:</t>
  </si>
  <si>
    <t>Date Completed:</t>
  </si>
  <si>
    <t>Vendor Payments Payable</t>
  </si>
  <si>
    <t>Retainage Payable</t>
  </si>
  <si>
    <t>Payroll Service Bureau</t>
  </si>
  <si>
    <t>Payments to Employees</t>
  </si>
  <si>
    <t>Payments for Claims and Loss Control</t>
  </si>
  <si>
    <t>Payments for Lottery Prizes</t>
  </si>
  <si>
    <t>Payments for Prizes, Claims, and Loss Control</t>
  </si>
  <si>
    <t>Total Other Operating Revenue</t>
  </si>
  <si>
    <t>Total Other Operating Expense</t>
  </si>
  <si>
    <t>Net Cash Provided by (Used for) Operating Activities</t>
  </si>
  <si>
    <t>Cash Flows from Noncapital Financing Activities:</t>
  </si>
  <si>
    <t>Revision Date</t>
  </si>
  <si>
    <t>Tab Name</t>
  </si>
  <si>
    <t>Row Number</t>
  </si>
  <si>
    <t>Column Letter</t>
  </si>
  <si>
    <t>Previous Information</t>
  </si>
  <si>
    <t>External</t>
  </si>
  <si>
    <t xml:space="preserve">            iii)  Collateralized with securities held by the pledging financial institution's trust department or agent but not in the depositor-government's name</t>
  </si>
  <si>
    <t>Installment Purchases Used to Finance Capital Assets</t>
  </si>
  <si>
    <t>Trade-ins of Used Equipment on New Equipment</t>
  </si>
  <si>
    <t>Total Noncash, Investing, Capital, and Financing Activities</t>
  </si>
  <si>
    <t xml:space="preserve">Taxes Receivable, Net </t>
  </si>
  <si>
    <t xml:space="preserve">Other Receivables, Net </t>
  </si>
  <si>
    <t>Cash Equivalents not with the Treasurer</t>
  </si>
  <si>
    <t>Investments not with the Treasurer</t>
  </si>
  <si>
    <t>Nondepreciable Capital Assets</t>
  </si>
  <si>
    <t>ASSETS</t>
  </si>
  <si>
    <t>Lottery Jackpot Prizes Payable</t>
  </si>
  <si>
    <t>Other Long-Term Liabilities</t>
  </si>
  <si>
    <t>Pension Liability (to be completed by Department of Accounts)</t>
  </si>
  <si>
    <t>Fines, Forfeitures, Court Fees, Penalties, and Escheats</t>
  </si>
  <si>
    <t>Taxes</t>
  </si>
  <si>
    <t>Tuition Benefits Expense</t>
  </si>
  <si>
    <t>Grants and Distributions to Localities</t>
  </si>
  <si>
    <t>Gain (Loss) on Sale of Capital Assets</t>
  </si>
  <si>
    <t>Reed Act Receipts (Unemployment Compensation only)</t>
  </si>
  <si>
    <t>Special Items (include description)</t>
  </si>
  <si>
    <t>Increase (Decrease) in Tuition Benefits Payable</t>
  </si>
  <si>
    <t>Investments with the Treasurer  (Securities Lending from Treasury)</t>
  </si>
  <si>
    <t>Investments with the Treasurer - Other</t>
  </si>
  <si>
    <t>Advances (nonexchange transactions)</t>
  </si>
  <si>
    <t xml:space="preserve"> The estimated lives of capital assets are as follows:</t>
  </si>
  <si>
    <t>5-50</t>
  </si>
  <si>
    <t>Years</t>
  </si>
  <si>
    <t>Motor Vehicle Dealer Board</t>
  </si>
  <si>
    <t>Agency No.</t>
  </si>
  <si>
    <t>Internal / External</t>
  </si>
  <si>
    <t>Internal</t>
  </si>
  <si>
    <r>
      <t>Note</t>
    </r>
    <r>
      <rPr>
        <b/>
        <sz val="8"/>
        <rFont val="Times New Roman"/>
        <family val="1"/>
      </rPr>
      <t>:  Insurance recoveries related to assets that were impaired in prior years are reported on the Miscellaneous tab, Question 5.</t>
    </r>
  </si>
  <si>
    <r>
      <t>GASBS No. 33</t>
    </r>
    <r>
      <rPr>
        <sz val="11"/>
        <rFont val="Times New Roman"/>
        <family val="1"/>
      </rPr>
      <t xml:space="preserve">, </t>
    </r>
    <r>
      <rPr>
        <i/>
        <sz val="11"/>
        <rFont val="Times New Roman"/>
        <family val="1"/>
      </rPr>
      <t>Accounting and Financial Reporting for Nonexchange Transactions</t>
    </r>
  </si>
  <si>
    <r>
      <t xml:space="preserve">If </t>
    </r>
    <r>
      <rPr>
        <b/>
        <sz val="11"/>
        <rFont val="Times New Roman"/>
        <family val="1"/>
      </rPr>
      <t>yes</t>
    </r>
    <r>
      <rPr>
        <sz val="11"/>
        <rFont val="Times New Roman"/>
        <family val="1"/>
      </rPr>
      <t xml:space="preserve">, provide disclosure information below.
If </t>
    </r>
    <r>
      <rPr>
        <b/>
        <sz val="11"/>
        <rFont val="Times New Roman"/>
        <family val="1"/>
      </rPr>
      <t>no</t>
    </r>
    <r>
      <rPr>
        <sz val="11"/>
        <rFont val="Times New Roman"/>
        <family val="1"/>
      </rPr>
      <t>, leave the yellow box blank.</t>
    </r>
  </si>
  <si>
    <t>Lottery Prize Expense</t>
  </si>
  <si>
    <t>Personal Services</t>
  </si>
  <si>
    <t>Amounts Due to Other Governments</t>
  </si>
  <si>
    <t>Due to Other Funds</t>
  </si>
  <si>
    <t>Interfund Payable</t>
  </si>
  <si>
    <t>Obligations Under Securities Lending Program</t>
  </si>
  <si>
    <t>Accrued Interest Payable</t>
  </si>
  <si>
    <t>Compensated Absences</t>
  </si>
  <si>
    <t>Other Liabilities</t>
  </si>
  <si>
    <t>Deposits Pending Distribution</t>
  </si>
  <si>
    <t>Tuition Benefits Payable</t>
  </si>
  <si>
    <t>Claims Payable</t>
  </si>
  <si>
    <t>Total</t>
  </si>
  <si>
    <t>Other - Description</t>
  </si>
  <si>
    <t>Other Long-term Liabilities - Description</t>
  </si>
  <si>
    <t>Other Liabilities - Description</t>
  </si>
  <si>
    <t>Amounts Due to Other Governments - Description</t>
  </si>
  <si>
    <t>Other Payables - Description</t>
  </si>
  <si>
    <t>Other Assets - Description</t>
  </si>
  <si>
    <t>Transfers In</t>
  </si>
  <si>
    <t xml:space="preserve">Transfers Out </t>
  </si>
  <si>
    <t>Update the first sentence after</t>
  </si>
  <si>
    <t xml:space="preserve">  </t>
  </si>
  <si>
    <t>Internal Service Template</t>
  </si>
  <si>
    <t>TAB 3</t>
  </si>
  <si>
    <t>TAB 5-Part 1</t>
  </si>
  <si>
    <t>TAB 8</t>
  </si>
  <si>
    <t xml:space="preserve">Part 1)  </t>
  </si>
  <si>
    <t xml:space="preserve">Part 2)  </t>
  </si>
  <si>
    <t>a)  Reported amount</t>
  </si>
  <si>
    <t xml:space="preserve">Part 3)  </t>
  </si>
  <si>
    <t>Operating Income (Loss)  (Linked)</t>
  </si>
  <si>
    <t>Depreciation and Amortization (Linked)</t>
  </si>
  <si>
    <t>Tab 11-Transfers</t>
  </si>
  <si>
    <t>Total Capital Assets</t>
  </si>
  <si>
    <t>Extraordinary Items (include description)</t>
  </si>
  <si>
    <t>Receipts from Investments</t>
  </si>
  <si>
    <t>Total Fair Value of Foreign Currency</t>
  </si>
  <si>
    <t xml:space="preserve">Australian Dollar </t>
  </si>
  <si>
    <t xml:space="preserve">Canadian Dollar </t>
  </si>
  <si>
    <t xml:space="preserve">Colombian Peso </t>
  </si>
  <si>
    <t>Other Equity Securities</t>
  </si>
  <si>
    <t>DGS - Property Management</t>
  </si>
  <si>
    <t>DGS - General Services</t>
  </si>
  <si>
    <t>Intrafund Elimination Entries</t>
  </si>
  <si>
    <t>Reference to Tabs that must be completed</t>
  </si>
  <si>
    <t>DEBT</t>
  </si>
  <si>
    <t>EQUITY</t>
  </si>
  <si>
    <t>Tab 13: Cash Flow Analysis</t>
  </si>
  <si>
    <t>Was donated inventory received during the fiscal year?</t>
  </si>
  <si>
    <t>* N/A -  Not applicable because the fund does not have this type of investment.</t>
  </si>
  <si>
    <t>1) The agency is compelled to take remediation action because pollution creates an imminent endangerment to public health or welfare or the environment, leaving it little or no discretion to avoid remediation action.</t>
  </si>
  <si>
    <t>11a</t>
  </si>
  <si>
    <t>11b</t>
  </si>
  <si>
    <t>11c</t>
  </si>
  <si>
    <t>Due in Greater Than One Year</t>
  </si>
  <si>
    <t>Enterprise Applications</t>
  </si>
  <si>
    <t>Enterprise Applications Total</t>
  </si>
  <si>
    <t xml:space="preserve">Deferred Outflows of Resources (linked to template) </t>
  </si>
  <si>
    <t>If yes, provide amount</t>
  </si>
  <si>
    <t>Overall Category - Description of Deferred Outflows of Resources</t>
  </si>
  <si>
    <t xml:space="preserve">Deferred Inflows of Resources (linked to template) </t>
  </si>
  <si>
    <t>Overall Category - Description of Deferred Inflows of Resources</t>
  </si>
  <si>
    <t>12a</t>
  </si>
  <si>
    <t>12b</t>
  </si>
  <si>
    <t>12c</t>
  </si>
  <si>
    <t>12d</t>
  </si>
  <si>
    <t>12e</t>
  </si>
  <si>
    <t>Deferred Outflows of Resources</t>
  </si>
  <si>
    <t>TOTAL ASSETS &amp; DEFERRED OUTFLOWS</t>
  </si>
  <si>
    <t>Deferred Inflows of Resources</t>
  </si>
  <si>
    <t>TOTAL LIABILITIES &amp; DEFERRED INFLOWS</t>
  </si>
  <si>
    <t>Statement of Net Position</t>
  </si>
  <si>
    <t>TOTAL NET POSITION</t>
  </si>
  <si>
    <t>Total Net Position-Beginning</t>
  </si>
  <si>
    <t>Change in Net Position</t>
  </si>
  <si>
    <t xml:space="preserve">Total Net Position-Ending </t>
  </si>
  <si>
    <t>The following transactions occurred prior to the Statement of Net Position date:</t>
  </si>
  <si>
    <t>NET POSITION</t>
  </si>
  <si>
    <t>Statement of Revenues, Expenses and Changes in Fund Net Position</t>
  </si>
  <si>
    <t>Beginning Net Position Balances</t>
  </si>
  <si>
    <t>Does the internal service fund report prepaid items on the Statement of Net Position?</t>
  </si>
  <si>
    <t>Beginning Net Position Restatement:</t>
  </si>
  <si>
    <t>Ending Net Position Balance per Prior Year's Financial Statement Template</t>
  </si>
  <si>
    <t>Total Beginning Net Position Balance per Current Year's Financial Statement Template</t>
  </si>
  <si>
    <t>Tab 10:  Deficit Net Position</t>
  </si>
  <si>
    <t>Statement of Revenues, Expenses, and Changes in Fund Net Position</t>
  </si>
  <si>
    <t>Tab 10-Deficit Net Position</t>
  </si>
  <si>
    <t>Net Investment in Capital Assets</t>
  </si>
  <si>
    <t>Total Net Investment in Capital Assets</t>
  </si>
  <si>
    <t>Informational Totals</t>
  </si>
  <si>
    <t>Total Cash Equivalents and Investments Not with the Treasurer</t>
  </si>
  <si>
    <t>Securities Lending Investments</t>
  </si>
  <si>
    <t>Total Receivables, Net</t>
  </si>
  <si>
    <t>ASSETS AND DEFERRED OUTFLOWS OF RESOURCES</t>
  </si>
  <si>
    <t xml:space="preserve">Provide an explanation for the negative ending net position.  </t>
  </si>
  <si>
    <t>Tab 12:  Net investment in capital assets</t>
  </si>
  <si>
    <t>Agency 151 - DOA (Enterprise Applications)</t>
  </si>
  <si>
    <t>LIABILITIES AND DEFERRED INFLOWS OF RESOURCES</t>
  </si>
  <si>
    <t>1)</t>
  </si>
  <si>
    <t>2)</t>
  </si>
  <si>
    <t xml:space="preserve">a)  There are negative amounts for line items that should not be negative.  </t>
  </si>
  <si>
    <t>3)</t>
  </si>
  <si>
    <t>4)</t>
  </si>
  <si>
    <t>5)</t>
  </si>
  <si>
    <t>6)</t>
  </si>
  <si>
    <r>
      <t>Reasonableness</t>
    </r>
    <r>
      <rPr>
        <sz val="10"/>
        <rFont val="Times New Roman"/>
        <family val="1"/>
      </rPr>
      <t>:  Do amounts appear reasonable?  Some indications of unreasonable amounts are as follows:</t>
    </r>
  </si>
  <si>
    <r>
      <t>Extraordinary items</t>
    </r>
    <r>
      <rPr>
        <sz val="10"/>
        <rFont val="Times New Roman"/>
        <family val="1"/>
      </rPr>
      <t xml:space="preserve"> are defined as transactions/events that are both unusual in nature and infrequent in occurrence.  </t>
    </r>
  </si>
  <si>
    <r>
      <t>Special items</t>
    </r>
    <r>
      <rPr>
        <sz val="10"/>
        <rFont val="Times New Roman"/>
        <family val="1"/>
      </rPr>
      <t xml:space="preserve"> are defined as significant transactions/events within the control of management that are either unusual in nature or infrequent in occurrence.</t>
    </r>
  </si>
  <si>
    <r>
      <rPr>
        <b/>
        <sz val="10"/>
        <rFont val="Times New Roman"/>
        <family val="1"/>
      </rPr>
      <t>Lag Pay</t>
    </r>
    <r>
      <rPr>
        <sz val="10"/>
        <rFont val="Times New Roman"/>
        <family val="1"/>
      </rPr>
      <t>:  Has lag pay been calculated and reported properly?  Please see attachment instructions for guidance.</t>
    </r>
  </si>
  <si>
    <t>I certify that the above questions have been completed and reviewed.</t>
  </si>
  <si>
    <t>Answer Required</t>
  </si>
  <si>
    <t>There should be no "Error" messages or cells with "Answer Required".  Have you reviewed the submission and removed all Error messages and answered all questions?  If not, investigate and make corrections as deemed necessary.</t>
  </si>
  <si>
    <t>b) Significant fluctuations on the attachment between prior year and current year amounts may be an indication of amounts being reported on the incorrect line item.</t>
  </si>
  <si>
    <t>Template Flux</t>
  </si>
  <si>
    <t>Other -  Provide descriptions (enter as a positive or negative):</t>
  </si>
  <si>
    <t>Overall Derivative Instrument Categories:</t>
  </si>
  <si>
    <t>-Hedging derivative instrument - effective hedge</t>
  </si>
  <si>
    <t>-Investment derivative instrument - ineffective hedge</t>
  </si>
  <si>
    <t>-Fully benefit-responsive synthetic guaranteed investment contracts (SGICs)</t>
  </si>
  <si>
    <t>-Fully benefit-responsive synthetic guaranteed investment contracts</t>
  </si>
  <si>
    <t>Notional $</t>
  </si>
  <si>
    <t>Description of the hedging item</t>
  </si>
  <si>
    <t>13a</t>
  </si>
  <si>
    <t>13b</t>
  </si>
  <si>
    <t>13c</t>
  </si>
  <si>
    <t>13h</t>
  </si>
  <si>
    <t>13i</t>
  </si>
  <si>
    <t>13j</t>
  </si>
  <si>
    <t>13k</t>
  </si>
  <si>
    <t>13l</t>
  </si>
  <si>
    <t>Does the fund as an operator have more than one contract that qualifies as a Service Concession Arrangement?</t>
  </si>
  <si>
    <t>#) Overall Category - Description of Expenses</t>
  </si>
  <si>
    <t>14a</t>
  </si>
  <si>
    <t>14b</t>
  </si>
  <si>
    <t>14c</t>
  </si>
  <si>
    <t>15a</t>
  </si>
  <si>
    <t>15b</t>
  </si>
  <si>
    <t>15c</t>
  </si>
  <si>
    <t>The total must agree with what is reported on the template</t>
  </si>
  <si>
    <t>$ Fluctuation</t>
  </si>
  <si>
    <t>Largest of Total Assets &amp; Deferred Outflows or Total Revenues</t>
  </si>
  <si>
    <t>Materiality Scope</t>
  </si>
  <si>
    <t xml:space="preserve">Explanation </t>
  </si>
  <si>
    <t>Please provide explanations for all line items that meet the materiality scope AND exceed or are equal to 10%</t>
  </si>
  <si>
    <r>
      <t xml:space="preserve">If </t>
    </r>
    <r>
      <rPr>
        <b/>
        <sz val="11"/>
        <rFont val="Times New Roman"/>
        <family val="1"/>
      </rPr>
      <t>yes</t>
    </r>
    <r>
      <rPr>
        <sz val="11"/>
        <rFont val="Times New Roman"/>
        <family val="1"/>
      </rPr>
      <t xml:space="preserve">, provide description of donated inventory/commodities received below including date of receipt.
 If </t>
    </r>
    <r>
      <rPr>
        <b/>
        <sz val="11"/>
        <rFont val="Times New Roman"/>
        <family val="1"/>
      </rPr>
      <t>no</t>
    </r>
    <r>
      <rPr>
        <sz val="11"/>
        <rFont val="Times New Roman"/>
        <family val="1"/>
      </rPr>
      <t>, leave the yellow box blank.</t>
    </r>
  </si>
  <si>
    <r>
      <t xml:space="preserve">If </t>
    </r>
    <r>
      <rPr>
        <b/>
        <sz val="11"/>
        <rFont val="Times New Roman"/>
        <family val="1"/>
      </rPr>
      <t>yes</t>
    </r>
    <r>
      <rPr>
        <sz val="11"/>
        <rFont val="Times New Roman"/>
        <family val="1"/>
      </rPr>
      <t xml:space="preserve">, provide the description, line item, and amount of insurance recoveries.  Per </t>
    </r>
    <r>
      <rPr>
        <b/>
        <u/>
        <sz val="11"/>
        <rFont val="Times New Roman"/>
        <family val="1"/>
      </rPr>
      <t>GASBS No. 42</t>
    </r>
    <r>
      <rPr>
        <sz val="11"/>
        <rFont val="Times New Roman"/>
        <family val="1"/>
      </rPr>
      <t xml:space="preserve">, insurance recoveries must be reported on the internal service fund statements as nonoperating revenue or extraordinary items. 
If </t>
    </r>
    <r>
      <rPr>
        <b/>
        <sz val="11"/>
        <rFont val="Times New Roman"/>
        <family val="1"/>
      </rPr>
      <t>no</t>
    </r>
    <r>
      <rPr>
        <sz val="11"/>
        <rFont val="Times New Roman"/>
        <family val="1"/>
      </rPr>
      <t>, go to question 6</t>
    </r>
  </si>
  <si>
    <t>Does the internal service fund have any activity related to energy performance contracts?  
(See Attachment 11 - Instructions for additional details.)</t>
  </si>
  <si>
    <r>
      <t xml:space="preserve">-Hedging derivative instrument - effective hedge (If </t>
    </r>
    <r>
      <rPr>
        <b/>
        <sz val="11"/>
        <rFont val="Times New Roman"/>
        <family val="1"/>
      </rPr>
      <t>yes</t>
    </r>
    <r>
      <rPr>
        <sz val="11"/>
        <rFont val="Times New Roman"/>
        <family val="1"/>
      </rPr>
      <t>, complete 12c - Parts 2 &amp; 3)</t>
    </r>
  </si>
  <si>
    <r>
      <t xml:space="preserve">Part 3)  Were the transactions to record the termination of the hedging derivative instrument - effective hedge properly reported on the template in accordance with </t>
    </r>
    <r>
      <rPr>
        <b/>
        <u/>
        <sz val="11"/>
        <rFont val="Times New Roman"/>
        <family val="1"/>
      </rPr>
      <t>GASBS No. 53</t>
    </r>
    <r>
      <rPr>
        <sz val="11"/>
        <rFont val="Times New Roman"/>
        <family val="1"/>
      </rPr>
      <t xml:space="preserve">?  If </t>
    </r>
    <r>
      <rPr>
        <b/>
        <sz val="11"/>
        <rFont val="Times New Roman"/>
        <family val="1"/>
      </rPr>
      <t>no</t>
    </r>
    <r>
      <rPr>
        <sz val="11"/>
        <rFont val="Times New Roman"/>
        <family val="1"/>
      </rPr>
      <t>, explain.</t>
    </r>
  </si>
  <si>
    <t>Accounts &amp; Retainage Payable to be paid with unspent proceeds on debt related to capital assets 
(enter as a negative)</t>
  </si>
  <si>
    <t>Deferred inflows of resources attributable to the acquisition, construction, or improvement of capital assets or debt related to capital assets  - provide description 
(enter as a negative):</t>
  </si>
  <si>
    <r>
      <t>GASBS No. 51</t>
    </r>
    <r>
      <rPr>
        <sz val="11"/>
        <rFont val="Times New Roman"/>
        <family val="1"/>
      </rPr>
      <t xml:space="preserve">, </t>
    </r>
    <r>
      <rPr>
        <i/>
        <sz val="11"/>
        <rFont val="Times New Roman"/>
        <family val="1"/>
      </rPr>
      <t>Accounting and Financial Reporting for Intangible Assets</t>
    </r>
  </si>
  <si>
    <r>
      <rPr>
        <b/>
        <u/>
        <sz val="11"/>
        <rFont val="Times New Roman"/>
        <family val="1"/>
      </rPr>
      <t>GASBS No. 53</t>
    </r>
    <r>
      <rPr>
        <b/>
        <sz val="11"/>
        <rFont val="Times New Roman"/>
        <family val="1"/>
      </rPr>
      <t>,</t>
    </r>
    <r>
      <rPr>
        <sz val="11"/>
        <rFont val="Times New Roman"/>
        <family val="1"/>
      </rPr>
      <t xml:space="preserve"> </t>
    </r>
    <r>
      <rPr>
        <i/>
        <sz val="11"/>
        <rFont val="Times New Roman"/>
        <family val="1"/>
      </rPr>
      <t>Accounting and Financial Reporting for Derivative Instruments</t>
    </r>
    <r>
      <rPr>
        <sz val="11"/>
        <rFont val="Times New Roman"/>
        <family val="1"/>
      </rPr>
      <t xml:space="preserve">: </t>
    </r>
  </si>
  <si>
    <t>Type (i.e. interest rate swap, interest rate lock, etc.)</t>
  </si>
  <si>
    <r>
      <t>Purpose</t>
    </r>
    <r>
      <rPr>
        <sz val="9"/>
        <rFont val="Times New Roman"/>
        <family val="1"/>
      </rPr>
      <t>:  This tab is to help ensure completeness of this attachment.  After the attachment is completed please answer the following questions.</t>
    </r>
  </si>
  <si>
    <t>Corporate Bonds and Notes</t>
  </si>
  <si>
    <t>External Party/Fiduciary Fund Receiving Payment</t>
  </si>
  <si>
    <t>Total Due to External Parties (Fiduciary Funds)</t>
  </si>
  <si>
    <t>Number of employees affected</t>
  </si>
  <si>
    <t>Time period that benefits will be provided</t>
  </si>
  <si>
    <t>Significant methods and assumptions used to determine the termination benefit liabilities</t>
  </si>
  <si>
    <t>Overall description</t>
  </si>
  <si>
    <r>
      <t xml:space="preserve">If </t>
    </r>
    <r>
      <rPr>
        <b/>
        <sz val="11"/>
        <rFont val="Times New Roman"/>
        <family val="1"/>
      </rPr>
      <t>yes</t>
    </r>
    <r>
      <rPr>
        <sz val="11"/>
        <rFont val="Times New Roman"/>
        <family val="1"/>
      </rPr>
      <t>, answer the following.</t>
    </r>
  </si>
  <si>
    <t>Where are these amounts reported on the template?</t>
  </si>
  <si>
    <t>I certify that the above questions have been completed and are accurate.</t>
  </si>
  <si>
    <t xml:space="preserve">Indonesian Rupiah </t>
  </si>
  <si>
    <t>Net Pension Liability (to be completed by Department of Accounts)</t>
  </si>
  <si>
    <t>Agency 129 - Risk Mgmt (DHRM)</t>
  </si>
  <si>
    <t>Agency 152 - Risk Mgmt (Treasury)</t>
  </si>
  <si>
    <t>Agency 136 - VA Information Technology Agency</t>
  </si>
  <si>
    <r>
      <t xml:space="preserve">Deferred outflows of resources attributable to the acquisition, construction, or improvement of capital assets or debt related to capital assets </t>
    </r>
    <r>
      <rPr>
        <b/>
        <sz val="10"/>
        <rFont val="Times New Roman"/>
        <family val="1"/>
      </rPr>
      <t xml:space="preserve"> - </t>
    </r>
    <r>
      <rPr>
        <sz val="10"/>
        <rFont val="Times New Roman"/>
        <family val="1"/>
      </rPr>
      <t>provide description 
(enter as a positive)</t>
    </r>
  </si>
  <si>
    <r>
      <t xml:space="preserve">                  If </t>
    </r>
    <r>
      <rPr>
        <b/>
        <sz val="10"/>
        <rFont val="Times New Roman"/>
        <family val="1"/>
      </rPr>
      <t>yes</t>
    </r>
    <r>
      <rPr>
        <sz val="10"/>
        <rFont val="Times New Roman"/>
        <family val="1"/>
      </rPr>
      <t xml:space="preserve">, complete Part 2b below.  If </t>
    </r>
    <r>
      <rPr>
        <b/>
        <sz val="10"/>
        <rFont val="Times New Roman"/>
        <family val="1"/>
      </rPr>
      <t>no</t>
    </r>
    <r>
      <rPr>
        <sz val="10"/>
        <rFont val="Times New Roman"/>
        <family val="1"/>
      </rPr>
      <t>, proceed to Part 3.</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</si>
  <si>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</si>
  <si>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 xml:space="preserve">Explanation needed if MELP listing exceeds this attachment?  If </t>
    </r>
    <r>
      <rPr>
        <b/>
        <sz val="10"/>
        <color indexed="10"/>
        <rFont val="Times New Roman"/>
        <family val="1"/>
      </rPr>
      <t>YES</t>
    </r>
    <r>
      <rPr>
        <sz val="10"/>
        <color indexed="8"/>
        <rFont val="Times New Roman"/>
        <family val="1"/>
      </rPr>
      <t>, give explanation in space provided below.</t>
    </r>
  </si>
  <si>
    <t>1a</t>
  </si>
  <si>
    <t>Money market investments with a remaining maturity at the time of purchase of one year or less</t>
  </si>
  <si>
    <t>Construction-in-Progress</t>
  </si>
  <si>
    <t>Increase (Decrease) in Net Pension Liability (DOA will complete)</t>
  </si>
  <si>
    <r>
      <t xml:space="preserve">See </t>
    </r>
    <r>
      <rPr>
        <b/>
        <u/>
        <sz val="10"/>
        <color indexed="10"/>
        <rFont val="Times New Roman"/>
        <family val="1"/>
      </rPr>
      <t>Note A</t>
    </r>
    <r>
      <rPr>
        <sz val="10"/>
        <color indexed="10"/>
        <rFont val="Times New Roman"/>
        <family val="1"/>
      </rPr>
      <t xml:space="preserve"> below</t>
    </r>
  </si>
  <si>
    <r>
      <t xml:space="preserve">See </t>
    </r>
    <r>
      <rPr>
        <b/>
        <u/>
        <sz val="10"/>
        <color indexed="10"/>
        <rFont val="Times New Roman"/>
        <family val="1"/>
      </rPr>
      <t>Note B</t>
    </r>
    <r>
      <rPr>
        <sz val="10"/>
        <color indexed="10"/>
        <rFont val="Times New Roman"/>
        <family val="1"/>
      </rPr>
      <t xml:space="preserve"> below</t>
    </r>
  </si>
  <si>
    <t>Water Rights and / or Easements</t>
  </si>
  <si>
    <t>Water Rights and  / or Easements</t>
  </si>
  <si>
    <t>Depreciable Works of Art / Historical Treasures</t>
  </si>
  <si>
    <t>Gain (Loss) on Sale / Disposal / Impairment of Capital Asset</t>
  </si>
  <si>
    <t>Repayments of Advances / Contributions from the Commonwealth</t>
  </si>
  <si>
    <t>Net Pension Liability (DOA will complete)</t>
  </si>
  <si>
    <t>Other (Please provide a description)</t>
  </si>
  <si>
    <t>Internal Service Fund (Use drop-down list)</t>
  </si>
  <si>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</si>
  <si>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</si>
  <si>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rPr>
        <b/>
        <sz val="11"/>
        <rFont val="Times New Roman"/>
        <family val="1"/>
      </rPr>
      <t xml:space="preserve">Evaluation of Effectiveness - potential hedging derivative instruments as of June 30, 2016 - </t>
    </r>
    <r>
      <rPr>
        <sz val="11"/>
        <rFont val="Times New Roman"/>
        <family val="1"/>
      </rPr>
      <t xml:space="preserve">Were all potential hedging derivative instruments that existed as of June 30, 2016, properly evaluated for  effectiveness as of June 30, 2016, in accordance with </t>
    </r>
    <r>
      <rPr>
        <b/>
        <u/>
        <sz val="11"/>
        <rFont val="Times New Roman"/>
        <family val="1"/>
      </rPr>
      <t>GASBS No. 53</t>
    </r>
    <r>
      <rPr>
        <sz val="11"/>
        <rFont val="Times New Roman"/>
        <family val="1"/>
      </rPr>
      <t xml:space="preserve">?  If </t>
    </r>
    <r>
      <rPr>
        <b/>
        <sz val="11"/>
        <rFont val="Times New Roman"/>
        <family val="1"/>
      </rPr>
      <t>yes</t>
    </r>
    <r>
      <rPr>
        <sz val="11"/>
        <rFont val="Times New Roman"/>
        <family val="1"/>
      </rPr>
      <t xml:space="preserve">, provide a description of the method used to determine effectiveness.  If </t>
    </r>
    <r>
      <rPr>
        <b/>
        <sz val="11"/>
        <rFont val="Times New Roman"/>
        <family val="1"/>
      </rPr>
      <t>no</t>
    </r>
    <r>
      <rPr>
        <sz val="11"/>
        <rFont val="Times New Roman"/>
        <family val="1"/>
      </rPr>
      <t>, explain.</t>
    </r>
  </si>
  <si>
    <t>Business Unit</t>
  </si>
  <si>
    <t>Change in Deferred Outflows of Resources and Deferred Inflows of Resources:</t>
  </si>
  <si>
    <t>(Increase) Decrease in Deferred Outflows of Resources</t>
  </si>
  <si>
    <t>Increase (Decrease) in Deferred Inflows of Resources</t>
  </si>
  <si>
    <t xml:space="preserve"> Increase (Decrease) in Deferred Inflows of Resources</t>
  </si>
  <si>
    <t xml:space="preserve">     Change in Deferred Outflows of Resources and Deferred Inflows of Resources</t>
  </si>
  <si>
    <t>Investment Type</t>
  </si>
  <si>
    <t>Fair Value at June 30</t>
  </si>
  <si>
    <t>1h)</t>
  </si>
  <si>
    <t>Significant other observable inputs
(Level 2)</t>
  </si>
  <si>
    <t>Significant unobservable inputs
(Level 3)</t>
  </si>
  <si>
    <t>Note C</t>
  </si>
  <si>
    <t>General description and valuation technique used for items reported at fair value</t>
  </si>
  <si>
    <t>Quoted Prices in Active Markets for Identical Assets (Level 1)</t>
  </si>
  <si>
    <t>Significant Unobservable Inputs (Level 3)</t>
  </si>
  <si>
    <t>Total Fair Value                                   $ Amount</t>
  </si>
  <si>
    <t>Significant Other Observable Inputs  (Level 2)</t>
  </si>
  <si>
    <r>
      <t>GASBS No. 63</t>
    </r>
    <r>
      <rPr>
        <sz val="11"/>
        <rFont val="Times New Roman"/>
        <family val="1"/>
      </rPr>
      <t xml:space="preserve">, </t>
    </r>
    <r>
      <rPr>
        <i/>
        <sz val="11"/>
        <rFont val="Times New Roman"/>
        <family val="1"/>
      </rPr>
      <t>Financial Reporting of Deferred Outflows of Resources, Deferred Inflows of Resources, and Net Position</t>
    </r>
  </si>
  <si>
    <t xml:space="preserve">Change in Fair Value of Investments </t>
  </si>
  <si>
    <t xml:space="preserve">a)  Reported amount included in: </t>
  </si>
  <si>
    <t xml:space="preserve">            Total Nonnegotiable Certificates of Deposit (not held with the Treasurer of VA)</t>
  </si>
  <si>
    <t>TAB 1A-Part 1</t>
  </si>
  <si>
    <t>TAB 1A-Part 2 &amp; 3</t>
  </si>
  <si>
    <t>TAB 1A-Part 4 &amp; 5</t>
  </si>
  <si>
    <t>TAB 1D</t>
  </si>
  <si>
    <t>TAB 2</t>
  </si>
  <si>
    <t>TAB 7</t>
  </si>
  <si>
    <t>TAB 4</t>
  </si>
  <si>
    <t>TAB 9</t>
  </si>
  <si>
    <t>TAB 5-Part 1, Part 3</t>
  </si>
  <si>
    <t>TAB 5-Part 1, Part 2</t>
  </si>
  <si>
    <t>TAB 5-Part 1, Part 4</t>
  </si>
  <si>
    <t>TAB 12</t>
  </si>
  <si>
    <t>TAB 13</t>
  </si>
  <si>
    <t>% Fluctuation</t>
  </si>
  <si>
    <t>a)  Provide the amount in 2.2 above that is covered by federal depository insurance.  (Refer to the Attachment 23</t>
  </si>
  <si>
    <t>it should be reported as Due from Other Funds.  Amounts receivable from a different business unit should be reported</t>
  </si>
  <si>
    <r>
      <t>Note B</t>
    </r>
    <r>
      <rPr>
        <b/>
        <sz val="10"/>
        <rFont val="Times New Roman"/>
        <family val="1"/>
      </rPr>
      <t>:</t>
    </r>
    <r>
      <rPr>
        <sz val="10"/>
        <rFont val="Times New Roman"/>
        <family val="1"/>
      </rPr>
      <t xml:space="preserve">  Business Units must provide amounts by business unit on the Internal Service Funds - Conversion to Government-wide Statement of Activities (Attachment 19).</t>
    </r>
  </si>
  <si>
    <t>-Investment derivative instrument - a) held primarily for the purpose of income or profit, and b) has a present service capacity based solely on its ability to generate cash</t>
  </si>
  <si>
    <t>Provide the termination event and/or reason the hedging derivative instrument was terminated/ended during FY 2016</t>
  </si>
  <si>
    <r>
      <rPr>
        <b/>
        <sz val="10"/>
        <rFont val="Times New Roman"/>
        <family val="1"/>
      </rPr>
      <t>Are there any enhanced retirement benefits being reported that are not from a plan listed below? If yes, please provide a brief description including the name of the plan.</t>
    </r>
    <r>
      <rPr>
        <sz val="10"/>
        <rFont val="Times New Roman"/>
        <family val="1"/>
      </rPr>
      <t xml:space="preserve">  
</t>
    </r>
    <r>
      <rPr>
        <b/>
        <sz val="10"/>
        <rFont val="Times New Roman"/>
        <family val="1"/>
      </rPr>
      <t>1) the defined benefit pension plan,</t>
    </r>
    <r>
      <rPr>
        <sz val="10"/>
        <rFont val="Times New Roman"/>
        <family val="1"/>
      </rPr>
      <t xml:space="preserve"> 
</t>
    </r>
    <r>
      <rPr>
        <b/>
        <sz val="10"/>
        <rFont val="Times New Roman"/>
        <family val="1"/>
      </rPr>
      <t>2) the Commonwealth's Health Insurance Credit (HIC) program</t>
    </r>
    <r>
      <rPr>
        <sz val="10"/>
        <rFont val="Times New Roman"/>
        <family val="1"/>
      </rPr>
      <t xml:space="preserve"> where benefits are provided to retired employees based on years of service credit or towards their monthly health insurance premiums, 
</t>
    </r>
    <r>
      <rPr>
        <b/>
        <sz val="10"/>
        <rFont val="Times New Roman"/>
        <family val="1"/>
      </rPr>
      <t xml:space="preserve">3) the Commonwealth's Pre-Medicare Retiree Healthcare program </t>
    </r>
    <r>
      <rPr>
        <sz val="10"/>
        <rFont val="Times New Roman"/>
        <family val="1"/>
      </rPr>
      <t xml:space="preserve">where the Commonwealth provides a group healthcare plan to retired employees who are not yet eligible to participate in Medicare, 
</t>
    </r>
    <r>
      <rPr>
        <b/>
        <sz val="10"/>
        <rFont val="Times New Roman"/>
        <family val="1"/>
      </rPr>
      <t>4) the Commonwealth's Group Life Insurance Program</t>
    </r>
    <r>
      <rPr>
        <sz val="10"/>
        <rFont val="Times New Roman"/>
        <family val="1"/>
      </rPr>
      <t xml:space="preserve"> where the Commonwealth provides postemployment group life insurance benefits to eligible retired employees, or 
</t>
    </r>
    <r>
      <rPr>
        <b/>
        <sz val="10"/>
        <rFont val="Times New Roman"/>
        <family val="1"/>
      </rPr>
      <t>5) the Commonwealth's Disability Insurance Trust Fund program</t>
    </r>
    <r>
      <rPr>
        <sz val="10"/>
        <rFont val="Times New Roman"/>
        <family val="1"/>
      </rPr>
      <t xml:space="preserve"> where the Commonwealth provides disability insurance benefits to eligible retired state employees.</t>
    </r>
  </si>
  <si>
    <t>7a</t>
  </si>
  <si>
    <t xml:space="preserve">     Cash Equivalents not held with the Treasurer of VA</t>
  </si>
  <si>
    <t xml:space="preserve">     Investments not held with the Treasurer of VA </t>
  </si>
  <si>
    <t>Note A:  Please ensure this amount is appropriately revised to consider any Capital Assets purchased with bond proceeds that were subsequently permanently impaired.</t>
  </si>
  <si>
    <t>Note A</t>
  </si>
  <si>
    <t>Note B</t>
  </si>
  <si>
    <t>Total fair value amount</t>
  </si>
  <si>
    <t>(Linked)</t>
  </si>
  <si>
    <t>Total fair value amount using net asset value per share (or its equivalent)</t>
  </si>
  <si>
    <t>Property Management - 06010, 06040</t>
  </si>
  <si>
    <t>Fleet Management - 06100</t>
  </si>
  <si>
    <t>DOA - 06080</t>
  </si>
  <si>
    <t>General Services - 06194, 06020, 06030, 06050, 06060, 06070</t>
  </si>
  <si>
    <t>Risk Management - Various 07XXX</t>
  </si>
  <si>
    <t>VCE - 02711, 02861, 02871, 15002</t>
  </si>
  <si>
    <t xml:space="preserve">DOA - 06090, 06011, 06150 </t>
  </si>
  <si>
    <t>Fund</t>
  </si>
  <si>
    <t>Account</t>
  </si>
  <si>
    <t>List below the agency number and fund codes per Cardinal that are included in the Internal Service Fund Template.</t>
  </si>
  <si>
    <r>
      <t xml:space="preserve">Part 2)  </t>
    </r>
    <r>
      <rPr>
        <b/>
        <sz val="11"/>
        <rFont val="Times New Roman"/>
        <family val="1"/>
      </rPr>
      <t xml:space="preserve">Hedging Derivative Instrument (effective hedge) - existed as of 6/30/2016 and terminated/ended during FY 2017 - </t>
    </r>
    <r>
      <rPr>
        <sz val="11"/>
        <rFont val="Times New Roman"/>
        <family val="1"/>
      </rPr>
      <t xml:space="preserve"> Did the fund have a hedging derivative instrument-effective hedge that existed as of June 30, 2016, and it did not exist as of June 30, 2017 (i.e. terminated or ended during fiscal year 2017)? If </t>
    </r>
    <r>
      <rPr>
        <b/>
        <sz val="11"/>
        <rFont val="Times New Roman"/>
        <family val="1"/>
      </rPr>
      <t>yes</t>
    </r>
    <r>
      <rPr>
        <sz val="11"/>
        <rFont val="Times New Roman"/>
        <family val="1"/>
      </rPr>
      <t xml:space="preserve"> provide the following information:</t>
    </r>
  </si>
  <si>
    <r>
      <rPr>
        <b/>
        <sz val="11"/>
        <rFont val="Times New Roman"/>
        <family val="1"/>
      </rPr>
      <t xml:space="preserve">Derivative Instruments - activity only during FY 2017 </t>
    </r>
    <r>
      <rPr>
        <sz val="11"/>
        <rFont val="Times New Roman"/>
        <family val="1"/>
      </rPr>
      <t xml:space="preserve">- Did the fund have any other derivative instrument activity during fiscal year 2017 that is not already described in the previous parts?  If </t>
    </r>
    <r>
      <rPr>
        <b/>
        <sz val="11"/>
        <rFont val="Times New Roman"/>
        <family val="1"/>
      </rPr>
      <t>yes</t>
    </r>
    <r>
      <rPr>
        <sz val="11"/>
        <rFont val="Times New Roman"/>
        <family val="1"/>
      </rPr>
      <t>, provide a description of the derivative instrument activity during the year not already mentioned in the previous parts.</t>
    </r>
  </si>
  <si>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</si>
  <si>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</si>
  <si>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</si>
  <si>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</si>
  <si>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</si>
  <si>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</si>
  <si>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</si>
  <si>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</si>
  <si>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</si>
  <si>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</si>
  <si>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</si>
  <si>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</si>
  <si>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</si>
  <si>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</si>
  <si>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</si>
  <si>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</si>
  <si>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</si>
  <si>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</si>
  <si>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</si>
  <si>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</si>
  <si>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</si>
  <si>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</si>
  <si>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</si>
  <si>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</si>
  <si>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</si>
  <si>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</si>
  <si>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</si>
  <si>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</si>
  <si>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</si>
  <si>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</si>
  <si>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</si>
  <si>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</si>
  <si>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</si>
  <si>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</si>
  <si>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</si>
  <si>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</si>
  <si>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</si>
  <si>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</si>
  <si>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</si>
  <si>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</si>
  <si>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</si>
  <si>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</si>
  <si>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</si>
  <si>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</si>
  <si>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</si>
  <si>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</si>
  <si>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</si>
  <si>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</si>
  <si>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</si>
  <si>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</si>
  <si>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</si>
  <si>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</si>
  <si>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</si>
  <si>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</si>
  <si>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</si>
  <si>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</si>
  <si>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</si>
  <si>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</si>
  <si>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</si>
  <si>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</si>
  <si>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</si>
  <si>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</si>
  <si>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</si>
  <si>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</si>
  <si>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</si>
  <si>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</si>
  <si>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</si>
  <si>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</si>
  <si>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</si>
  <si>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</si>
  <si>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</si>
  <si>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</si>
  <si>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</si>
  <si>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</si>
  <si>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</si>
  <si>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</si>
  <si>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</si>
  <si>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</si>
  <si>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</si>
  <si>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</si>
  <si>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</si>
  <si>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</si>
  <si>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</si>
  <si>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</si>
  <si>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</si>
  <si>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</si>
  <si>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</si>
  <si>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</si>
  <si>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</si>
  <si>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</si>
  <si>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</si>
  <si>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</si>
  <si>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</si>
  <si>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</si>
  <si>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</si>
  <si>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</si>
  <si>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</si>
  <si>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</si>
  <si>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</si>
  <si>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</si>
  <si>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</si>
  <si>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</si>
  <si>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</si>
  <si>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</si>
  <si>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</si>
  <si>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</si>
  <si>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</si>
  <si>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</si>
  <si>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</si>
  <si>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</si>
  <si>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</si>
  <si>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</si>
  <si>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</si>
  <si>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</si>
  <si>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</si>
  <si>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</si>
  <si>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</si>
  <si>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</si>
  <si>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</si>
  <si>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</si>
  <si>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</si>
  <si>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</si>
  <si>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</si>
  <si>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</si>
  <si>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</si>
  <si>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</si>
  <si>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</si>
  <si>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</si>
  <si>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</si>
  <si>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</si>
  <si>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</si>
  <si>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</si>
  <si>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</si>
  <si>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</si>
  <si>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</si>
  <si>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</si>
  <si>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</si>
  <si>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</si>
  <si>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</si>
  <si>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</si>
  <si>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</si>
  <si>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</si>
  <si>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</si>
  <si>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</si>
  <si>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</si>
  <si>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</si>
  <si>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</si>
  <si>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</si>
  <si>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</si>
  <si>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</si>
  <si>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</si>
  <si>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</si>
  <si>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</si>
  <si>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</si>
  <si>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</si>
  <si>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</si>
  <si>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</si>
  <si>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</si>
  <si>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</si>
  <si>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</si>
  <si>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</si>
  <si>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</si>
  <si>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</si>
  <si>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</si>
  <si>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</si>
  <si>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</si>
  <si>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</si>
  <si>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</si>
  <si>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</si>
  <si>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</si>
  <si>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</si>
  <si>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</si>
  <si>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</si>
  <si>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</si>
  <si>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</si>
  <si>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</si>
  <si>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</si>
  <si>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</si>
  <si>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</si>
  <si>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</si>
  <si>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</si>
  <si>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</si>
  <si>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</si>
  <si>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</si>
  <si>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</si>
  <si>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</si>
  <si>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</si>
  <si>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</si>
  <si>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</si>
  <si>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</si>
  <si>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</si>
  <si>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</si>
  <si>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</si>
  <si>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</si>
  <si>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</si>
  <si>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</si>
  <si>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</si>
  <si>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</si>
  <si>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</si>
  <si>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</si>
  <si>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</si>
  <si>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</si>
  <si>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</si>
  <si>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</si>
  <si>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</si>
  <si>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</si>
  <si>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</si>
  <si>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</si>
  <si>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</si>
  <si>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</si>
  <si>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</si>
  <si>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</si>
  <si>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</si>
  <si>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</si>
  <si>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</si>
  <si>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</si>
  <si>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</si>
  <si>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</si>
  <si>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</si>
  <si>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</si>
  <si>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</si>
  <si>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</si>
  <si>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</si>
  <si>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</si>
  <si>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</si>
  <si>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</si>
  <si>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</si>
  <si>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</si>
  <si>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</si>
  <si>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</si>
  <si>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</si>
  <si>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</si>
  <si>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</si>
  <si>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</si>
  <si>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</si>
  <si>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</si>
  <si>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</si>
  <si>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</si>
  <si>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</si>
  <si>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</si>
  <si>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</si>
  <si>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</si>
  <si>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</si>
  <si>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</si>
  <si>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</si>
  <si>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</si>
  <si>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</si>
  <si>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</si>
  <si>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</si>
  <si>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</si>
  <si>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</si>
  <si>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</si>
  <si>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</si>
  <si>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</si>
  <si>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</si>
  <si>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</si>
  <si>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</si>
  <si>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</si>
  <si>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</si>
  <si>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</si>
  <si>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</si>
  <si>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</si>
  <si>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</si>
  <si>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</si>
  <si>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</si>
  <si>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</si>
  <si>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</si>
  <si>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</si>
  <si>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</si>
  <si>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</si>
  <si>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</si>
  <si>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</si>
  <si>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</si>
  <si>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</si>
  <si>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</si>
  <si>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</si>
  <si>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</si>
  <si>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</si>
  <si>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</si>
  <si>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</si>
  <si>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</si>
  <si>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</si>
  <si>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</si>
  <si>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</si>
  <si>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</si>
  <si>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</si>
  <si>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</si>
  <si>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</si>
  <si>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</si>
  <si>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</si>
  <si>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</si>
  <si>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</si>
  <si>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</si>
  <si>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</si>
  <si>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</si>
  <si>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</si>
  <si>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</si>
  <si>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</si>
  <si>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</si>
  <si>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</si>
  <si>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</si>
  <si>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</si>
  <si>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</si>
  <si>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</si>
  <si>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</si>
  <si>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</si>
  <si>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</si>
  <si>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</si>
  <si>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</si>
  <si>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</si>
  <si>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</si>
  <si>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</si>
  <si>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</si>
  <si>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</si>
  <si>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</si>
  <si>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</si>
  <si>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</si>
  <si>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</si>
  <si>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</si>
  <si>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</si>
  <si>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</si>
  <si>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</si>
  <si>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</si>
  <si>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</si>
  <si>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</si>
  <si>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</si>
  <si>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</si>
  <si>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</si>
  <si>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</si>
  <si>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</si>
  <si>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</si>
  <si>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</si>
  <si>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</si>
  <si>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</si>
  <si>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</si>
  <si>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</si>
  <si>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</si>
  <si>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</si>
  <si>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</si>
  <si>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</si>
  <si>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</si>
  <si>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</si>
  <si>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</si>
  <si>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</si>
  <si>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</si>
  <si>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</si>
  <si>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</si>
  <si>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</si>
  <si>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</si>
  <si>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</si>
  <si>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</si>
  <si>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</si>
  <si>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</si>
  <si>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</si>
  <si>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</si>
  <si>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</si>
  <si>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</si>
  <si>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</si>
  <si>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</si>
  <si>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</si>
  <si>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</si>
  <si>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</si>
  <si>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</si>
  <si>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</si>
  <si>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</si>
  <si>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</si>
  <si>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</si>
  <si>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</si>
  <si>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</si>
  <si>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</si>
  <si>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</si>
  <si>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</si>
  <si>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</si>
  <si>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</si>
  <si>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</si>
  <si>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</si>
  <si>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</si>
  <si>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</si>
  <si>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</si>
  <si>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</si>
  <si>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</si>
  <si>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</si>
  <si>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</si>
  <si>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</si>
  <si>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</si>
  <si>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</si>
  <si>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</si>
  <si>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</si>
  <si>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</si>
  <si>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</si>
  <si>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</si>
  <si>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</si>
  <si>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</si>
  <si>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</si>
  <si>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</si>
  <si>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</si>
  <si>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</si>
  <si>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</si>
  <si>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</si>
  <si>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</si>
  <si>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</si>
  <si>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</si>
  <si>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</si>
  <si>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</si>
  <si>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</si>
  <si>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</si>
  <si>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</si>
  <si>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</si>
  <si>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</si>
  <si>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</si>
  <si>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</si>
  <si>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</si>
  <si>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</si>
  <si>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</si>
  <si>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</si>
  <si>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</si>
  <si>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</si>
  <si>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</si>
  <si>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</si>
  <si>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</si>
  <si>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</si>
  <si>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</si>
  <si>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</si>
  <si>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</si>
  <si>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</si>
  <si>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</si>
  <si>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</si>
  <si>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</si>
  <si>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</si>
  <si>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</si>
  <si>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</si>
  <si>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</si>
  <si>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</si>
  <si>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</si>
  <si>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</si>
  <si>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</si>
  <si>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</si>
  <si>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</si>
  <si>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</si>
  <si>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</si>
  <si>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</si>
  <si>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</si>
  <si>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</si>
  <si>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</si>
  <si>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</si>
  <si>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</si>
  <si>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</si>
  <si>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</si>
  <si>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</si>
  <si>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</si>
  <si>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</si>
  <si>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</si>
  <si>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</si>
  <si>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</si>
  <si>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</si>
  <si>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</si>
  <si>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</si>
  <si>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</si>
  <si>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</si>
  <si>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</si>
  <si>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</si>
  <si>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</si>
  <si>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</si>
  <si>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</si>
  <si>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</si>
  <si>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</si>
  <si>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</si>
  <si>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</si>
  <si>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</si>
  <si>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</si>
  <si>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</si>
  <si>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</si>
  <si>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</si>
  <si>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</si>
  <si>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</si>
  <si>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</si>
  <si>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</si>
  <si>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</si>
  <si>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</si>
  <si>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</si>
  <si>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</si>
  <si>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</si>
  <si>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</si>
  <si>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</si>
  <si>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</si>
  <si>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</si>
  <si>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</si>
  <si>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</si>
  <si>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</si>
  <si>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</si>
  <si>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</si>
  <si>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</si>
  <si>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</si>
  <si>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</si>
  <si>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</si>
  <si>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</si>
  <si>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</si>
  <si>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</si>
  <si>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</si>
  <si>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</si>
  <si>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</si>
  <si>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</si>
  <si>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</si>
  <si>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</si>
  <si>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</si>
  <si>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</si>
  <si>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</si>
  <si>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</si>
  <si>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</si>
  <si>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</si>
  <si>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</si>
  <si>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</si>
  <si>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</si>
  <si>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</si>
  <si>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</si>
  <si>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</si>
  <si>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</si>
  <si>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</si>
  <si>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</si>
  <si>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</si>
  <si>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</si>
  <si>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</si>
  <si>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</si>
  <si>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</si>
  <si>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</si>
  <si>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</si>
  <si>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</si>
  <si>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</si>
  <si>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</si>
  <si>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</si>
  <si>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</si>
  <si>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</si>
  <si>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</si>
  <si>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</si>
  <si>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</si>
  <si>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</si>
  <si>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</si>
  <si>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</si>
  <si>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</si>
  <si>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</si>
  <si>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</si>
  <si>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</si>
  <si>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</si>
  <si>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</si>
  <si>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</si>
  <si>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</si>
  <si>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</si>
  <si>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</si>
  <si>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</si>
  <si>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</si>
  <si>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</si>
  <si>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</si>
  <si>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</si>
  <si>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</si>
  <si>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</si>
  <si>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</si>
  <si>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</si>
  <si>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</si>
  <si>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</si>
  <si>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</si>
  <si>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</si>
  <si>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</si>
  <si>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</si>
  <si>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</si>
  <si>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</si>
  <si>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</si>
  <si>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</si>
  <si>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</si>
  <si>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</si>
  <si>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</si>
  <si>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</si>
  <si>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</si>
  <si>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</si>
  <si>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</si>
  <si>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</si>
  <si>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</si>
  <si>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</si>
  <si>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</si>
  <si>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</si>
  <si>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</si>
  <si>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</si>
  <si>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</si>
  <si>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</si>
  <si>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</si>
  <si>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</si>
  <si>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</si>
  <si>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</si>
  <si>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</si>
  <si>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</si>
  <si>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</si>
  <si>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</si>
  <si>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</si>
  <si>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</si>
  <si>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</si>
  <si>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</si>
  <si>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</si>
  <si>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</si>
  <si>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</si>
  <si>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</si>
  <si>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</si>
  <si>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</si>
  <si>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</si>
  <si>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</si>
  <si>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</si>
  <si>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</si>
  <si>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</si>
  <si>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</si>
  <si>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</si>
  <si>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</si>
  <si>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</si>
  <si>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</si>
  <si>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</si>
  <si>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</si>
  <si>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</si>
  <si>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</si>
  <si>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</si>
  <si>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</si>
  <si>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</si>
  <si>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</si>
  <si>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</si>
  <si>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</si>
  <si>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</si>
  <si>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</si>
  <si>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</si>
  <si>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</si>
  <si>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</si>
  <si>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</si>
  <si>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</si>
  <si>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</si>
  <si>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</si>
  <si>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</si>
  <si>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</si>
  <si>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</si>
  <si>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</si>
  <si>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</si>
  <si>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</si>
  <si>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</si>
  <si>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</si>
  <si>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</si>
  <si>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</si>
  <si>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</si>
  <si>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</si>
  <si>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</si>
  <si>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</si>
  <si>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</si>
  <si>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</si>
  <si>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</si>
  <si>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</si>
  <si>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</si>
  <si>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</si>
  <si>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</si>
  <si>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</si>
  <si>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</si>
  <si>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</si>
  <si>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</si>
  <si>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</si>
  <si>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</si>
  <si>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</si>
  <si>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</si>
  <si>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</si>
  <si>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</si>
  <si>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</si>
  <si>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</si>
  <si>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</si>
  <si>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</si>
  <si>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</si>
  <si>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</si>
  <si>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</si>
  <si>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</si>
  <si>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</si>
  <si>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</si>
  <si>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</si>
  <si>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</si>
  <si>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</si>
  <si>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</si>
  <si>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</si>
  <si>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</si>
  <si>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</si>
  <si>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</si>
  <si>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</si>
  <si>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</si>
  <si>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</si>
  <si>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</si>
  <si>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</si>
  <si>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</si>
  <si>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</si>
  <si>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</si>
  <si>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</si>
  <si>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</si>
  <si>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</si>
  <si>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</si>
  <si>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</si>
  <si>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</si>
  <si>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</si>
  <si>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</si>
  <si>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</si>
  <si>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</si>
  <si>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</si>
  <si>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</si>
  <si>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</si>
  <si>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</si>
  <si>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</si>
  <si>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</si>
  <si>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</si>
  <si>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</si>
  <si>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</si>
  <si>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</si>
  <si>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</si>
  <si>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</si>
  <si>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</si>
  <si>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</si>
  <si>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</si>
  <si>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</si>
  <si>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</si>
  <si>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</si>
  <si>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</si>
  <si>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</si>
  <si>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</si>
  <si>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</si>
  <si>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</si>
  <si>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</si>
  <si>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</si>
  <si>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</si>
  <si>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</si>
  <si>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</si>
  <si>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</si>
  <si>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</si>
  <si>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</si>
  <si>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</si>
  <si>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</si>
  <si>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</si>
  <si>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</si>
  <si>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</si>
  <si>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</si>
  <si>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</si>
  <si>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</si>
  <si>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</si>
  <si>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</si>
  <si>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</si>
  <si>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</si>
  <si>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</si>
  <si>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</si>
  <si>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</si>
  <si>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</si>
  <si>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</si>
  <si>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</si>
  <si>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</si>
  <si>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</si>
  <si>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</si>
  <si>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</si>
  <si>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</si>
  <si>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</si>
  <si>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</si>
  <si>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</si>
  <si>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</si>
  <si>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</si>
  <si>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</si>
  <si>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</si>
  <si>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</si>
  <si>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</si>
  <si>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</si>
  <si>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</si>
  <si>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</si>
  <si>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</si>
  <si>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</si>
  <si>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</si>
  <si>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</si>
  <si>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</si>
  <si>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</si>
  <si>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</si>
  <si>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</si>
  <si>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</si>
  <si>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</si>
  <si>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</si>
  <si>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</si>
  <si>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</si>
  <si>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</si>
  <si>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</si>
  <si>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</si>
  <si>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</si>
  <si>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</si>
  <si>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</si>
  <si>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</si>
  <si>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</si>
  <si>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</si>
  <si>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</si>
  <si>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</si>
  <si>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</si>
  <si>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</si>
  <si>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</si>
  <si>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</si>
  <si>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</si>
  <si>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</si>
  <si>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</si>
  <si>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</si>
  <si>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</si>
  <si>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</si>
  <si>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</si>
  <si>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</si>
  <si>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</si>
  <si>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</si>
  <si>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</si>
  <si>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</si>
  <si>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</si>
  <si>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</si>
  <si>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</si>
  <si>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</si>
  <si>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</si>
  <si>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</si>
  <si>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</si>
  <si>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</si>
  <si>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</si>
  <si>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</si>
  <si>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</si>
  <si>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</si>
  <si>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</si>
  <si>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</si>
  <si>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</si>
  <si>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</si>
  <si>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</si>
  <si>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</si>
  <si>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</si>
  <si>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</si>
  <si>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</si>
  <si>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</si>
  <si>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</si>
  <si>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</si>
  <si>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</si>
  <si>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</si>
  <si>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</si>
  <si>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</si>
  <si>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</si>
  <si>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</si>
  <si>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</si>
  <si>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</si>
  <si>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</si>
  <si>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</si>
  <si>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</si>
  <si>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</si>
  <si>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</si>
  <si>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</si>
  <si>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</si>
  <si>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</si>
  <si>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</si>
  <si>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</si>
  <si>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</si>
  <si>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</si>
  <si>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</si>
  <si>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</si>
  <si>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</si>
  <si>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</si>
  <si>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</si>
  <si>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</si>
  <si>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</si>
  <si>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</si>
  <si>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</si>
  <si>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</si>
  <si>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</si>
  <si>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</si>
  <si>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</si>
  <si>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</si>
  <si>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</si>
  <si>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</si>
  <si>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</si>
  <si>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</si>
  <si>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</si>
  <si>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</si>
  <si>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</si>
  <si>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</si>
  <si>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</si>
  <si>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</si>
  <si>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</si>
  <si>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</si>
  <si>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</si>
  <si>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</si>
  <si>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</si>
  <si>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</si>
  <si>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</si>
  <si>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</si>
  <si>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</si>
  <si>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</si>
  <si>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</si>
  <si>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</si>
  <si>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</si>
  <si>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</si>
  <si>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</si>
  <si>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</si>
  <si>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</si>
  <si>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</si>
  <si>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</si>
  <si>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</si>
  <si>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</si>
  <si>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</si>
  <si>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</si>
  <si>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</si>
  <si>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</si>
  <si>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</si>
  <si>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</si>
  <si>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</si>
  <si>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</si>
  <si>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</si>
  <si>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</si>
  <si>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</si>
  <si>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</si>
  <si>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</si>
  <si>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</si>
  <si>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</si>
  <si>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</si>
  <si>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</si>
  <si>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</si>
  <si>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</si>
  <si>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</si>
  <si>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</si>
  <si>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</si>
  <si>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</si>
  <si>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</si>
  <si>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</si>
  <si>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</si>
  <si>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</si>
  <si>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</si>
  <si>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</si>
  <si>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</si>
  <si>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</si>
  <si>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</si>
  <si>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</si>
  <si>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</si>
  <si>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</si>
  <si>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</si>
  <si>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</si>
  <si>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</si>
  <si>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</si>
  <si>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</si>
  <si>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</si>
  <si>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</si>
  <si>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</si>
  <si>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</si>
  <si>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</si>
  <si>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</si>
  <si>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</si>
  <si>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</si>
  <si>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</si>
  <si>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</si>
  <si>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</si>
  <si>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</si>
  <si>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</si>
  <si>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</si>
  <si>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</si>
  <si>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</si>
  <si>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</si>
  <si>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</si>
  <si>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</si>
  <si>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</si>
  <si>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</si>
  <si>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</si>
  <si>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</si>
  <si>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</si>
  <si>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</si>
  <si>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</si>
  <si>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</si>
  <si>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</si>
  <si>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</si>
  <si>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</si>
  <si>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</si>
  <si>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</si>
  <si>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</si>
  <si>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</si>
  <si>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</si>
  <si>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</si>
  <si>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</si>
  <si>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</si>
  <si>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</si>
  <si>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</si>
  <si>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</si>
  <si>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</si>
  <si>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</si>
  <si>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</si>
  <si>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</si>
  <si>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</si>
  <si>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</si>
  <si>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</si>
  <si>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</si>
  <si>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</si>
  <si>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</si>
  <si>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</si>
  <si>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</si>
  <si>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</si>
  <si>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</si>
  <si>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</si>
  <si>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</si>
  <si>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</si>
  <si>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</si>
  <si>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</si>
  <si>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</si>
  <si>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</si>
  <si>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</si>
  <si>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</si>
  <si>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</si>
  <si>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</si>
  <si>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</si>
  <si>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</si>
  <si>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</si>
  <si>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</si>
  <si>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</si>
  <si>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</si>
  <si>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</si>
  <si>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</si>
  <si>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</si>
  <si>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</si>
  <si>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</si>
  <si>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</si>
  <si>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</si>
  <si>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</si>
  <si>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</si>
  <si>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</si>
  <si>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</si>
  <si>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</si>
  <si>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</si>
  <si>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</si>
  <si>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</si>
  <si>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</si>
  <si>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</si>
  <si>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</si>
  <si>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</si>
  <si>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</si>
  <si>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</si>
  <si>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</si>
  <si>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</si>
  <si>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</si>
  <si>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</si>
  <si>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</si>
  <si>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</si>
  <si>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</si>
  <si>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</si>
  <si>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</si>
  <si>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</si>
  <si>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</si>
  <si>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</si>
  <si>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</si>
  <si>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</si>
  <si>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</si>
  <si>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</si>
  <si>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</si>
  <si>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</si>
  <si>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</si>
  <si>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</si>
  <si>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</si>
  <si>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</si>
  <si>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</si>
  <si>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</si>
  <si>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</si>
  <si>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</si>
  <si>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</si>
  <si>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</si>
  <si>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</si>
  <si>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</si>
  <si>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</si>
  <si>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</si>
  <si>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</si>
  <si>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</si>
  <si>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</si>
  <si>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</si>
  <si>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</si>
  <si>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</si>
  <si>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</si>
  <si>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</si>
  <si>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</si>
  <si>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</si>
  <si>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</si>
  <si>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</si>
  <si>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</si>
  <si>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</si>
  <si>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</si>
  <si>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</si>
  <si>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</si>
  <si>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</si>
  <si>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</si>
  <si>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</si>
  <si>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</si>
  <si>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</si>
  <si>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</si>
  <si>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</si>
  <si>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</si>
  <si>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</si>
  <si>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</si>
  <si>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</si>
  <si>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</si>
  <si>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</si>
  <si>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</si>
  <si>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</si>
  <si>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</si>
  <si>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</si>
  <si>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</si>
  <si>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</si>
  <si>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</si>
  <si>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</si>
  <si>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</si>
  <si>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</si>
  <si>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</si>
  <si>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</si>
  <si>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</si>
  <si>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</si>
  <si>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</si>
  <si>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</si>
  <si>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</si>
  <si>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</si>
  <si>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</si>
  <si>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</si>
  <si>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</si>
  <si>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</si>
  <si>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</si>
  <si>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</si>
  <si>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</si>
  <si>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</si>
  <si>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</si>
  <si>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</si>
  <si>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</si>
  <si>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</si>
  <si>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</si>
  <si>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</si>
  <si>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</si>
  <si>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</si>
  <si>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</si>
  <si>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</si>
  <si>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</si>
  <si>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</si>
  <si>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</si>
  <si>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</si>
  <si>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</si>
  <si>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</si>
  <si>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</si>
  <si>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</si>
  <si>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</si>
  <si>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</si>
  <si>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</si>
  <si>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</si>
  <si>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</si>
  <si>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</si>
  <si>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</si>
  <si>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</si>
  <si>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</si>
  <si>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</si>
  <si>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</si>
  <si>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</si>
  <si>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</si>
  <si>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</si>
  <si>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</si>
  <si>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</si>
  <si>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</si>
  <si>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</si>
  <si>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</si>
  <si>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</si>
  <si>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</si>
  <si>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</si>
  <si>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</si>
  <si>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</si>
  <si>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</si>
  <si>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</si>
  <si>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</si>
  <si>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</si>
  <si>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</si>
  <si>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</si>
  <si>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</si>
  <si>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</si>
  <si>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</si>
  <si>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</si>
  <si>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</si>
  <si>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</si>
  <si>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</si>
  <si>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</si>
  <si>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</si>
  <si>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</si>
  <si>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</si>
  <si>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</si>
  <si>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</si>
  <si>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</si>
  <si>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</si>
  <si>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</si>
  <si>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</si>
  <si>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</si>
  <si>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</si>
  <si>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</si>
  <si>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</si>
  <si>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</si>
  <si>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</si>
  <si>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</si>
  <si>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</si>
  <si>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</si>
  <si>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</si>
  <si>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</si>
  <si>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</si>
  <si>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</si>
  <si>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</si>
  <si>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</si>
  <si>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</si>
  <si>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</si>
  <si>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</si>
  <si>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</si>
  <si>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</si>
  <si>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</si>
  <si>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</si>
  <si>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</si>
  <si>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</si>
  <si>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</si>
  <si>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</si>
  <si>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</si>
  <si>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</si>
  <si>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</si>
  <si>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</si>
  <si>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</si>
  <si>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</si>
  <si>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</si>
  <si>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</si>
  <si>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</si>
  <si>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</si>
  <si>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</si>
  <si>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</si>
  <si>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</si>
  <si>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</si>
  <si>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</si>
  <si>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</si>
  <si>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</si>
  <si>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</si>
  <si>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</si>
  <si>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</si>
  <si>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</si>
  <si>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</si>
  <si>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</si>
  <si>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</si>
  <si>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</si>
  <si>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</si>
  <si>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</si>
  <si>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</si>
  <si>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</si>
  <si>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</si>
  <si>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</si>
  <si>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</si>
  <si>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</si>
  <si>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</si>
  <si>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</si>
  <si>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</si>
  <si>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</si>
  <si>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</si>
  <si>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</si>
  <si>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</si>
  <si>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</si>
  <si>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</si>
  <si>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</si>
  <si>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</si>
  <si>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</si>
  <si>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</si>
  <si>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</si>
  <si>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</si>
  <si>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</si>
  <si>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</si>
  <si>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</si>
  <si>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</si>
  <si>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</si>
  <si>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</si>
  <si>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</si>
  <si>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</si>
  <si>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</si>
  <si>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</si>
  <si>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</si>
  <si>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</si>
  <si>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</si>
  <si>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</si>
  <si>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</si>
  <si>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</si>
  <si>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</si>
  <si>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</si>
  <si>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</si>
  <si>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</si>
  <si>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</si>
  <si>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</si>
  <si>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</si>
  <si>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</si>
  <si>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</si>
  <si>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</si>
  <si>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</si>
  <si>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</si>
  <si>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</si>
  <si>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</si>
  <si>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</si>
  <si>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</si>
  <si>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</si>
  <si>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</si>
  <si>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</si>
  <si>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</si>
  <si>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</si>
  <si>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</si>
  <si>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</si>
  <si>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</si>
  <si>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</si>
  <si>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</si>
  <si>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</si>
  <si>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</si>
  <si>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</si>
  <si>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</si>
  <si>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</si>
  <si>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</si>
  <si>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</si>
  <si>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</si>
  <si>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</si>
  <si>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</si>
  <si>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</si>
  <si>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</si>
  <si>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</si>
  <si>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</si>
  <si>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</si>
  <si>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</si>
  <si>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</si>
  <si>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</si>
  <si>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</si>
  <si>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</si>
  <si>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</si>
  <si>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</si>
  <si>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</si>
  <si>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</si>
  <si>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</si>
  <si>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</si>
  <si>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</si>
  <si>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</si>
  <si>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</si>
  <si>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</si>
  <si>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</si>
  <si>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</si>
  <si>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</si>
  <si>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</si>
  <si>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</si>
  <si>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</si>
  <si>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</si>
  <si>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</si>
  <si>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</si>
  <si>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</si>
  <si>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</si>
  <si>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</si>
  <si>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</si>
  <si>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</si>
  <si>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</si>
  <si>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</si>
  <si>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</si>
  <si>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</si>
  <si>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</si>
  <si>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</si>
  <si>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</si>
  <si>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</si>
  <si>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</si>
  <si>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</si>
  <si>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</si>
  <si>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</si>
  <si>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</si>
  <si>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</si>
  <si>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</si>
  <si>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</si>
  <si>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</si>
  <si>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</si>
  <si>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</si>
  <si>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</si>
  <si>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</si>
  <si>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</si>
  <si>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</si>
  <si>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</si>
  <si>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</si>
  <si>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</si>
  <si>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</si>
  <si>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</si>
  <si>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</si>
  <si>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</si>
  <si>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</si>
  <si>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</si>
  <si>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</si>
  <si>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</si>
  <si>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</si>
  <si>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</si>
  <si>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</si>
  <si>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</si>
  <si>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</si>
  <si>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</si>
  <si>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</si>
  <si>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</si>
  <si>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</si>
  <si>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</si>
  <si>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</si>
  <si>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</si>
  <si>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</si>
  <si>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</si>
  <si>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</si>
  <si>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</si>
  <si>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</si>
  <si>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</si>
  <si>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</si>
  <si>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</si>
  <si>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</si>
  <si>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</si>
  <si>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</si>
  <si>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</si>
  <si>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</si>
  <si>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</si>
  <si>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</si>
  <si>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</si>
  <si>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</si>
  <si>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</si>
  <si>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</si>
  <si>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</si>
  <si>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</si>
  <si>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</si>
  <si>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</si>
  <si>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</si>
  <si>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</si>
  <si>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</si>
  <si>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</si>
  <si>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</si>
  <si>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</si>
  <si>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</si>
  <si>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</si>
  <si>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</si>
  <si>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</si>
  <si>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</si>
  <si>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</si>
  <si>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</si>
  <si>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</si>
  <si>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</si>
  <si>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</si>
  <si>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</si>
  <si>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</si>
  <si>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</si>
  <si>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</si>
  <si>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</si>
  <si>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</si>
  <si>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</si>
  <si>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</si>
  <si>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</si>
  <si>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</si>
  <si>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</si>
  <si>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</si>
  <si>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</si>
  <si>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</si>
  <si>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</si>
  <si>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</si>
  <si>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</si>
  <si>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</si>
  <si>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</si>
  <si>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</si>
  <si>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</si>
  <si>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</si>
  <si>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</si>
  <si>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</si>
  <si>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</si>
  <si>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</si>
  <si>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</si>
  <si>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</si>
  <si>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</si>
  <si>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</si>
  <si>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</si>
  <si>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</si>
  <si>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</si>
  <si>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</si>
  <si>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</si>
  <si>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</si>
  <si>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</si>
  <si>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</si>
  <si>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</si>
  <si>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</si>
  <si>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</si>
  <si>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</si>
  <si>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</si>
  <si>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</si>
  <si>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</si>
  <si>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</si>
  <si>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</si>
  <si>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</si>
  <si>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</si>
  <si>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</si>
  <si>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</si>
  <si>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</si>
  <si>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</si>
  <si>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</si>
  <si>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</si>
  <si>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</si>
  <si>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</si>
  <si>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</si>
  <si>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</si>
  <si>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</si>
  <si>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</si>
  <si>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</si>
  <si>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</si>
  <si>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</si>
  <si>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</si>
  <si>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</si>
  <si>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</si>
  <si>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</si>
  <si>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</si>
  <si>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</si>
  <si>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</si>
  <si>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</si>
  <si>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</si>
  <si>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</si>
  <si>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</si>
  <si>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</si>
  <si>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</si>
  <si>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</si>
  <si>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</si>
  <si>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</si>
  <si>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</si>
  <si>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</si>
  <si>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</si>
  <si>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</si>
  <si>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</si>
  <si>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</si>
  <si>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</si>
  <si>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</si>
  <si>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</si>
  <si>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</si>
  <si>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</si>
  <si>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</si>
  <si>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</si>
  <si>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</si>
  <si>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</si>
  <si>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</si>
  <si>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</si>
  <si>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</si>
  <si>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</si>
  <si>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</si>
  <si>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</si>
  <si>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</si>
  <si>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</si>
  <si>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</si>
  <si>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</si>
  <si>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</si>
  <si>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</si>
  <si>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</si>
  <si>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</si>
  <si>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</si>
  <si>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</si>
  <si>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</si>
  <si>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</si>
  <si>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</si>
  <si>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</si>
  <si>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</si>
  <si>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</si>
  <si>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</si>
  <si>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</si>
  <si>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</si>
  <si>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</si>
  <si>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</si>
  <si>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</si>
  <si>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</si>
  <si>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</si>
  <si>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</si>
  <si>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</si>
  <si>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</si>
  <si>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</si>
  <si>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</si>
  <si>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</si>
  <si>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</si>
  <si>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</si>
  <si>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</si>
  <si>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</si>
  <si>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</si>
  <si>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</si>
  <si>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</si>
  <si>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</si>
  <si>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</si>
  <si>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</si>
  <si>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</si>
  <si>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</si>
  <si>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</si>
  <si>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</si>
  <si>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</si>
  <si>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</si>
  <si>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</si>
  <si>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</si>
  <si>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</si>
  <si>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</si>
  <si>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</si>
  <si>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</si>
  <si>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</si>
  <si>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</si>
  <si>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</si>
  <si>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</si>
  <si>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</si>
  <si>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</si>
  <si>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</si>
  <si>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</si>
  <si>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</si>
  <si>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</si>
  <si>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</si>
  <si>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</si>
  <si>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</si>
  <si>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</si>
  <si>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</si>
  <si>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</si>
  <si>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</si>
  <si>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</si>
  <si>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</si>
  <si>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</si>
  <si>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</si>
  <si>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</si>
  <si>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</si>
  <si>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</si>
  <si>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</si>
  <si>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</si>
  <si>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</si>
  <si>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10000</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</si>
  <si>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</si>
  <si>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</si>
  <si>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</si>
  <si>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</si>
  <si>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</si>
  <si>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</si>
  <si>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</si>
  <si>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</si>
  <si>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</si>
  <si>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</si>
  <si>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</si>
  <si>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</si>
  <si>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</si>
  <si>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</si>
  <si>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</si>
  <si>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</si>
  <si>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</si>
  <si>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</si>
  <si>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</si>
  <si>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</si>
  <si>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</si>
  <si>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</si>
  <si>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</si>
  <si>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</si>
  <si>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</si>
  <si>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</si>
  <si>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</si>
  <si>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</si>
  <si>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</si>
  <si>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</si>
  <si>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</si>
  <si>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</si>
  <si>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10900</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</si>
  <si>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</si>
  <si>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</si>
  <si>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</si>
  <si>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</si>
  <si>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</si>
  <si>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</si>
  <si>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</si>
  <si>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</si>
  <si>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</si>
  <si>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</si>
  <si>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</si>
  <si>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</si>
  <si>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</si>
  <si>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</si>
  <si>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</si>
  <si>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</si>
  <si>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12900</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</si>
  <si>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</si>
  <si>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</si>
  <si>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</si>
  <si>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</si>
  <si>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</si>
  <si>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</si>
  <si>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</si>
  <si>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</si>
  <si>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</si>
  <si>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</si>
  <si>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</si>
  <si>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</si>
  <si>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</si>
  <si>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</si>
  <si>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</si>
  <si>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</si>
  <si>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</si>
  <si>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</si>
  <si>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</si>
  <si>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r>
      <t xml:space="preserve">If </t>
    </r>
    <r>
      <rPr>
        <b/>
        <sz val="11"/>
        <rFont val="Times New Roman"/>
        <family val="1"/>
      </rPr>
      <t>no</t>
    </r>
    <r>
      <rPr>
        <sz val="11"/>
        <rFont val="Times New Roman"/>
        <family val="1"/>
      </rPr>
      <t>, then provide the reason(s) for the nonrecurring fair value measurements below.</t>
    </r>
  </si>
  <si>
    <t>Total fair value amount per Tab 1B-CE &amp; Inv Not W Treas (Linked to Tab 1B-CE &amp; Inv Not W Tr, sum of Level 1, Level 2, and Level 3)</t>
  </si>
  <si>
    <r>
      <t xml:space="preserve">If </t>
    </r>
    <r>
      <rPr>
        <b/>
        <sz val="11"/>
        <rFont val="Times New Roman"/>
        <family val="1"/>
      </rPr>
      <t>yes</t>
    </r>
    <r>
      <rPr>
        <sz val="11"/>
        <rFont val="Times New Roman"/>
        <family val="1"/>
      </rPr>
      <t>, provide a general description of these types of items.</t>
    </r>
  </si>
  <si>
    <r>
      <t xml:space="preserve">If </t>
    </r>
    <r>
      <rPr>
        <b/>
        <sz val="11"/>
        <rFont val="Times New Roman"/>
        <family val="1"/>
      </rPr>
      <t>yes</t>
    </r>
    <r>
      <rPr>
        <sz val="11"/>
        <rFont val="Times New Roman"/>
        <family val="1"/>
      </rPr>
      <t>, then provide the change and reason(s) for making the change below.</t>
    </r>
  </si>
  <si>
    <t>1i)</t>
  </si>
  <si>
    <t>1j)</t>
  </si>
  <si>
    <t>Fully benefit-responsive synthetic guaranteed investment contracts</t>
  </si>
  <si>
    <t>Investments in life insurance contracts</t>
  </si>
  <si>
    <t>Cash surrender value</t>
  </si>
  <si>
    <t xml:space="preserve">Investments in certain entities that calculate the Net Asset Value per Share (or its equivalent) </t>
  </si>
  <si>
    <t>Note D1</t>
  </si>
  <si>
    <t>Note D</t>
  </si>
  <si>
    <t xml:space="preserve">Briefly explain agency's investment policy related to foreign deposit or investment below. If the agency does have investments denominated in a foreign currency and DOES NOT have an investment policy, please provide an explanation below. This may be provided in a separate document accompanying this attachment.  </t>
  </si>
  <si>
    <t>Supranational and Non-U.S. Government Bonds and Notes</t>
  </si>
  <si>
    <t>Total cash collateralized or not collateralized (Should agree to amount reported in 2.2 above, if not an "Error" message will appear)</t>
  </si>
  <si>
    <t>List the SNAP account numbers and amounts; and any applicable Cardinal Account and Fund.</t>
  </si>
  <si>
    <t>"Tab 1C-Foreign Currency Inv."  If it does not, an "Error" message will appear in the blue box to the right.</t>
  </si>
  <si>
    <t xml:space="preserve">Is the sum of Cash Equivalents Not with the Treasurer of Virginia and Short-term Investments Not with the Treasurer of Virginia </t>
  </si>
  <si>
    <t xml:space="preserve">a)  Total cash equivalents and investments NOT with the Treasurer of Virginia reported on the template.  This amount </t>
  </si>
  <si>
    <t xml:space="preserve">    MUST agree to the total  reported amount in the tab entitled "Tab 1B - CE &amp; Inv. Not W Treas." plus Nonnegotiable</t>
  </si>
  <si>
    <t xml:space="preserve">    Certificates of Deposit reported in part 2.1 a. If it does not, an "Error" message will appear in the blue box to the right.</t>
  </si>
  <si>
    <t xml:space="preserve"> in the total cash equivalents and investments NOT with the Treasurer of Virginia listed in Part 6a above?</t>
  </si>
  <si>
    <t>Fund of the entity that is recording the transfer in</t>
  </si>
  <si>
    <t>Business Unit # transferred in from</t>
  </si>
  <si>
    <t>Fund of the entity that is recording the transfer out</t>
  </si>
  <si>
    <t>Cash Held with the Treasurer (Acct 101010)</t>
  </si>
  <si>
    <t>Cash Held with the Treasurer (Account 101010)</t>
  </si>
  <si>
    <t>on the template greater than the sum of Less Than 1 year on tab 1B plus Nonnegotiable Certificates of Deposit reported</t>
  </si>
  <si>
    <t>Business Unit# transferred out to</t>
  </si>
  <si>
    <t>Part 2.1)  Capitalized Interest</t>
  </si>
  <si>
    <t>Total Interest Cost Incurred</t>
  </si>
  <si>
    <t>Interest Cost Capitalized</t>
  </si>
  <si>
    <r>
      <t xml:space="preserve">Are insurance recoveries reported on the financial statement template that are </t>
    </r>
    <r>
      <rPr>
        <b/>
        <sz val="11"/>
        <rFont val="Times New Roman"/>
        <family val="1"/>
      </rPr>
      <t>not</t>
    </r>
    <r>
      <rPr>
        <sz val="11"/>
        <rFont val="Times New Roman"/>
        <family val="1"/>
      </rPr>
      <t xml:space="preserve"> already reported on </t>
    </r>
    <r>
      <rPr>
        <b/>
        <sz val="11"/>
        <color rgb="FF0000FF"/>
        <rFont val="Times New Roman"/>
        <family val="1"/>
      </rPr>
      <t>TAB 3, Capital Assets</t>
    </r>
    <r>
      <rPr>
        <sz val="11"/>
        <rFont val="Times New Roman"/>
        <family val="1"/>
      </rPr>
      <t xml:space="preserve">, Part 3.1D and are not for pollution remediation? (See </t>
    </r>
    <r>
      <rPr>
        <sz val="11"/>
        <color rgb="FF0000FF"/>
        <rFont val="Times New Roman"/>
        <family val="1"/>
      </rPr>
      <t>Authoritative Literature/Guidance for Preparation of GAAP Basis Fund Financial Statement Templates</t>
    </r>
    <r>
      <rPr>
        <sz val="11"/>
        <rFont val="Times New Roman"/>
        <family val="1"/>
      </rPr>
      <t xml:space="preserve">.)
</t>
    </r>
    <r>
      <rPr>
        <b/>
        <u/>
        <sz val="11"/>
        <rFont val="Times New Roman"/>
        <family val="1"/>
      </rPr>
      <t>Note:</t>
    </r>
    <r>
      <rPr>
        <sz val="11"/>
        <rFont val="Times New Roman"/>
        <family val="1"/>
      </rPr>
      <t xml:space="preserve">  This includes current year insurance recoveries for capital assets impaired in prior years.  It also includes all other insurance recoveries (i.e. recoveries from embezzlement of cash, theft).  Insurance recoveries should be reported on the financial statement template as "nonoperating revenue - Insurance Recoveries" or "extraordinary item."  On the conversion to the government-wide statement of activities, the "nonoperating revenue - other" should be reported as program revenue.  Use professional judgment to determine the appropriate financial statement template line item.
</t>
    </r>
  </si>
  <si>
    <t>Cardinal System</t>
  </si>
  <si>
    <t>Performance Budgeting System</t>
  </si>
  <si>
    <t>Total cash held by the Treasurer of Virginia (must agree to Cardinal Account 101010).</t>
  </si>
  <si>
    <t>Yes, No, or N/A</t>
  </si>
  <si>
    <t>Agency (Business Unit) Name Amount is Due To</t>
  </si>
  <si>
    <r>
      <t xml:space="preserve">If yes, provide a description of the callable bonds, outstanding balance as of year-end, description of the violation that caused the bonds to become callable, and whether they must be considered a current liability because neither of the conditions listed in </t>
    </r>
    <r>
      <rPr>
        <b/>
        <u/>
        <sz val="10"/>
        <rFont val="Times New Roman"/>
        <family val="1"/>
      </rPr>
      <t>GASBS No. 62</t>
    </r>
    <r>
      <rPr>
        <sz val="10"/>
        <rFont val="Times New Roman"/>
        <family val="1"/>
      </rPr>
      <t xml:space="preserve"> paragraph 34a and 34b are met.  DOA may request additional information in a separate communication.  </t>
    </r>
  </si>
  <si>
    <t>7b</t>
  </si>
  <si>
    <t>If there is a difference, provide an explanation for the difference.  Specify the other financial statement line items that include amounts reported using the fair value hierarchy and the fair value level used to report those amounts, if any.</t>
  </si>
  <si>
    <r>
      <t xml:space="preserve">If </t>
    </r>
    <r>
      <rPr>
        <b/>
        <sz val="11"/>
        <rFont val="Times New Roman"/>
        <family val="1"/>
      </rPr>
      <t>yes</t>
    </r>
    <r>
      <rPr>
        <sz val="11"/>
        <rFont val="Times New Roman"/>
        <family val="1"/>
      </rPr>
      <t xml:space="preserve">, provide the following information for all items that are reported on the financial statement template. Additionally, provide required footnote disclosures pursuant to </t>
    </r>
    <r>
      <rPr>
        <b/>
        <u/>
        <sz val="11"/>
        <rFont val="Times New Roman"/>
        <family val="1"/>
      </rPr>
      <t>GASBS No. 72</t>
    </r>
    <r>
      <rPr>
        <sz val="11"/>
        <rFont val="Times New Roman"/>
        <family val="1"/>
      </rPr>
      <t xml:space="preserve"> paragraph 82 in a separate Word document accompanying this attachment.</t>
    </r>
  </si>
  <si>
    <t>General description of items reported at NAV per share (or its equivalent)</t>
  </si>
  <si>
    <t>If there is a difference, provide an explanation for the difference.  Specify the other financial statement line items that include amounts reported at NAV per share (or its equivalent), if any.</t>
  </si>
  <si>
    <t>Tab 12-Net Inv in Cap Assets</t>
  </si>
  <si>
    <t>DHRM - PMIS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</si>
  <si>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</si>
  <si>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</si>
  <si>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</si>
  <si>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</si>
  <si>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</si>
  <si>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</si>
  <si>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</si>
  <si>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</si>
  <si>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</si>
  <si>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</si>
  <si>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</si>
  <si>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</si>
  <si>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</si>
  <si>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</si>
  <si>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</si>
  <si>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</si>
  <si>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</si>
  <si>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</si>
  <si>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</si>
  <si>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</si>
  <si>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</si>
  <si>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</si>
  <si>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</si>
  <si>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</si>
  <si>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</si>
  <si>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</si>
  <si>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</si>
  <si>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</si>
  <si>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</si>
  <si>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</si>
  <si>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</si>
  <si>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</si>
  <si>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</si>
  <si>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</si>
  <si>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</si>
  <si>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</si>
  <si>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</si>
  <si>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</si>
  <si>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</si>
  <si>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</si>
  <si>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</si>
  <si>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</si>
  <si>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</si>
  <si>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</si>
  <si>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</si>
  <si>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</si>
  <si>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r>
      <t xml:space="preserve">Part 1) </t>
    </r>
    <r>
      <rPr>
        <b/>
        <sz val="11"/>
        <rFont val="Times New Roman"/>
        <family val="1"/>
      </rPr>
      <t xml:space="preserve"> Derivative Instruments as of June 30, 2018, and existed as of June 30, 2017</t>
    </r>
    <r>
      <rPr>
        <sz val="11"/>
        <rFont val="Times New Roman"/>
        <family val="1"/>
      </rPr>
      <t xml:space="preserve"> - Did any of the derivative instruments that existed as of June 30, 2017, also exist as of June 30, 2017? 
 If </t>
    </r>
    <r>
      <rPr>
        <b/>
        <sz val="11"/>
        <rFont val="Times New Roman"/>
        <family val="1"/>
      </rPr>
      <t>yes</t>
    </r>
    <r>
      <rPr>
        <sz val="11"/>
        <rFont val="Times New Roman"/>
        <family val="1"/>
      </rPr>
      <t>, indicate which derivative instrument also existed as of June 30, 2017.</t>
    </r>
  </si>
  <si>
    <r>
      <t xml:space="preserve"> Part 2)  If </t>
    </r>
    <r>
      <rPr>
        <b/>
        <sz val="11"/>
        <rFont val="Times New Roman"/>
        <family val="1"/>
      </rPr>
      <t>yes</t>
    </r>
    <r>
      <rPr>
        <sz val="11"/>
        <rFont val="Times New Roman"/>
        <family val="1"/>
      </rPr>
      <t xml:space="preserve"> to 12b - Part 1, was any investment derivative instrument - ineffective hedge as of June 30, 2018 considered a hedging derivative instrument - effective hedge as of June 30, 2017 (i.e. became an ineffective hedge as of June 30, 2018)?  If </t>
    </r>
    <r>
      <rPr>
        <b/>
        <sz val="11"/>
        <rFont val="Times New Roman"/>
        <family val="1"/>
      </rPr>
      <t>no</t>
    </r>
    <r>
      <rPr>
        <sz val="11"/>
        <rFont val="Times New Roman"/>
        <family val="1"/>
      </rPr>
      <t>, skip to 12c.</t>
    </r>
  </si>
  <si>
    <r>
      <t xml:space="preserve">Part 3) If </t>
    </r>
    <r>
      <rPr>
        <b/>
        <sz val="11"/>
        <rFont val="Times New Roman"/>
        <family val="1"/>
      </rPr>
      <t>yes</t>
    </r>
    <r>
      <rPr>
        <sz val="11"/>
        <rFont val="Times New Roman"/>
        <family val="1"/>
      </rPr>
      <t xml:space="preserve"> to 12b - Part 2, was the deferral amount reported within an appropriate investment revenue template line item upon reclassification for FY 2018(ineffective hedge - FYE 6/30/2018 &amp; effective hedge - FYE 6/30/2017)?  If yes, provide the deferral amount reported and the appropriate investment revenue template line item used for reclassification for FY 2018.  If </t>
    </r>
    <r>
      <rPr>
        <b/>
        <sz val="11"/>
        <rFont val="Times New Roman"/>
        <family val="1"/>
      </rPr>
      <t>no</t>
    </r>
    <r>
      <rPr>
        <sz val="11"/>
        <rFont val="Times New Roman"/>
        <family val="1"/>
      </rPr>
      <t>, explain.</t>
    </r>
  </si>
  <si>
    <r>
      <t xml:space="preserve">Part 1) </t>
    </r>
    <r>
      <rPr>
        <b/>
        <sz val="11"/>
        <rFont val="Times New Roman"/>
        <family val="1"/>
      </rPr>
      <t xml:space="preserve"> Derivative Instruments as of June 30, 2017, that ended or terminated during FY 2018 </t>
    </r>
    <r>
      <rPr>
        <sz val="11"/>
        <rFont val="Times New Roman"/>
        <family val="1"/>
      </rPr>
      <t xml:space="preserve">- Did the fund have any derivative instruments as of June 30, 2017 as defined in </t>
    </r>
    <r>
      <rPr>
        <b/>
        <u/>
        <sz val="11"/>
        <rFont val="Times New Roman"/>
        <family val="1"/>
      </rPr>
      <t>GASBS No. 53</t>
    </r>
    <r>
      <rPr>
        <u/>
        <sz val="11"/>
        <rFont val="Times New Roman"/>
        <family val="1"/>
      </rPr>
      <t xml:space="preserve"> </t>
    </r>
    <r>
      <rPr>
        <sz val="11"/>
        <rFont val="Times New Roman"/>
        <family val="1"/>
      </rPr>
      <t xml:space="preserve">that did not exist as of June 30, 2018?  
If </t>
    </r>
    <r>
      <rPr>
        <b/>
        <sz val="11"/>
        <rFont val="Times New Roman"/>
        <family val="1"/>
      </rPr>
      <t>yes</t>
    </r>
    <r>
      <rPr>
        <sz val="11"/>
        <rFont val="Times New Roman"/>
        <family val="1"/>
      </rPr>
      <t xml:space="preserve">, indicate the overall derivative instrument category and provide the type (i.e. interest rate swap, interest rate lock, etc..) and notional amount in the space provided.  If </t>
    </r>
    <r>
      <rPr>
        <b/>
        <sz val="11"/>
        <rFont val="Times New Roman"/>
        <family val="1"/>
      </rPr>
      <t>no</t>
    </r>
    <r>
      <rPr>
        <sz val="11"/>
        <rFont val="Times New Roman"/>
        <family val="1"/>
      </rPr>
      <t>, skip to 12d.</t>
    </r>
  </si>
  <si>
    <t>For any extraordinary or special items, are they appropriately recorded on the template per the descriptions below:</t>
  </si>
  <si>
    <t xml:space="preserve">Argentine Peso </t>
  </si>
  <si>
    <t xml:space="preserve">Mexican Peso </t>
  </si>
  <si>
    <t xml:space="preserve">South African Rand </t>
  </si>
  <si>
    <t>Refer to applicable Implementation Guide issued by GASB, if additional guidance is necessary.</t>
  </si>
  <si>
    <r>
      <t>Recognition Benchmarks</t>
    </r>
    <r>
      <rPr>
        <strike/>
        <sz val="11"/>
        <rFont val="Times New Roman"/>
        <family val="1"/>
      </rPr>
      <t xml:space="preserve">:  Have any of the following benchmarks as defined by </t>
    </r>
    <r>
      <rPr>
        <b/>
        <strike/>
        <u/>
        <sz val="11"/>
        <rFont val="Times New Roman"/>
        <family val="1"/>
      </rPr>
      <t>GASBS No. 49</t>
    </r>
    <r>
      <rPr>
        <b/>
        <strike/>
        <sz val="11"/>
        <rFont val="Times New Roman"/>
        <family val="1"/>
      </rPr>
      <t xml:space="preserve"> </t>
    </r>
    <r>
      <rPr>
        <strike/>
        <sz val="11"/>
        <rFont val="Times New Roman"/>
        <family val="1"/>
      </rPr>
      <t xml:space="preserve">occurred:  1) receipt of an administrative order, 2) participation, as a responsible party or a potentially responsible party, in the site assessment or investigation, 3) completion of a corrective measures feasibility study, 4) issuance of an authorization to proceed, and / or 5) remediation design and implementation, through and including operation and maintenance, and postremediation monitoring? 
 If </t>
    </r>
    <r>
      <rPr>
        <b/>
        <strike/>
        <sz val="11"/>
        <rFont val="Times New Roman"/>
        <family val="1"/>
      </rPr>
      <t>yes</t>
    </r>
    <r>
      <rPr>
        <strike/>
        <sz val="11"/>
        <rFont val="Times New Roman"/>
        <family val="1"/>
      </rPr>
      <t xml:space="preserve">, continue to 10c.  If </t>
    </r>
    <r>
      <rPr>
        <b/>
        <strike/>
        <sz val="11"/>
        <rFont val="Times New Roman"/>
        <family val="1"/>
      </rPr>
      <t>no</t>
    </r>
    <r>
      <rPr>
        <strike/>
        <sz val="11"/>
        <rFont val="Times New Roman"/>
        <family val="1"/>
      </rPr>
      <t>, skip to 10d.</t>
    </r>
  </si>
  <si>
    <r>
      <t>Measurement</t>
    </r>
    <r>
      <rPr>
        <strike/>
        <sz val="11"/>
        <rFont val="Times New Roman"/>
        <family val="1"/>
      </rPr>
      <t xml:space="preserve">:   If </t>
    </r>
    <r>
      <rPr>
        <b/>
        <strike/>
        <sz val="11"/>
        <rFont val="Times New Roman"/>
        <family val="1"/>
      </rPr>
      <t>yes</t>
    </r>
    <r>
      <rPr>
        <strike/>
        <sz val="11"/>
        <rFont val="Times New Roman"/>
        <family val="1"/>
      </rPr>
      <t xml:space="preserve"> to 10b, has the pollution remediation liability been reasonably estimated in accordance with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explain the nature of the pollution remediation liabilities that cannot be reasonably estimated and must be disclosed.</t>
    </r>
  </si>
  <si>
    <r>
      <t>Remeasurement</t>
    </r>
    <r>
      <rPr>
        <strike/>
        <sz val="11"/>
        <rFont val="Times New Roman"/>
        <family val="1"/>
      </rPr>
      <t xml:space="preserve">:  Has the agency determined if a previous estimate of the pollution remediation liability should be revised based on recognition benchmarks being met or new information indicates a change is needed as required by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xml:space="preserve">, explain. </t>
    </r>
  </si>
  <si>
    <r>
      <t xml:space="preserve">Expected Recoveries:  </t>
    </r>
    <r>
      <rPr>
        <strike/>
        <sz val="11"/>
        <rFont val="Times New Roman"/>
        <family val="1"/>
      </rPr>
      <t xml:space="preserve">Does the agency expect recoveries as described in </t>
    </r>
    <r>
      <rPr>
        <b/>
        <strike/>
        <u/>
        <sz val="11"/>
        <rFont val="Times New Roman"/>
        <family val="1"/>
      </rPr>
      <t>GASBS No. 49</t>
    </r>
    <r>
      <rPr>
        <strike/>
        <sz val="11"/>
        <rFont val="Times New Roman"/>
        <family val="1"/>
      </rPr>
      <t xml:space="preserve"> paragraphs 19 to 20 from other responsible parties and / or insurance recoveries from policies that indemnify the agency for its pollution remediation obligations?  If </t>
    </r>
    <r>
      <rPr>
        <b/>
        <strike/>
        <sz val="11"/>
        <rFont val="Times New Roman"/>
        <family val="1"/>
      </rPr>
      <t>yes</t>
    </r>
    <r>
      <rPr>
        <strike/>
        <sz val="11"/>
        <rFont val="Times New Roman"/>
        <family val="1"/>
      </rPr>
      <t xml:space="preserve">, provide the following:  expected recovery amount, source of expected recovery, and indicate if amount is realized or realizable. </t>
    </r>
  </si>
  <si>
    <r>
      <t>Accounting for Recoveries that Become Expected Later</t>
    </r>
    <r>
      <rPr>
        <strike/>
        <sz val="11"/>
        <rFont val="Times New Roman"/>
        <family val="1"/>
      </rPr>
      <t xml:space="preserve">:  Did the agency have any recoveries from responsible parties and / or insurance recoveries for pollution remediation liabilities that </t>
    </r>
    <r>
      <rPr>
        <b/>
        <strike/>
        <sz val="11"/>
        <rFont val="Times New Roman"/>
        <family val="1"/>
      </rPr>
      <t>no longer exist</t>
    </r>
    <r>
      <rPr>
        <strike/>
        <sz val="11"/>
        <rFont val="Times New Roman"/>
        <family val="1"/>
      </rPr>
      <t xml:space="preserve"> as described in </t>
    </r>
    <r>
      <rPr>
        <b/>
        <strike/>
        <u/>
        <sz val="11"/>
        <rFont val="Times New Roman"/>
        <family val="1"/>
      </rPr>
      <t>GASBS No. 49</t>
    </r>
    <r>
      <rPr>
        <b/>
        <strike/>
        <sz val="11"/>
        <rFont val="Times New Roman"/>
        <family val="1"/>
      </rPr>
      <t xml:space="preserve"> </t>
    </r>
    <r>
      <rPr>
        <strike/>
        <sz val="11"/>
        <rFont val="Times New Roman"/>
        <family val="1"/>
      </rPr>
      <t xml:space="preserve">paragraph 21?  If </t>
    </r>
    <r>
      <rPr>
        <b/>
        <strike/>
        <sz val="11"/>
        <rFont val="Times New Roman"/>
        <family val="1"/>
      </rPr>
      <t>yes</t>
    </r>
    <r>
      <rPr>
        <strike/>
        <sz val="11"/>
        <rFont val="Times New Roman"/>
        <family val="1"/>
      </rPr>
      <t>, provide a description, source of recoveries, $ amount, and FST line items these amounts are reported on.</t>
    </r>
  </si>
  <si>
    <r>
      <t>Capitalization of Pollution Remediation Outlays</t>
    </r>
    <r>
      <rPr>
        <strike/>
        <sz val="11"/>
        <rFont val="Times New Roman"/>
        <family val="1"/>
      </rPr>
      <t xml:space="preserve">: Do any of the estimated pollution remediation outlays meet the capitalization criteria for goods / services as defined below?  Pollution remediation outlays should be capitalized when goods or services are acquired and included in </t>
    </r>
    <r>
      <rPr>
        <b/>
        <strike/>
        <sz val="11"/>
        <color indexed="12"/>
        <rFont val="Times New Roman"/>
        <family val="1"/>
      </rPr>
      <t>Tab 3-Capital Assets</t>
    </r>
    <r>
      <rPr>
        <strike/>
        <sz val="11"/>
        <rFont val="Times New Roman"/>
        <family val="1"/>
      </rPr>
      <t xml:space="preserve"> if acquired for any of the following:
• To prepare property in anticipation of a sale.
• To prepare property for use when the property was acquired with known or suspected pollution that was expected to be remediated.
• To perform pollution remediation that restores a pollution-caused decline in service utility that was recognized as an asset impairment.
• To acquire property, plant, and equipment that have a future alternative use.
Do not record a pollution remediation liability for expected outlays that can be capitalized.  Capitalize actual amounts when goods / services are acquired.  </t>
    </r>
  </si>
  <si>
    <r>
      <t>Reporting</t>
    </r>
    <r>
      <rPr>
        <strike/>
        <sz val="11"/>
        <rFont val="Times New Roman"/>
        <family val="1"/>
      </rPr>
      <t xml:space="preserve">:  Were pollution remediation obligations, outlays, and recoveries properly reported on the financial statement template in accordance with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explain.</t>
    </r>
  </si>
  <si>
    <r>
      <t>Disclosures</t>
    </r>
    <r>
      <rPr>
        <strike/>
        <sz val="11"/>
        <rFont val="Times New Roman"/>
        <family val="1"/>
      </rPr>
      <t xml:space="preserve">:  Provide the following information and disclosures as required by </t>
    </r>
    <r>
      <rPr>
        <b/>
        <strike/>
        <u/>
        <sz val="11"/>
        <rFont val="Times New Roman"/>
        <family val="1"/>
      </rPr>
      <t>GASBS No. 49</t>
    </r>
    <r>
      <rPr>
        <strike/>
        <u/>
        <sz val="11"/>
        <rFont val="Times New Roman"/>
        <family val="1"/>
      </rPr>
      <t>:</t>
    </r>
  </si>
  <si>
    <r>
      <t xml:space="preserve">3)  Less: If applicable - expected recoveries not yet realized or realizable (see </t>
    </r>
    <r>
      <rPr>
        <b/>
        <strike/>
        <u/>
        <sz val="11"/>
        <rFont val="Times New Roman"/>
        <family val="1"/>
      </rPr>
      <t>GASBS No. 49</t>
    </r>
    <r>
      <rPr>
        <strike/>
        <sz val="11"/>
        <rFont val="Times New Roman"/>
        <family val="1"/>
      </rPr>
      <t xml:space="preserve"> paragraph 19a) - enter as a negative amount</t>
    </r>
  </si>
  <si>
    <r>
      <rPr>
        <b/>
        <strike/>
        <sz val="11"/>
        <rFont val="Times New Roman"/>
        <family val="1"/>
      </rPr>
      <t>Reporting</t>
    </r>
    <r>
      <rPr>
        <strike/>
        <sz val="11"/>
        <rFont val="Times New Roman"/>
        <family val="1"/>
      </rPr>
      <t xml:space="preserve"> - Were all fund derivative instrument activity/balances during FY 2018 and as of June 30, 2018, properly reported on the template in accordance with </t>
    </r>
    <r>
      <rPr>
        <b/>
        <strike/>
        <u/>
        <sz val="11"/>
        <rFont val="Times New Roman"/>
        <family val="1"/>
      </rPr>
      <t>GASBS No. 53</t>
    </r>
    <r>
      <rPr>
        <strike/>
        <sz val="11"/>
        <rFont val="Times New Roman"/>
        <family val="1"/>
      </rPr>
      <t xml:space="preserve">?  If </t>
    </r>
    <r>
      <rPr>
        <b/>
        <strike/>
        <sz val="11"/>
        <rFont val="Times New Roman"/>
        <family val="1"/>
      </rPr>
      <t>no</t>
    </r>
    <r>
      <rPr>
        <strike/>
        <sz val="11"/>
        <rFont val="Times New Roman"/>
        <family val="1"/>
      </rPr>
      <t>, explain.</t>
    </r>
  </si>
  <si>
    <r>
      <t xml:space="preserve">If </t>
    </r>
    <r>
      <rPr>
        <b/>
        <strike/>
        <sz val="11"/>
        <rFont val="Times New Roman"/>
        <family val="1"/>
      </rPr>
      <t>yes</t>
    </r>
    <r>
      <rPr>
        <strike/>
        <sz val="11"/>
        <rFont val="Times New Roman"/>
        <family val="1"/>
      </rPr>
      <t xml:space="preserve"> to 13g, is the fund (operator) compensated directly from the users of the facility?  The users in this context is anyone outside of state government.</t>
    </r>
  </si>
  <si>
    <r>
      <t xml:space="preserve">If </t>
    </r>
    <r>
      <rPr>
        <b/>
        <strike/>
        <sz val="11"/>
        <rFont val="Times New Roman"/>
        <family val="1"/>
      </rPr>
      <t>yes</t>
    </r>
    <r>
      <rPr>
        <strike/>
        <sz val="11"/>
        <rFont val="Times New Roman"/>
        <family val="1"/>
      </rPr>
      <t xml:space="preserve"> to 13h, does the transferor determine or have the ability to modify or approve what services the fund (operator) provides, to whom the fund (operator) provides the services, and the rates charged for the services?</t>
    </r>
  </si>
  <si>
    <r>
      <t xml:space="preserve">If </t>
    </r>
    <r>
      <rPr>
        <b/>
        <strike/>
        <sz val="11"/>
        <rFont val="Times New Roman"/>
        <family val="1"/>
      </rPr>
      <t>yes</t>
    </r>
    <r>
      <rPr>
        <strike/>
        <sz val="11"/>
        <rFont val="Times New Roman"/>
        <family val="1"/>
      </rPr>
      <t xml:space="preserve"> to 13i, is the transferor entitled to significant residual interest in the service utility of the facility at the end of the arrangement?</t>
    </r>
  </si>
  <si>
    <r>
      <t xml:space="preserve">If </t>
    </r>
    <r>
      <rPr>
        <b/>
        <strike/>
        <sz val="11"/>
        <rFont val="Times New Roman"/>
        <family val="1"/>
      </rPr>
      <t>yes</t>
    </r>
    <r>
      <rPr>
        <strike/>
        <sz val="11"/>
        <rFont val="Times New Roman"/>
        <family val="1"/>
      </rPr>
      <t xml:space="preserve"> to questions 13g through 13j, are </t>
    </r>
    <r>
      <rPr>
        <b/>
        <strike/>
        <sz val="11"/>
        <rFont val="Times New Roman"/>
        <family val="1"/>
      </rPr>
      <t>all</t>
    </r>
    <r>
      <rPr>
        <strike/>
        <sz val="11"/>
        <rFont val="Times New Roman"/>
        <family val="1"/>
      </rPr>
      <t xml:space="preserve"> contracts that qualify as a Service Concession Arrangement in which the fund is the operator properly reported on the financial statement template in accordance with </t>
    </r>
    <r>
      <rPr>
        <b/>
        <strike/>
        <u/>
        <sz val="11"/>
        <rFont val="Times New Roman"/>
        <family val="1"/>
      </rPr>
      <t>GASBS No. 60</t>
    </r>
    <r>
      <rPr>
        <strike/>
        <sz val="11"/>
        <rFont val="Times New Roman"/>
        <family val="1"/>
      </rPr>
      <t>?  If no, explain below.</t>
    </r>
  </si>
  <si>
    <r>
      <rPr>
        <b/>
        <strike/>
        <sz val="11"/>
        <rFont val="Times New Roman"/>
        <family val="1"/>
      </rPr>
      <t>If yes to the first four questions 13g through 13j</t>
    </r>
    <r>
      <rPr>
        <strike/>
        <sz val="11"/>
        <rFont val="Times New Roman"/>
        <family val="1"/>
      </rPr>
      <t xml:space="preserve">  for a single contract that qualifies as a service concession arrangement in which the fund is the operator, DOA will provide a separate communication to obtain additional information.</t>
    </r>
  </si>
  <si>
    <r>
      <rPr>
        <b/>
        <strike/>
        <u/>
        <sz val="11"/>
        <rFont val="Times New Roman"/>
        <family val="1"/>
      </rPr>
      <t>GASBS No. 65</t>
    </r>
    <r>
      <rPr>
        <b/>
        <strike/>
        <sz val="11"/>
        <rFont val="Times New Roman"/>
        <family val="1"/>
      </rPr>
      <t xml:space="preserve">, </t>
    </r>
    <r>
      <rPr>
        <i/>
        <strike/>
        <sz val="11"/>
        <rFont val="Times New Roman"/>
        <family val="1"/>
      </rPr>
      <t>Items Previously Reported as Assets and Liabilities</t>
    </r>
  </si>
  <si>
    <r>
      <rPr>
        <b/>
        <strike/>
        <u/>
        <sz val="11"/>
        <rFont val="Times New Roman"/>
        <family val="1"/>
      </rPr>
      <t>GASBS No. 65</t>
    </r>
    <r>
      <rPr>
        <strike/>
        <sz val="11"/>
        <rFont val="Times New Roman"/>
        <family val="1"/>
      </rPr>
      <t xml:space="preserve"> requires certain assets and liabilities to be reported on one of the following applicable line items:
-  deferred outflows of resources (see question 14a)
-  deferred inflows of resources (see question 14b)
-  expenses or expenditures (see question 15a)
-  revenues (see question 15b)
Question 14 includes questions regarding the reporting of deferred outflows of resources and deferred inflows of resources per </t>
    </r>
    <r>
      <rPr>
        <b/>
        <strike/>
        <u/>
        <sz val="11"/>
        <rFont val="Times New Roman"/>
        <family val="1"/>
      </rPr>
      <t>GASBS No. 65</t>
    </r>
    <r>
      <rPr>
        <strike/>
        <sz val="11"/>
        <rFont val="Times New Roman"/>
        <family val="1"/>
      </rPr>
      <t xml:space="preserve">.  
Question 15  has questions regarding the reporting of expenses or revenues in accordance with </t>
    </r>
    <r>
      <rPr>
        <b/>
        <strike/>
        <u/>
        <sz val="11"/>
        <rFont val="Times New Roman"/>
        <family val="1"/>
      </rPr>
      <t>GASBS No. 65</t>
    </r>
    <r>
      <rPr>
        <strike/>
        <sz val="11"/>
        <rFont val="Times New Roman"/>
        <family val="1"/>
      </rPr>
      <t xml:space="preserve">.    DOA may request additional information in a separate communication.   </t>
    </r>
  </si>
  <si>
    <r>
      <rPr>
        <b/>
        <strike/>
        <sz val="11"/>
        <rFont val="Times New Roman"/>
        <family val="1"/>
      </rPr>
      <t>Expenses  for FY 2018</t>
    </r>
    <r>
      <rPr>
        <strike/>
        <sz val="11"/>
        <rFont val="Times New Roman"/>
        <family val="1"/>
      </rPr>
      <t xml:space="preserve">:  Does the fund have any items that would  have to be reported as expenses in accordance with </t>
    </r>
    <r>
      <rPr>
        <b/>
        <strike/>
        <u/>
        <sz val="11"/>
        <rFont val="Times New Roman"/>
        <family val="1"/>
      </rPr>
      <t>GASBS No. 65</t>
    </r>
    <r>
      <rPr>
        <strike/>
        <sz val="11"/>
        <rFont val="Times New Roman"/>
        <family val="1"/>
      </rPr>
      <t xml:space="preserve"> for FY 2018?  If yes, provide the amounts below.</t>
    </r>
  </si>
  <si>
    <r>
      <t xml:space="preserve">1) </t>
    </r>
    <r>
      <rPr>
        <b/>
        <strike/>
        <sz val="11"/>
        <rFont val="Times New Roman"/>
        <family val="1"/>
      </rPr>
      <t>Debt Issuance Costs</t>
    </r>
    <r>
      <rPr>
        <strike/>
        <sz val="11"/>
        <rFont val="Times New Roman"/>
        <family val="1"/>
      </rPr>
      <t xml:space="preserve"> - Debt issuance costs, excluding prepaid insurance costs (</t>
    </r>
    <r>
      <rPr>
        <b/>
        <strike/>
        <u/>
        <sz val="11"/>
        <rFont val="Times New Roman"/>
        <family val="1"/>
      </rPr>
      <t>GASBS No. 65</t>
    </r>
    <r>
      <rPr>
        <strike/>
        <sz val="11"/>
        <rFont val="Times New Roman"/>
        <family val="1"/>
      </rPr>
      <t xml:space="preserve"> paragraphs 14 &amp; 15)
</t>
    </r>
  </si>
  <si>
    <r>
      <t xml:space="preserve">2) </t>
    </r>
    <r>
      <rPr>
        <b/>
        <strike/>
        <sz val="11"/>
        <rFont val="Times New Roman"/>
        <family val="1"/>
      </rPr>
      <t>Operating Leases</t>
    </r>
    <r>
      <rPr>
        <strike/>
        <sz val="11"/>
        <rFont val="Times New Roman"/>
        <family val="1"/>
      </rPr>
      <t xml:space="preserve"> - Lessor's initial direct costs of an operating lease  (</t>
    </r>
    <r>
      <rPr>
        <b/>
        <strike/>
        <u/>
        <sz val="11"/>
        <rFont val="Times New Roman"/>
        <family val="1"/>
      </rPr>
      <t>GASBS No. 65</t>
    </r>
    <r>
      <rPr>
        <strike/>
        <sz val="11"/>
        <rFont val="Times New Roman"/>
        <family val="1"/>
      </rPr>
      <t xml:space="preserve"> paragraphs 16 &amp; 17)</t>
    </r>
  </si>
  <si>
    <r>
      <t xml:space="preserve">3) </t>
    </r>
    <r>
      <rPr>
        <b/>
        <strike/>
        <sz val="11"/>
        <rFont val="Times New Roman"/>
        <family val="1"/>
      </rPr>
      <t>Insurance Activities</t>
    </r>
    <r>
      <rPr>
        <strike/>
        <sz val="11"/>
        <rFont val="Times New Roman"/>
        <family val="1"/>
      </rPr>
      <t xml:space="preserve"> - Acquisition costs related to insurance activities  (</t>
    </r>
    <r>
      <rPr>
        <b/>
        <strike/>
        <u/>
        <sz val="11"/>
        <rFont val="Times New Roman"/>
        <family val="1"/>
      </rPr>
      <t>GASBS No. 65</t>
    </r>
    <r>
      <rPr>
        <strike/>
        <sz val="11"/>
        <rFont val="Times New Roman"/>
        <family val="1"/>
      </rPr>
      <t xml:space="preserve"> paragraphs 19 &amp; 20)
</t>
    </r>
    <r>
      <rPr>
        <b/>
        <strike/>
        <u/>
        <sz val="11"/>
        <rFont val="Times New Roman"/>
        <family val="1"/>
      </rPr>
      <t>Note</t>
    </r>
    <r>
      <rPr>
        <strike/>
        <sz val="11"/>
        <rFont val="Times New Roman"/>
        <family val="1"/>
      </rPr>
      <t xml:space="preserve">:  </t>
    </r>
    <r>
      <rPr>
        <b/>
        <strike/>
        <u/>
        <sz val="11"/>
        <rFont val="Times New Roman"/>
        <family val="1"/>
      </rPr>
      <t>GASBS No. 62</t>
    </r>
    <r>
      <rPr>
        <strike/>
        <sz val="11"/>
        <rFont val="Times New Roman"/>
        <family val="1"/>
      </rPr>
      <t xml:space="preserve"> paragraphs 400 - 430 establish accounting and financial reporting standards for short-duration insurance contracts underwritten by insurance entities other than public entity risk pools  and </t>
    </r>
    <r>
      <rPr>
        <b/>
        <strike/>
        <u/>
        <sz val="11"/>
        <rFont val="Times New Roman"/>
        <family val="1"/>
      </rPr>
      <t>GASBS No. 10</t>
    </r>
    <r>
      <rPr>
        <strike/>
        <sz val="11"/>
        <rFont val="Times New Roman"/>
        <family val="1"/>
      </rPr>
      <t xml:space="preserve"> paragraphs 17-51 &amp; 81 establish accounting and financial reporting standards for public entity risk pools.  In addition, </t>
    </r>
    <r>
      <rPr>
        <b/>
        <strike/>
        <u/>
        <sz val="11"/>
        <rFont val="Times New Roman"/>
        <family val="1"/>
      </rPr>
      <t>GASBS No. 62</t>
    </r>
    <r>
      <rPr>
        <strike/>
        <sz val="11"/>
        <rFont val="Times New Roman"/>
        <family val="1"/>
      </rPr>
      <t xml:space="preserve"> paragraph 412 and </t>
    </r>
    <r>
      <rPr>
        <b/>
        <strike/>
        <u/>
        <sz val="11"/>
        <rFont val="Times New Roman"/>
        <family val="1"/>
      </rPr>
      <t>GASBS No. 10</t>
    </r>
    <r>
      <rPr>
        <strike/>
        <sz val="11"/>
        <rFont val="Times New Roman"/>
        <family val="1"/>
      </rPr>
      <t xml:space="preserve"> paragraph 28 define acquisition costs as costs that vary with and are primarily related to the acquisition of new and renewal insurance contracts.  Commissions and other costs (i.e.,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</si>
  <si>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4) </t>
    </r>
    <r>
      <rPr>
        <b/>
        <strike/>
        <sz val="11"/>
        <rFont val="Times New Roman"/>
        <family val="1"/>
      </rPr>
      <t xml:space="preserve">Lending Activities </t>
    </r>
    <r>
      <rPr>
        <strike/>
        <sz val="11"/>
        <rFont val="Times New Roman"/>
        <family val="1"/>
      </rPr>
      <t>- Direct loan origination costs   (</t>
    </r>
    <r>
      <rPr>
        <b/>
        <strike/>
        <u/>
        <sz val="11"/>
        <rFont val="Times New Roman"/>
        <family val="1"/>
      </rPr>
      <t>GASBS No. 65</t>
    </r>
    <r>
      <rPr>
        <strike/>
        <sz val="11"/>
        <rFont val="Times New Roman"/>
        <family val="1"/>
      </rPr>
      <t xml:space="preserve"> paragraphs 21 &amp; 22)</t>
    </r>
  </si>
  <si>
    <r>
      <t xml:space="preserve">5) </t>
    </r>
    <r>
      <rPr>
        <b/>
        <strike/>
        <sz val="11"/>
        <rFont val="Times New Roman"/>
        <family val="1"/>
      </rPr>
      <t>Lending Activities</t>
    </r>
    <r>
      <rPr>
        <strike/>
        <sz val="11"/>
        <rFont val="Times New Roman"/>
        <family val="1"/>
      </rPr>
      <t xml:space="preserve"> - Fees paid related to the purchase of a loan or group of loans (</t>
    </r>
    <r>
      <rPr>
        <b/>
        <strike/>
        <u/>
        <sz val="11"/>
        <rFont val="Times New Roman"/>
        <family val="1"/>
      </rPr>
      <t>GASBS No. 65</t>
    </r>
    <r>
      <rPr>
        <strike/>
        <sz val="11"/>
        <rFont val="Times New Roman"/>
        <family val="1"/>
      </rPr>
      <t xml:space="preserve"> paragraphs 21 &amp;  24)</t>
    </r>
  </si>
  <si>
    <r>
      <t xml:space="preserve">6) </t>
    </r>
    <r>
      <rPr>
        <b/>
        <strike/>
        <sz val="11"/>
        <rFont val="Times New Roman"/>
        <family val="1"/>
      </rPr>
      <t xml:space="preserve">Mortgage Banking Activities </t>
    </r>
    <r>
      <rPr>
        <strike/>
        <sz val="11"/>
        <rFont val="Times New Roman"/>
        <family val="1"/>
      </rPr>
      <t>- Direct loan origination costs for loans held for investment 
(</t>
    </r>
    <r>
      <rPr>
        <b/>
        <strike/>
        <u/>
        <sz val="11"/>
        <rFont val="Times New Roman"/>
        <family val="1"/>
      </rPr>
      <t>GASBS No. 65</t>
    </r>
    <r>
      <rPr>
        <strike/>
        <sz val="11"/>
        <rFont val="Times New Roman"/>
        <family val="1"/>
      </rPr>
      <t xml:space="preserve"> paragraphs 25 &amp; 26)
</t>
    </r>
  </si>
  <si>
    <r>
      <rPr>
        <b/>
        <strike/>
        <sz val="11"/>
        <rFont val="Times New Roman"/>
        <family val="1"/>
      </rPr>
      <t>Revenues  for FY 2018:</t>
    </r>
    <r>
      <rPr>
        <strike/>
        <sz val="11"/>
        <rFont val="Times New Roman"/>
        <family val="1"/>
      </rPr>
      <t xml:space="preserve">  Does the fund have items that would  have to be reported as revenue in accordance with </t>
    </r>
    <r>
      <rPr>
        <b/>
        <strike/>
        <u/>
        <sz val="11"/>
        <rFont val="Times New Roman"/>
        <family val="1"/>
      </rPr>
      <t>GASBS No. 65</t>
    </r>
    <r>
      <rPr>
        <strike/>
        <sz val="11"/>
        <rFont val="Times New Roman"/>
        <family val="1"/>
      </rPr>
      <t xml:space="preserve"> for FY 2018?  If yes, provide the amounts below.</t>
    </r>
  </si>
  <si>
    <r>
      <t xml:space="preserve">1) </t>
    </r>
    <r>
      <rPr>
        <b/>
        <strike/>
        <sz val="11"/>
        <rFont val="Times New Roman"/>
        <family val="1"/>
      </rPr>
      <t>Lending Activities</t>
    </r>
    <r>
      <rPr>
        <strike/>
        <sz val="11"/>
        <rFont val="Times New Roman"/>
        <family val="1"/>
      </rPr>
      <t xml:space="preserve"> -  In lending activities, loan origination fees (excluding portion for points) received by lender   
(</t>
    </r>
    <r>
      <rPr>
        <b/>
        <strike/>
        <u/>
        <sz val="11"/>
        <rFont val="Times New Roman"/>
        <family val="1"/>
      </rPr>
      <t>GASBS No. 65</t>
    </r>
    <r>
      <rPr>
        <strike/>
        <sz val="11"/>
        <rFont val="Times New Roman"/>
        <family val="1"/>
      </rPr>
      <t xml:space="preserve"> paragraphs 21 &amp; 22)</t>
    </r>
  </si>
  <si>
    <r>
      <t xml:space="preserve">2) </t>
    </r>
    <r>
      <rPr>
        <b/>
        <strike/>
        <sz val="11"/>
        <color theme="1"/>
        <rFont val="Times New Roman"/>
        <family val="1"/>
      </rPr>
      <t>Lending Activities</t>
    </r>
    <r>
      <rPr>
        <strike/>
        <sz val="11"/>
        <color theme="1"/>
        <rFont val="Times New Roman"/>
        <family val="1"/>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b/>
        <strike/>
        <u/>
        <sz val="11"/>
        <color theme="1"/>
        <rFont val="Times New Roman"/>
        <family val="1"/>
      </rPr>
      <t>GASBS No. 65</t>
    </r>
    <r>
      <rPr>
        <strike/>
        <sz val="11"/>
        <color theme="1"/>
        <rFont val="Times New Roman"/>
        <family val="1"/>
      </rPr>
      <t xml:space="preserve"> paragraphs 21 &amp; 23)</t>
    </r>
  </si>
  <si>
    <r>
      <t xml:space="preserve">3) </t>
    </r>
    <r>
      <rPr>
        <b/>
        <strike/>
        <sz val="11"/>
        <color theme="1"/>
        <rFont val="Times New Roman"/>
        <family val="1"/>
      </rPr>
      <t xml:space="preserve">Lending Activities </t>
    </r>
    <r>
      <rPr>
        <strike/>
        <sz val="11"/>
        <color theme="1"/>
        <rFont val="Times New Roman"/>
        <family val="1"/>
      </rPr>
      <t>- Fees received related to the purchase of a loan or group of loans 
(</t>
    </r>
    <r>
      <rPr>
        <b/>
        <strike/>
        <u/>
        <sz val="11"/>
        <color theme="1"/>
        <rFont val="Times New Roman"/>
        <family val="1"/>
      </rPr>
      <t>GASBS No. 65</t>
    </r>
    <r>
      <rPr>
        <strike/>
        <sz val="11"/>
        <color theme="1"/>
        <rFont val="Times New Roman"/>
        <family val="1"/>
      </rPr>
      <t xml:space="preserve"> paragraphs 21 &amp;  24)</t>
    </r>
  </si>
  <si>
    <r>
      <t xml:space="preserve">4) </t>
    </r>
    <r>
      <rPr>
        <b/>
        <strike/>
        <sz val="11"/>
        <rFont val="Times New Roman"/>
        <family val="1"/>
      </rPr>
      <t xml:space="preserve">Mortgage Banking Activities </t>
    </r>
    <r>
      <rPr>
        <strike/>
        <sz val="11"/>
        <rFont val="Times New Roman"/>
        <family val="1"/>
      </rPr>
      <t>- Loan origination fees, excluding portion for points, received by lender for  loans held for investment   (</t>
    </r>
    <r>
      <rPr>
        <b/>
        <strike/>
        <u/>
        <sz val="11"/>
        <rFont val="Times New Roman"/>
        <family val="1"/>
      </rPr>
      <t>GASBS No. 65</t>
    </r>
    <r>
      <rPr>
        <strike/>
        <sz val="11"/>
        <rFont val="Times New Roman"/>
        <family val="1"/>
      </rPr>
      <t xml:space="preserve"> paragraph 25 &amp; 26)</t>
    </r>
  </si>
  <si>
    <r>
      <rPr>
        <b/>
        <strike/>
        <sz val="11"/>
        <rFont val="Times New Roman"/>
        <family val="1"/>
      </rPr>
      <t>Reporting</t>
    </r>
    <r>
      <rPr>
        <strike/>
        <sz val="11"/>
        <rFont val="Times New Roman"/>
        <family val="1"/>
      </rPr>
      <t xml:space="preserve">:   Were items properly reported on the template in accordance with </t>
    </r>
    <r>
      <rPr>
        <b/>
        <strike/>
        <u/>
        <sz val="11"/>
        <rFont val="Times New Roman"/>
        <family val="1"/>
      </rPr>
      <t>GASBS No. 65</t>
    </r>
    <r>
      <rPr>
        <strike/>
        <sz val="11"/>
        <rFont val="Times New Roman"/>
        <family val="1"/>
      </rPr>
      <t xml:space="preserve">?  If no, explain. 
</t>
    </r>
  </si>
  <si>
    <t>15e</t>
  </si>
  <si>
    <t>15f</t>
  </si>
  <si>
    <r>
      <rPr>
        <b/>
        <strike/>
        <sz val="11"/>
        <rFont val="Times New Roman"/>
        <family val="1"/>
      </rPr>
      <t>Reporting:</t>
    </r>
    <r>
      <rPr>
        <strike/>
        <sz val="11"/>
        <rFont val="Times New Roman"/>
        <family val="1"/>
      </rPr>
      <t xml:space="preserve">  Were items properly reported on the financial statement template in accordance with </t>
    </r>
    <r>
      <rPr>
        <b/>
        <strike/>
        <u/>
        <sz val="11"/>
        <rFont val="Times New Roman"/>
        <family val="1"/>
      </rPr>
      <t>GASBS No. 72</t>
    </r>
    <r>
      <rPr>
        <strike/>
        <sz val="11"/>
        <rFont val="Times New Roman"/>
        <family val="1"/>
      </rPr>
      <t>?</t>
    </r>
  </si>
  <si>
    <r>
      <t xml:space="preserve">If </t>
    </r>
    <r>
      <rPr>
        <b/>
        <strike/>
        <sz val="11"/>
        <rFont val="Times New Roman"/>
        <family val="1"/>
      </rPr>
      <t>no</t>
    </r>
    <r>
      <rPr>
        <strike/>
        <sz val="11"/>
        <rFont val="Times New Roman"/>
        <family val="1"/>
      </rPr>
      <t>, explain.</t>
    </r>
  </si>
  <si>
    <t>HIF - 06200, 06210, 06220, 06350</t>
  </si>
  <si>
    <t>Other Postemployment Benefits (OPEB) / Net OPEB liabilities</t>
  </si>
  <si>
    <t>Due to Claimants, Participants, Escrows, and Providers</t>
  </si>
  <si>
    <t>Due to Claimaints, Participants, Escrows, and Providers</t>
  </si>
  <si>
    <t>Increase (Decrease) in Other Postemployment Benefits (OPEB) / Net OPEB liabilities</t>
  </si>
  <si>
    <t>Increase (Decrease) in Due to Claimants, Participants, Escrows, and Providers</t>
  </si>
  <si>
    <t>Increase (Decrease) in Due to Claimants, Participants, Escrows, and Providers- due within one year</t>
  </si>
  <si>
    <t>Increase (Decrease) in Due to Claimants, Participants, Escrows, and Providers - due greater than one year</t>
  </si>
  <si>
    <t>Increase (Decrease) in Due to Claimants, Participants, Escrows, and Providers - due within one year</t>
  </si>
  <si>
    <t>Enter LGIP / LGIP EM amount 
into the applicable column.</t>
  </si>
  <si>
    <t>LGIP Amount</t>
  </si>
  <si>
    <t>LGIP EM Amount</t>
  </si>
  <si>
    <t>List all LGIP / LGIP EM accounts reported on this template.</t>
  </si>
  <si>
    <t>List the LGIP / LGIP EM account numbers and amounts; and any applicable Cardinal Account and Fund.</t>
  </si>
  <si>
    <t xml:space="preserve">In addition, if the external investment pool meets the criteria to report all investments at amortized cost and reports all investments at amortized cost, </t>
  </si>
  <si>
    <t xml:space="preserve">the pool's participants must also measure their investment in the external investment pool at amortized cost. An example of an external investment pool </t>
  </si>
  <si>
    <t>LGIP amounts should be reported at amortized cost and LGIP EM amounts should be reported at fair value.</t>
  </si>
  <si>
    <t xml:space="preserve">Note: In addition to responding to the questions below, evaluate whether there are reporting implications that are not addressed by the following questions. If so, please contact DOA.
Note: For additional information regarding GASB Statements, refer to the GASB website at www.gasb.org.  </t>
  </si>
  <si>
    <t>Agency 129 - DHRM (PMIS-Personnel Management Information System)</t>
  </si>
  <si>
    <t>Business Unit name transferred in from</t>
  </si>
  <si>
    <t>Business Unit name transferred out to</t>
  </si>
  <si>
    <r>
      <t xml:space="preserve">If </t>
    </r>
    <r>
      <rPr>
        <b/>
        <sz val="11"/>
        <rFont val="Times New Roman"/>
        <family val="1"/>
      </rPr>
      <t>yes</t>
    </r>
    <r>
      <rPr>
        <sz val="11"/>
        <rFont val="Times New Roman"/>
        <family val="1"/>
      </rPr>
      <t>, provide the following information for all items that are reported using the fair value hierarchy (Level 1, Level 2, and Level 3) on the financial statement template.</t>
    </r>
  </si>
  <si>
    <t>Cardinal Account</t>
  </si>
  <si>
    <t>Does the amount reported agree to the agency's LGIP/ LGIP EM statements?</t>
  </si>
  <si>
    <t>VA Information Technologies Agency</t>
  </si>
  <si>
    <r>
      <rPr>
        <b/>
        <sz val="11"/>
        <rFont val="Times New Roman"/>
        <family val="1"/>
      </rPr>
      <t>Acquisition Value:</t>
    </r>
    <r>
      <rPr>
        <sz val="11"/>
        <rFont val="Times New Roman"/>
        <family val="1"/>
      </rPr>
      <t xml:space="preserve">  Does the agency have items received during FY 2019 that must be reported at acquisition value in accordance with </t>
    </r>
    <r>
      <rPr>
        <b/>
        <u/>
        <sz val="11"/>
        <rFont val="Times New Roman"/>
        <family val="1"/>
      </rPr>
      <t>GASBS No. 72</t>
    </r>
    <r>
      <rPr>
        <sz val="11"/>
        <rFont val="Times New Roman"/>
        <family val="1"/>
      </rPr>
      <t xml:space="preserve"> paragraph 79?</t>
    </r>
  </si>
  <si>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</si>
  <si>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</si>
  <si>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</si>
  <si>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</si>
  <si>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</si>
  <si>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</si>
  <si>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</si>
  <si>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</si>
  <si>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</si>
  <si>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</si>
  <si>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</si>
  <si>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</si>
  <si>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</si>
  <si>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</si>
  <si>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</si>
  <si>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</si>
  <si>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</si>
  <si>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</si>
  <si>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</si>
  <si>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</si>
  <si>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</si>
  <si>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</si>
  <si>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</si>
  <si>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</si>
  <si>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</si>
  <si>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</si>
  <si>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</si>
  <si>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</si>
  <si>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</si>
  <si>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</si>
  <si>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DHRM - Line of Duty</t>
  </si>
  <si>
    <t>Line of Duty Insurance - 07420</t>
  </si>
  <si>
    <r>
      <t xml:space="preserve">If </t>
    </r>
    <r>
      <rPr>
        <b/>
        <sz val="11"/>
        <rFont val="Times New Roman"/>
        <family val="1"/>
      </rPr>
      <t>yes</t>
    </r>
    <r>
      <rPr>
        <sz val="11"/>
        <rFont val="Times New Roman"/>
        <family val="1"/>
      </rPr>
      <t xml:space="preserve">, provide the description, line item, and necessary disclosures.
</t>
    </r>
  </si>
  <si>
    <r>
      <t>GASBS No. 83</t>
    </r>
    <r>
      <rPr>
        <sz val="11"/>
        <rFont val="Times New Roman"/>
        <family val="1"/>
      </rPr>
      <t xml:space="preserve">, </t>
    </r>
    <r>
      <rPr>
        <i/>
        <sz val="11"/>
        <rFont val="Times New Roman"/>
        <family val="1"/>
      </rPr>
      <t>Certain Asset Retirement Obligations.</t>
    </r>
  </si>
  <si>
    <r>
      <t xml:space="preserve">b)  Provide the amount in 2.2 above that is collateralized in accordance with the Security for Public Deposits Act (Section 2.2-4400 of the </t>
    </r>
    <r>
      <rPr>
        <i/>
        <sz val="10"/>
        <rFont val="Times New Roman"/>
        <family val="1"/>
      </rPr>
      <t>Code of Virginia</t>
    </r>
    <r>
      <rPr>
        <sz val="10"/>
        <rFont val="Times New Roman"/>
        <family val="1"/>
      </rPr>
      <t>).</t>
    </r>
  </si>
  <si>
    <r>
      <t>c)</t>
    </r>
    <r>
      <rPr>
        <b/>
        <sz val="10"/>
        <rFont val="Times New Roman"/>
        <family val="1"/>
      </rPr>
      <t xml:space="preserve"> For any cash deposits or nonnegotiable CDs NOT with the Treasurer NOT covered by the FDIC or the Security for Public Deposits Act, </t>
    </r>
  </si>
  <si>
    <t xml:space="preserve">       report the amount and bank balance for all of the applicable options below: </t>
  </si>
  <si>
    <r>
      <t xml:space="preserve">b)  Investment Derivative Instruments: Are any investment derivative instruments, as defined in </t>
    </r>
    <r>
      <rPr>
        <b/>
        <u/>
        <sz val="10"/>
        <rFont val="Times New Roman"/>
        <family val="1"/>
      </rPr>
      <t>GASBS No. 53</t>
    </r>
    <r>
      <rPr>
        <sz val="10"/>
        <rFont val="Times New Roman"/>
        <family val="1"/>
      </rPr>
      <t xml:space="preserve">, included   </t>
    </r>
  </si>
  <si>
    <r>
      <t xml:space="preserve"> If </t>
    </r>
    <r>
      <rPr>
        <b/>
        <sz val="10"/>
        <rFont val="Times New Roman"/>
        <family val="1"/>
      </rPr>
      <t>Yes</t>
    </r>
    <r>
      <rPr>
        <sz val="10"/>
        <rFont val="Times New Roman"/>
        <family val="1"/>
      </rPr>
      <t>, then specify below, including investment type category and amount.</t>
    </r>
  </si>
  <si>
    <r>
      <t xml:space="preserve">as cash equivalents in part 2.1? If </t>
    </r>
    <r>
      <rPr>
        <b/>
        <sz val="10"/>
        <rFont val="Times New Roman"/>
        <family val="1"/>
      </rPr>
      <t>yes</t>
    </r>
    <r>
      <rPr>
        <sz val="10"/>
        <rFont val="Times New Roman"/>
        <family val="1"/>
      </rPr>
      <t xml:space="preserve">, DOA may contact you to obtain an explanation. </t>
    </r>
  </si>
  <si>
    <r>
      <t xml:space="preserve">If </t>
    </r>
    <r>
      <rPr>
        <b/>
        <sz val="10"/>
        <rFont val="Times New Roman"/>
        <family val="1"/>
      </rPr>
      <t>yes,</t>
    </r>
    <r>
      <rPr>
        <sz val="10"/>
        <rFont val="Times New Roman"/>
        <family val="1"/>
      </rPr>
      <t xml:space="preserve"> then further explain below, including fair value and specific terms of the investments.</t>
    </r>
  </si>
  <si>
    <r>
      <t>GASBS No. 40</t>
    </r>
    <r>
      <rPr>
        <sz val="10"/>
        <rFont val="Times New Roman"/>
        <family val="1"/>
      </rPr>
      <t xml:space="preserve"> states it is the agency’s responsibility “to update the custodial credit risk disclosure requirements addressing other common risks of the deposits </t>
    </r>
  </si>
  <si>
    <t>Agency Contact E-mail Address:</t>
  </si>
  <si>
    <t>b)  Total of bank balances as reported by the depositories or custodial financial institutions as of June 30</t>
  </si>
  <si>
    <t>Total bank balances for Part 2b plus Part 2.1b</t>
  </si>
  <si>
    <r>
      <t xml:space="preserve">     instructions and the FDIC website  at </t>
    </r>
    <r>
      <rPr>
        <u/>
        <sz val="10"/>
        <rFont val="Times New Roman"/>
        <family val="1"/>
      </rPr>
      <t>www.fdic.gov</t>
    </r>
    <r>
      <rPr>
        <sz val="10"/>
        <rFont val="Times New Roman"/>
        <family val="1"/>
      </rPr>
      <t xml:space="preserve"> for FDIC coverage information and definitions.)</t>
    </r>
  </si>
  <si>
    <t>SNAP 
Account Numbers</t>
  </si>
  <si>
    <t>Does the amount reported agree to the agency's SNAP statements?</t>
  </si>
  <si>
    <t>LGIP / LGIP EM 
Account Numbers</t>
  </si>
  <si>
    <t xml:space="preserve">highly sensitive to interest rate changes?  </t>
  </si>
  <si>
    <t>Terms that make Investment Highly Sensitive to Interest Rate Changes</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</si>
  <si>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</si>
  <si>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</si>
  <si>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</si>
  <si>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</si>
  <si>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</si>
  <si>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</si>
  <si>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</si>
  <si>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</si>
  <si>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</si>
  <si>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</si>
  <si>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</si>
  <si>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</si>
  <si>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DEBT - International and Emerging Markets Funds</t>
  </si>
  <si>
    <t>DEBT - Other Debt Securities (Provide description)</t>
  </si>
  <si>
    <t>EQUITY - Common and Preferred Stocks</t>
  </si>
  <si>
    <t>EQUITY - Foreign Currencies</t>
  </si>
  <si>
    <t>EQUITY - Equity Index and Pooled Funds</t>
  </si>
  <si>
    <t>EQUITY - Real Estate</t>
  </si>
  <si>
    <t>EQUITY - Other Equity Securities (Provide description)</t>
  </si>
  <si>
    <r>
      <t xml:space="preserve">Part 1)  Are cash equivalents and investments properly reported in accordance with </t>
    </r>
    <r>
      <rPr>
        <b/>
        <u/>
        <sz val="10"/>
        <rFont val="Times New Roman"/>
        <family val="1"/>
      </rPr>
      <t>GASBS No. 31</t>
    </r>
    <r>
      <rPr>
        <sz val="10"/>
        <rFont val="Times New Roman"/>
        <family val="1"/>
      </rPr>
      <t xml:space="preserve">, </t>
    </r>
    <r>
      <rPr>
        <i/>
        <sz val="10"/>
        <rFont val="Times New Roman"/>
        <family val="1"/>
      </rPr>
      <t xml:space="preserve">Accounting and Financial Reporting </t>
    </r>
  </si>
  <si>
    <r>
      <t xml:space="preserve">            for Certain Investments and for External Investment Pools, </t>
    </r>
    <r>
      <rPr>
        <sz val="10"/>
        <rFont val="Times New Roman"/>
        <family val="1"/>
      </rPr>
      <t>as amended by</t>
    </r>
    <r>
      <rPr>
        <i/>
        <sz val="10"/>
        <rFont val="Times New Roman"/>
        <family val="1"/>
      </rPr>
      <t xml:space="preserve"> </t>
    </r>
    <r>
      <rPr>
        <b/>
        <u/>
        <sz val="10"/>
        <rFont val="Times New Roman"/>
        <family val="1"/>
      </rPr>
      <t>GASBS No. 59</t>
    </r>
    <r>
      <rPr>
        <b/>
        <sz val="10"/>
        <rFont val="Times New Roman"/>
        <family val="1"/>
      </rPr>
      <t xml:space="preserve">, </t>
    </r>
    <r>
      <rPr>
        <i/>
        <sz val="10"/>
        <rFont val="Times New Roman"/>
        <family val="1"/>
      </rPr>
      <t>Financial Instruments Omnibus,</t>
    </r>
  </si>
  <si>
    <r>
      <t xml:space="preserve">         </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xml:space="preserve">, and </t>
    </r>
    <r>
      <rPr>
        <b/>
        <u/>
        <sz val="10"/>
        <rFont val="Times New Roman"/>
        <family val="1"/>
      </rPr>
      <t>GASBS No. 79</t>
    </r>
    <r>
      <rPr>
        <sz val="10"/>
        <rFont val="Times New Roman"/>
        <family val="1"/>
      </rPr>
      <t xml:space="preserve">, </t>
    </r>
    <r>
      <rPr>
        <i/>
        <sz val="10"/>
        <rFont val="Times New Roman"/>
        <family val="1"/>
      </rPr>
      <t>Certain External Investment Pools</t>
    </r>
  </si>
  <si>
    <r>
      <t xml:space="preserve">           </t>
    </r>
    <r>
      <rPr>
        <i/>
        <sz val="10"/>
        <rFont val="Times New Roman"/>
        <family val="1"/>
      </rPr>
      <t>and Pool Participants?</t>
    </r>
  </si>
  <si>
    <r>
      <rPr>
        <b/>
        <sz val="10"/>
        <rFont val="Times New Roman"/>
        <family val="1"/>
      </rPr>
      <t>For Pools</t>
    </r>
    <r>
      <rPr>
        <sz val="10"/>
        <rFont val="Times New Roman"/>
        <family val="1"/>
      </rPr>
      <t xml:space="preserve">: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</si>
  <si>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 Participants</t>
    </r>
    <r>
      <rPr>
        <sz val="10"/>
        <rFont val="Times New Roman"/>
        <family val="1"/>
      </rPr>
      <t xml:space="preserve">: Investments in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</si>
  <si>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Pools</t>
    </r>
    <r>
      <rPr>
        <sz val="10"/>
        <rFont val="Times New Roman"/>
        <family val="1"/>
      </rPr>
      <t>: External Investment Pools Short-term debt investments with remaining maturities up to 90 days</t>
    </r>
  </si>
  <si>
    <r>
      <t xml:space="preserve">Contract value in accordance with </t>
    </r>
    <r>
      <rPr>
        <b/>
        <u/>
        <sz val="10"/>
        <rFont val="Times New Roman"/>
        <family val="1"/>
      </rPr>
      <t xml:space="preserve">GASBS No. 53 </t>
    </r>
  </si>
  <si>
    <r>
      <t xml:space="preserve">Fair value established using Net Asset Value Per Share (or its equivalent) in accordance with </t>
    </r>
    <r>
      <rPr>
        <b/>
        <u/>
        <sz val="10"/>
        <rFont val="Times New Roman"/>
        <family val="1"/>
      </rPr>
      <t>GASBS No. 72</t>
    </r>
  </si>
  <si>
    <r>
      <t>Note</t>
    </r>
    <r>
      <rPr>
        <b/>
        <sz val="10"/>
        <rFont val="Times New Roman"/>
        <family val="1"/>
      </rPr>
      <t xml:space="preserve">: </t>
    </r>
    <r>
      <rPr>
        <sz val="10"/>
        <rFont val="Times New Roman"/>
        <family val="1"/>
      </rPr>
      <t xml:space="preserve">For the accurate reporting of all the applicable cash equivalents and investments in Part 1 above, consider how they are </t>
    </r>
  </si>
  <si>
    <r>
      <t>Note A</t>
    </r>
    <r>
      <rPr>
        <sz val="10"/>
        <rFont val="Times New Roman"/>
        <family val="1"/>
      </rPr>
      <t xml:space="preserve">)   </t>
    </r>
    <r>
      <rPr>
        <b/>
        <u/>
        <sz val="10"/>
        <rFont val="Times New Roman"/>
        <family val="1"/>
      </rPr>
      <t>GASBS No. 31</t>
    </r>
    <r>
      <rPr>
        <sz val="10"/>
        <rFont val="Times New Roman"/>
        <family val="1"/>
      </rPr>
      <t xml:space="preserve">, paragraph 9, states that these types of investments (Parts 1b, 1c) </t>
    </r>
    <r>
      <rPr>
        <b/>
        <sz val="10"/>
        <rFont val="Times New Roman"/>
        <family val="1"/>
      </rPr>
      <t>may</t>
    </r>
    <r>
      <rPr>
        <sz val="10"/>
        <rFont val="Times New Roman"/>
        <family val="1"/>
      </rPr>
      <t xml:space="preserve"> be reported</t>
    </r>
  </si>
  <si>
    <r>
      <rPr>
        <b/>
        <u/>
        <sz val="10"/>
        <rFont val="Times New Roman"/>
        <family val="1"/>
      </rPr>
      <t>Note B</t>
    </r>
    <r>
      <rPr>
        <sz val="10"/>
        <rFont val="Times New Roman"/>
        <family val="1"/>
      </rPr>
      <t xml:space="preserve">) </t>
    </r>
    <r>
      <rPr>
        <b/>
        <u/>
        <sz val="10"/>
        <rFont val="Times New Roman"/>
        <family val="1"/>
      </rPr>
      <t>GASBS No. 79</t>
    </r>
    <r>
      <rPr>
        <sz val="10"/>
        <rFont val="Times New Roman"/>
        <family val="1"/>
      </rPr>
      <t xml:space="preserve"> amended paragraph 5 of </t>
    </r>
    <r>
      <rPr>
        <b/>
        <u/>
        <sz val="10"/>
        <rFont val="Times New Roman"/>
        <family val="1"/>
      </rPr>
      <t>GASBS No. 59</t>
    </r>
    <r>
      <rPr>
        <sz val="10"/>
        <rFont val="Times New Roman"/>
        <family val="1"/>
      </rPr>
      <t xml:space="preserve"> and </t>
    </r>
    <r>
      <rPr>
        <b/>
        <u/>
        <sz val="10"/>
        <rFont val="Times New Roman"/>
        <family val="1"/>
      </rPr>
      <t>GASBS No. 79</t>
    </r>
    <r>
      <rPr>
        <sz val="10"/>
        <rFont val="Times New Roman"/>
        <family val="1"/>
      </rPr>
      <t xml:space="preserve"> lists necessary criteria in paragraph 4 for an external </t>
    </r>
  </si>
  <si>
    <r>
      <t xml:space="preserve">investment pool to measure for financial reporting purposes at amortized cost.  It also amended </t>
    </r>
    <r>
      <rPr>
        <b/>
        <u/>
        <sz val="10"/>
        <rFont val="Times New Roman"/>
        <family val="1"/>
      </rPr>
      <t>GASBS No. 31</t>
    </r>
    <r>
      <rPr>
        <sz val="10"/>
        <rFont val="Times New Roman"/>
        <family val="1"/>
      </rPr>
      <t xml:space="preserve"> paragraphs 11 and 16.</t>
    </r>
  </si>
  <si>
    <r>
      <t xml:space="preserve">that is managed in accordance with </t>
    </r>
    <r>
      <rPr>
        <b/>
        <u/>
        <sz val="10"/>
        <rFont val="Times New Roman"/>
        <family val="1"/>
      </rPr>
      <t>GASBS No. 79</t>
    </r>
    <r>
      <rPr>
        <sz val="10"/>
        <rFont val="Times New Roman"/>
        <family val="1"/>
      </rPr>
      <t xml:space="preserve"> is a Local Government Investment Pool (LGIP) managed by the Virginia Department of the Treasury.</t>
    </r>
  </si>
  <si>
    <r>
      <rPr>
        <b/>
        <u/>
        <sz val="10"/>
        <rFont val="Times New Roman"/>
        <family val="1"/>
      </rPr>
      <t>Note C</t>
    </r>
    <r>
      <rPr>
        <sz val="10"/>
        <rFont val="Times New Roman"/>
        <family val="1"/>
      </rPr>
      <t xml:space="preserve">) </t>
    </r>
    <r>
      <rPr>
        <b/>
        <u/>
        <sz val="10"/>
        <rFont val="Times New Roman"/>
        <family val="1"/>
      </rPr>
      <t>GASBS No. 72</t>
    </r>
    <r>
      <rPr>
        <sz val="10"/>
        <rFont val="Times New Roman"/>
        <family val="1"/>
      </rPr>
      <t xml:space="preserve"> paragraph 69 permits these items to be reported at other than fair value.</t>
    </r>
  </si>
  <si>
    <r>
      <rPr>
        <b/>
        <u/>
        <sz val="10"/>
        <rFont val="Times New Roman"/>
        <family val="1"/>
      </rPr>
      <t>Note D</t>
    </r>
    <r>
      <rPr>
        <sz val="10"/>
        <rFont val="Times New Roman"/>
        <family val="1"/>
      </rPr>
      <t xml:space="preserve">)  These are items that are permitted to be reported at net asset value (or its equivalent) in accordance with </t>
    </r>
    <r>
      <rPr>
        <b/>
        <u/>
        <sz val="10"/>
        <rFont val="Times New Roman"/>
        <family val="1"/>
      </rPr>
      <t xml:space="preserve">GASBS No. 72 </t>
    </r>
  </si>
  <si>
    <r>
      <t xml:space="preserve">paragraphs 71 to 74  and require additional disclosures in accordance with </t>
    </r>
    <r>
      <rPr>
        <b/>
        <u/>
        <sz val="10"/>
        <rFont val="Times New Roman"/>
        <family val="1"/>
      </rPr>
      <t>GASBS No. 72</t>
    </r>
    <r>
      <rPr>
        <sz val="10"/>
        <rFont val="Times New Roman"/>
        <family val="1"/>
      </rPr>
      <t xml:space="preserve"> paragraph 82. These items should be reported</t>
    </r>
  </si>
  <si>
    <r>
      <rPr>
        <b/>
        <u/>
        <sz val="10"/>
        <rFont val="Times New Roman"/>
        <family val="1"/>
      </rPr>
      <t>Note D1</t>
    </r>
    <r>
      <rPr>
        <sz val="10"/>
        <rFont val="Times New Roman"/>
        <family val="1"/>
      </rPr>
      <t xml:space="preserve">) </t>
    </r>
    <r>
      <rPr>
        <b/>
        <u/>
        <sz val="10"/>
        <rFont val="Times New Roman"/>
        <family val="1"/>
      </rPr>
      <t>GASBS No. 72</t>
    </r>
    <r>
      <rPr>
        <sz val="10"/>
        <rFont val="Times New Roman"/>
        <family val="1"/>
      </rPr>
      <t xml:space="preserve"> includes amendments to </t>
    </r>
    <r>
      <rPr>
        <b/>
        <u/>
        <sz val="10"/>
        <rFont val="Times New Roman"/>
        <family val="1"/>
      </rPr>
      <t>GASBS No. 31</t>
    </r>
    <r>
      <rPr>
        <sz val="10"/>
        <rFont val="Times New Roman"/>
        <family val="1"/>
      </rPr>
      <t xml:space="preserve">. See </t>
    </r>
    <r>
      <rPr>
        <b/>
        <u/>
        <sz val="10"/>
        <rFont val="Times New Roman"/>
        <family val="1"/>
      </rPr>
      <t>GASBS No. 72</t>
    </r>
    <r>
      <rPr>
        <sz val="10"/>
        <rFont val="Times New Roman"/>
        <family val="1"/>
      </rPr>
      <t xml:space="preserve"> for more information.  LGIP EM should be included in this category.</t>
    </r>
  </si>
  <si>
    <r>
      <t>Part 2)  For any "</t>
    </r>
    <r>
      <rPr>
        <b/>
        <sz val="10"/>
        <rFont val="Times New Roman"/>
        <family val="1"/>
      </rPr>
      <t>no</t>
    </r>
    <r>
      <rPr>
        <sz val="10"/>
        <rFont val="Times New Roman"/>
        <family val="1"/>
      </rPr>
      <t>" answers provided in Parts 1b to 1f, are amounts reported at fair value rather than amortized cost?</t>
    </r>
  </si>
  <si>
    <r>
      <t xml:space="preserve">            If </t>
    </r>
    <r>
      <rPr>
        <b/>
        <sz val="10"/>
        <rFont val="Times New Roman"/>
        <family val="1"/>
      </rPr>
      <t>no</t>
    </r>
    <r>
      <rPr>
        <sz val="10"/>
        <rFont val="Times New Roman"/>
        <family val="1"/>
      </rPr>
      <t>, provide an explanation below.</t>
    </r>
  </si>
  <si>
    <t>Credit Risk</t>
  </si>
  <si>
    <t xml:space="preserve">Interest Rate Risk </t>
  </si>
  <si>
    <t>Custodial 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</si>
  <si>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</si>
  <si>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</si>
  <si>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</si>
  <si>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</si>
  <si>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</si>
  <si>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P-1 / A-1 / F1</t>
  </si>
  <si>
    <t>P-2 / A-2 / F2</t>
  </si>
  <si>
    <t>P-3 / A-3 / F3</t>
  </si>
  <si>
    <t>Aaa / AAA / AAA</t>
  </si>
  <si>
    <t>Aa / AA / AA</t>
  </si>
  <si>
    <t>A / A / A</t>
  </si>
  <si>
    <t>Baa / BBB / BBB</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</si>
  <si>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</si>
  <si>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</si>
  <si>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</si>
  <si>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</si>
  <si>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</si>
  <si>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</si>
  <si>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</si>
  <si>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</si>
  <si>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</si>
  <si>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</si>
  <si>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</si>
  <si>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t>Quoted prices (unadjusted)  in active markets for identical assets
(Level 1)</t>
  </si>
  <si>
    <r>
      <t xml:space="preserve">Fair value established using Net Asset Value Per Share (or its equivalent) as permitted by </t>
    </r>
    <r>
      <rPr>
        <b/>
        <u/>
        <sz val="11"/>
        <rFont val="Times New Roman"/>
        <family val="1"/>
      </rPr>
      <t>GASBS No. 72</t>
    </r>
  </si>
  <si>
    <t>Accuracy check</t>
  </si>
  <si>
    <t>International and Emerging Markets Funds</t>
  </si>
  <si>
    <r>
      <rPr>
        <b/>
        <u/>
        <sz val="11"/>
        <rFont val="Times New Roman"/>
        <family val="1"/>
      </rPr>
      <t>GASBS No. 72</t>
    </r>
    <r>
      <rPr>
        <b/>
        <sz val="11"/>
        <rFont val="Times New Roman"/>
        <family val="1"/>
      </rPr>
      <t xml:space="preserve">, </t>
    </r>
    <r>
      <rPr>
        <i/>
        <sz val="11"/>
        <rFont val="Times New Roman"/>
        <family val="1"/>
      </rPr>
      <t>Fair Value Measurement and Application</t>
    </r>
    <r>
      <rPr>
        <sz val="11"/>
        <rFont val="Times New Roman"/>
        <family val="1"/>
      </rPr>
      <t>. (</t>
    </r>
    <r>
      <rPr>
        <b/>
        <u/>
        <sz val="11"/>
        <rFont val="Times New Roman"/>
        <family val="1"/>
      </rPr>
      <t>Note</t>
    </r>
    <r>
      <rPr>
        <sz val="11"/>
        <rFont val="Times New Roman"/>
        <family val="1"/>
      </rPr>
      <t>: DOA may request additional information in a separate communication.)</t>
    </r>
  </si>
  <si>
    <t>Description / Issuer</t>
  </si>
  <si>
    <t>Ticker Symbol</t>
  </si>
  <si>
    <t>CUSIP Number</t>
  </si>
  <si>
    <t xml:space="preserve">
Ba and below / 
BB and below / 
BB and below
(Less than Investment Grade)</t>
  </si>
  <si>
    <t>Agency Name</t>
  </si>
  <si>
    <t>in column AD on the Tab 1B-CE &amp; Inv Not w Tr.</t>
  </si>
  <si>
    <t>Other Capital &amp; Related Financing Receipts - (Enter as a positive):</t>
  </si>
  <si>
    <t>Other Capital &amp; Related Financing Disbursements - (Enter as a negative):</t>
  </si>
  <si>
    <t>Does the fund have any terms specified in debt agreements related to the following significant:</t>
  </si>
  <si>
    <t>1) events of default with finance-related consequences,</t>
  </si>
  <si>
    <t xml:space="preserve">2) termination events with finance-related consequences, and/or </t>
  </si>
  <si>
    <t>3) subjective acceleration clauses?</t>
  </si>
  <si>
    <t>17a</t>
  </si>
  <si>
    <t>17b</t>
  </si>
  <si>
    <r>
      <rPr>
        <b/>
        <u/>
        <sz val="11"/>
        <rFont val="Times New Roman"/>
        <family val="1"/>
      </rPr>
      <t>GASBS No. 88</t>
    </r>
    <r>
      <rPr>
        <sz val="11"/>
        <rFont val="Times New Roman"/>
        <family val="1"/>
      </rPr>
      <t xml:space="preserve">, </t>
    </r>
    <r>
      <rPr>
        <i/>
        <sz val="11"/>
        <rFont val="Times New Roman"/>
        <family val="1"/>
      </rPr>
      <t>Certain Disclosures Related to Debt, including Direct Borrowings and Direct Placements</t>
    </r>
    <r>
      <rPr>
        <sz val="11"/>
        <rFont val="Times New Roman"/>
        <family val="1"/>
      </rPr>
      <t>. (</t>
    </r>
    <r>
      <rPr>
        <b/>
        <u/>
        <sz val="11"/>
        <rFont val="Times New Roman"/>
        <family val="1"/>
      </rPr>
      <t>Note</t>
    </r>
    <r>
      <rPr>
        <sz val="11"/>
        <rFont val="Times New Roman"/>
        <family val="1"/>
      </rPr>
      <t>: DOA may request additional information in a separate communication.)</t>
    </r>
  </si>
  <si>
    <r>
      <t xml:space="preserve">If </t>
    </r>
    <r>
      <rPr>
        <b/>
        <sz val="11"/>
        <rFont val="Times New Roman"/>
        <family val="1"/>
      </rPr>
      <t>yes</t>
    </r>
    <r>
      <rPr>
        <sz val="11"/>
        <rFont val="Times New Roman"/>
        <family val="1"/>
      </rPr>
      <t xml:space="preserve">, then provide the debt item and disclosure details for any of the above items. </t>
    </r>
  </si>
  <si>
    <t>Agency 149 - Line of Duty</t>
  </si>
  <si>
    <t>Other Noncapital Financing Receipts (Enter as a positive) - Description:</t>
  </si>
  <si>
    <t>Other Noncapital Financing Disbursements (Enter as a negative) - Description:</t>
  </si>
  <si>
    <t>Accounts Payable Increase (Decrease) related to Capital Assets</t>
  </si>
  <si>
    <r>
      <t xml:space="preserve">Direct Borrowing as defined in </t>
    </r>
    <r>
      <rPr>
        <b/>
        <u/>
        <sz val="10"/>
        <rFont val="Times New Roman"/>
        <family val="1"/>
      </rPr>
      <t>GASBS No. 88</t>
    </r>
  </si>
  <si>
    <r>
      <t xml:space="preserve">Direct Placement as defined in </t>
    </r>
    <r>
      <rPr>
        <b/>
        <u/>
        <sz val="10"/>
        <rFont val="Times New Roman"/>
        <family val="1"/>
      </rPr>
      <t>GASBS No. 88</t>
    </r>
  </si>
  <si>
    <r>
      <rPr>
        <b/>
        <u/>
        <sz val="10"/>
        <color indexed="10"/>
        <rFont val="Times New Roman"/>
        <family val="1"/>
      </rPr>
      <t>NOTE</t>
    </r>
    <r>
      <rPr>
        <b/>
        <sz val="10"/>
        <color indexed="10"/>
        <rFont val="Times New Roman"/>
        <family val="1"/>
      </rPr>
      <t>:</t>
    </r>
    <r>
      <rPr>
        <sz val="10"/>
        <rFont val="Times New Roman"/>
        <family val="1"/>
      </rPr>
      <t xml:space="preserve"> Bureau of Real Estate Services (BRES) administered leases should be </t>
    </r>
    <r>
      <rPr>
        <b/>
        <sz val="10"/>
        <rFont val="Times New Roman"/>
        <family val="1"/>
      </rPr>
      <t>excluded</t>
    </r>
    <r>
      <rPr>
        <sz val="10"/>
        <rFont val="Times New Roman"/>
        <family val="1"/>
      </rPr>
      <t xml:space="preserve"> by all agencies other than BRES.</t>
    </r>
  </si>
  <si>
    <r>
      <rPr>
        <b/>
        <u/>
        <sz val="11"/>
        <rFont val="Times New Roman"/>
        <family val="1"/>
      </rPr>
      <t>GASBS No. 72</t>
    </r>
    <r>
      <rPr>
        <sz val="11"/>
        <rFont val="Times New Roman"/>
        <family val="1"/>
      </rPr>
      <t xml:space="preserve">  addresses accounting and financial reporting issues related to fair value measurements.  The definition of fair value is the price that would be received to sell an asset or paid to transfer a liability in an orderly transaction between market participants at the measurement date.  This Statement also provides guidance for applying fair value to certain investments and disclosures related to all fair value measurements.
This statement generally requires investments to be measured at </t>
    </r>
    <r>
      <rPr>
        <b/>
        <sz val="11"/>
        <rFont val="Times New Roman"/>
        <family val="1"/>
      </rPr>
      <t>fair value</t>
    </r>
    <r>
      <rPr>
        <sz val="11"/>
        <rFont val="Times New Roman"/>
        <family val="1"/>
      </rPr>
      <t xml:space="preserve">.  An investment is defined as a security or other asset that (a) a government holds primarily for the purpose of income or profit and (b) has a present service capacity based solely on its ability to generate cash or to be sold to generate cash.   If an investment does not have a readily determinable fair value, the statement permits, in certain circumstances, to establish fair value by using the </t>
    </r>
    <r>
      <rPr>
        <b/>
        <sz val="11"/>
        <rFont val="Times New Roman"/>
        <family val="1"/>
      </rPr>
      <t>net asset value</t>
    </r>
    <r>
      <rPr>
        <sz val="11"/>
        <rFont val="Times New Roman"/>
        <family val="1"/>
      </rPr>
      <t xml:space="preserve"> per share (or its equivalent) of the investment.    
This statement requires measurement at </t>
    </r>
    <r>
      <rPr>
        <b/>
        <sz val="11"/>
        <rFont val="Times New Roman"/>
        <family val="1"/>
      </rPr>
      <t>acquisition value</t>
    </r>
    <r>
      <rPr>
        <sz val="11"/>
        <rFont val="Times New Roman"/>
        <family val="1"/>
      </rPr>
      <t xml:space="preserve"> (an entry price) rather than fair value for donated capital assets, donated works of art, historical treasures, and similar assets, and capital assets received in a service concession arrangement.  (Note:  For use of acquisition value, </t>
    </r>
    <r>
      <rPr>
        <b/>
        <u/>
        <sz val="11"/>
        <rFont val="Times New Roman"/>
        <family val="1"/>
      </rPr>
      <t>GASBS No. 72</t>
    </r>
    <r>
      <rPr>
        <b/>
        <sz val="11"/>
        <rFont val="Times New Roman"/>
        <family val="1"/>
      </rPr>
      <t xml:space="preserve"> </t>
    </r>
    <r>
      <rPr>
        <sz val="11"/>
        <rFont val="Times New Roman"/>
        <family val="1"/>
      </rPr>
      <t xml:space="preserve">is not applicable to transactions that occurred prior to fiscal year 2016. </t>
    </r>
    <r>
      <rPr>
        <b/>
        <u/>
        <sz val="11"/>
        <rFont val="Times New Roman"/>
        <family val="1"/>
      </rPr>
      <t>GASBS No. 72</t>
    </r>
    <r>
      <rPr>
        <sz val="11"/>
        <rFont val="Times New Roman"/>
        <family val="1"/>
      </rPr>
      <t xml:space="preserve"> does not amend </t>
    </r>
    <r>
      <rPr>
        <b/>
        <u/>
        <sz val="11"/>
        <rFont val="Times New Roman"/>
        <family val="1"/>
      </rPr>
      <t>GASBS No. 48</t>
    </r>
    <r>
      <rPr>
        <sz val="11"/>
        <rFont val="Times New Roman"/>
        <family val="1"/>
      </rPr>
      <t xml:space="preserve">, </t>
    </r>
    <r>
      <rPr>
        <i/>
        <sz val="11"/>
        <rFont val="Times New Roman"/>
        <family val="1"/>
      </rPr>
      <t>Sales and Pledges of Receivables and Future Revenues and Intra-Entity Transfers of Assets and Future Revenues</t>
    </r>
    <r>
      <rPr>
        <sz val="11"/>
        <rFont val="Times New Roman"/>
        <family val="1"/>
      </rPr>
      <t xml:space="preserve">, which requires capital assets transferred, purchased, or donated from an agency within the same financial reporting entity (intra-entity) to be reported at the carrying value of the transferor.)  
</t>
    </r>
    <r>
      <rPr>
        <b/>
        <u/>
        <sz val="11"/>
        <rFont val="Times New Roman"/>
        <family val="1"/>
      </rPr>
      <t>Note</t>
    </r>
    <r>
      <rPr>
        <sz val="11"/>
        <rFont val="Times New Roman"/>
        <family val="1"/>
      </rPr>
      <t xml:space="preserve">:  The preparer and reviewer should read </t>
    </r>
    <r>
      <rPr>
        <b/>
        <u/>
        <sz val="11"/>
        <rFont val="Times New Roman"/>
        <family val="1"/>
      </rPr>
      <t>GASBS No. 72</t>
    </r>
    <r>
      <rPr>
        <sz val="11"/>
        <rFont val="Times New Roman"/>
        <family val="1"/>
      </rPr>
      <t xml:space="preserve"> and determine whether there are reporting implications as defined in </t>
    </r>
    <r>
      <rPr>
        <b/>
        <u/>
        <sz val="11"/>
        <rFont val="Times New Roman"/>
        <family val="1"/>
      </rPr>
      <t>GASBS No. 72</t>
    </r>
    <r>
      <rPr>
        <sz val="11"/>
        <rFont val="Times New Roman"/>
        <family val="1"/>
      </rPr>
      <t>.  DOA may request additional information in a separate communication.</t>
    </r>
  </si>
  <si>
    <r>
      <rPr>
        <b/>
        <u/>
        <sz val="10"/>
        <rFont val="Times New Roman"/>
        <family val="1"/>
      </rPr>
      <t>GASBS No. 40</t>
    </r>
    <r>
      <rPr>
        <sz val="10"/>
        <rFont val="Times New Roman"/>
        <family val="1"/>
      </rPr>
      <t xml:space="preserve"> requires to briefly describe formally adopted investment policy for deposits and/or investments exposed to credit risk, custodial credit risk, concentration of credit risk, and interest rate risk.  Submit the agency's deposit and/or investment policy regarding the information presented on this template, along with this attachment in the e-mail to </t>
    </r>
    <r>
      <rPr>
        <b/>
        <u/>
        <sz val="10"/>
        <rFont val="Times New Roman"/>
        <family val="1"/>
      </rPr>
      <t>finrept-agyatt@doa.virginia.gov</t>
    </r>
    <r>
      <rPr>
        <sz val="10"/>
        <rFont val="Times New Roman"/>
        <family val="1"/>
      </rPr>
      <t>.  This is the investment policy that will officially be on record with the Department of Accounts.  If the agency does have cash, cash equivalents, and investments NOT with the Treasurer of Virginia and DOES NOT have a formally adopted investment policy that addresses the aforementioned risks, provide an explanation below.</t>
    </r>
  </si>
  <si>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</si>
  <si>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</si>
  <si>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</si>
  <si>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</si>
  <si>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</si>
  <si>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</si>
  <si>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</si>
  <si>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</si>
  <si>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</si>
  <si>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</si>
  <si>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</si>
  <si>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</si>
  <si>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</si>
  <si>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</si>
  <si>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</si>
  <si>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</si>
  <si>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</si>
  <si>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</si>
  <si>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</si>
  <si>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DEBT - Convertible Bonds and Notes</t>
  </si>
  <si>
    <t>EQUITY - International and Emerging Markets Funds</t>
  </si>
  <si>
    <t>Convertible Bonds and Notes</t>
  </si>
  <si>
    <r>
      <t xml:space="preserve">Include unspent proceeds on debt related to capital assets 
(amount should exclude investment earnings- see </t>
    </r>
    <r>
      <rPr>
        <b/>
        <sz val="10"/>
        <rFont val="Times New Roman"/>
        <family val="1"/>
      </rPr>
      <t>Note B</t>
    </r>
    <r>
      <rPr>
        <sz val="10"/>
        <rFont val="Times New Roman"/>
        <family val="1"/>
      </rPr>
      <t>) 
(enter as a positive)</t>
    </r>
  </si>
  <si>
    <t xml:space="preserve">Other Assets </t>
  </si>
  <si>
    <t>Other Receivables, Net</t>
  </si>
  <si>
    <t>Special Items</t>
  </si>
  <si>
    <t>Other Operating Revenue</t>
  </si>
  <si>
    <t>Other Operating Expense</t>
  </si>
  <si>
    <t>Other Noncapital Financing Receipts</t>
  </si>
  <si>
    <t>Other Noncapital Financing Disbursements</t>
  </si>
  <si>
    <t>Other Capital &amp; Related Financing Receipts</t>
  </si>
  <si>
    <t>Other Capital &amp; Related Financing Disbursements</t>
  </si>
  <si>
    <r>
      <t xml:space="preserve">If </t>
    </r>
    <r>
      <rPr>
        <b/>
        <sz val="11"/>
        <rFont val="Times New Roman"/>
        <family val="1"/>
      </rPr>
      <t>yes</t>
    </r>
    <r>
      <rPr>
        <sz val="11"/>
        <rFont val="Times New Roman"/>
        <family val="1"/>
      </rPr>
      <t>, please provide amounts and description.</t>
    </r>
  </si>
  <si>
    <t>Corporate Notes and Bonds</t>
  </si>
  <si>
    <t>International and Emerging Market Funds</t>
  </si>
  <si>
    <t>Due within 1 year Check Figure</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</si>
  <si>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</si>
  <si>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</si>
  <si>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</si>
  <si>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</si>
  <si>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</si>
  <si>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</si>
  <si>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</si>
  <si>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</si>
  <si>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</si>
  <si>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</si>
  <si>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</si>
  <si>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</si>
  <si>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</si>
  <si>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</si>
  <si>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</si>
  <si>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</si>
  <si>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</si>
  <si>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</si>
  <si>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</si>
  <si>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</si>
  <si>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</si>
  <si>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</si>
  <si>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</si>
  <si>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</si>
  <si>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</si>
  <si>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</si>
  <si>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</si>
  <si>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</si>
  <si>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</si>
  <si>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</si>
  <si>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</si>
  <si>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</si>
  <si>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</si>
  <si>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</si>
  <si>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</si>
  <si>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</si>
  <si>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</si>
  <si>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</si>
  <si>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</si>
  <si>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</si>
  <si>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</si>
  <si>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</si>
  <si>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</si>
  <si>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</si>
  <si>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</si>
  <si>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</si>
  <si>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</si>
  <si>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</si>
  <si>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</si>
  <si>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</si>
  <si>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</si>
  <si>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</si>
  <si>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</si>
  <si>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</si>
  <si>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</si>
  <si>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</si>
  <si>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</si>
  <si>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</si>
  <si>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</si>
  <si>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</si>
  <si>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</si>
  <si>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</si>
  <si>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</si>
  <si>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</si>
  <si>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</si>
  <si>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</si>
  <si>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</si>
  <si>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</si>
  <si>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</si>
  <si>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</si>
  <si>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</si>
  <si>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</si>
  <si>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</si>
  <si>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</si>
  <si>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</si>
  <si>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</si>
  <si>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</si>
  <si>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</si>
  <si>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</si>
  <si>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</si>
  <si>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</si>
  <si>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</si>
  <si>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</si>
  <si>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</si>
  <si>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</si>
  <si>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</si>
  <si>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</si>
  <si>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</si>
  <si>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</si>
  <si>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</si>
  <si>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</si>
  <si>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</si>
  <si>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</si>
  <si>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</si>
  <si>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</si>
  <si>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</si>
  <si>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</si>
  <si>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</si>
  <si>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</si>
  <si>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</si>
  <si>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</si>
  <si>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</si>
  <si>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</si>
  <si>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</si>
  <si>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</si>
  <si>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</si>
  <si>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</si>
  <si>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</si>
  <si>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</si>
  <si>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</si>
  <si>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</si>
  <si>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10100</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</si>
  <si>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</si>
  <si>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</si>
  <si>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</si>
  <si>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</si>
  <si>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</si>
  <si>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</si>
  <si>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</si>
  <si>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</si>
  <si>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</si>
  <si>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</si>
  <si>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</si>
  <si>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</si>
  <si>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</si>
  <si>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</si>
  <si>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</si>
  <si>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</si>
  <si>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</si>
  <si>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</si>
  <si>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</si>
  <si>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</si>
  <si>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</si>
  <si>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</si>
  <si>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</si>
  <si>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</si>
  <si>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</si>
  <si>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</si>
  <si>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</si>
  <si>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</si>
  <si>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</si>
  <si>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</si>
  <si>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</si>
  <si>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</si>
  <si>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</si>
  <si>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</si>
  <si>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</si>
  <si>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</si>
  <si>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</si>
  <si>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</si>
  <si>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</si>
  <si>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</si>
  <si>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</si>
  <si>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</si>
  <si>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</si>
  <si>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</si>
  <si>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</si>
  <si>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</si>
  <si>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</si>
  <si>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</si>
  <si>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</si>
  <si>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</si>
  <si>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Nonnegotiable Certificates of Deposit</t>
  </si>
  <si>
    <r>
      <t xml:space="preserve">being reported on the Tab 1B-CE &amp; Inv Not w Tr for fair value measurement purposes in accordance with </t>
    </r>
    <r>
      <rPr>
        <b/>
        <u/>
        <sz val="10"/>
        <rFont val="Times New Roman"/>
        <family val="1"/>
      </rPr>
      <t>GASBS No. 72</t>
    </r>
    <r>
      <rPr>
        <sz val="10"/>
        <rFont val="Times New Roman"/>
        <family val="1"/>
      </rPr>
      <t xml:space="preserve">. </t>
    </r>
  </si>
  <si>
    <t>Total fair value amount using NAV per share per Tab 1B-CE &amp; Inv Not w Treas (Linked to Tab 1B-CE &amp; Inv Not w Treas)</t>
  </si>
  <si>
    <t>A)  Footnote Disclosure:  Does this fund have any interest costs incurred related to the construction of capital assets for FY 2022?</t>
  </si>
  <si>
    <t>B)  If yes to A, please provide the amount of total interest incurred and of that amount, the amount capitalized for FY 2022.</t>
  </si>
  <si>
    <t>Other Capital Assets:</t>
  </si>
  <si>
    <r>
      <t>Right to Use Intangible Assets (</t>
    </r>
    <r>
      <rPr>
        <b/>
        <u/>
        <sz val="8"/>
        <rFont val="Times New Roman"/>
        <family val="1"/>
      </rPr>
      <t>GASBS No. 87</t>
    </r>
    <r>
      <rPr>
        <sz val="8"/>
        <rFont val="Times New Roman"/>
        <family val="1"/>
      </rPr>
      <t>)</t>
    </r>
  </si>
  <si>
    <t xml:space="preserve">Other Intangible Assets </t>
  </si>
  <si>
    <t>Secretary of Administration Total</t>
  </si>
  <si>
    <t>Reduction in lease asset and liability</t>
  </si>
  <si>
    <t>Truck Manufacturing Grant Fund</t>
  </si>
  <si>
    <t>VASexual&amp;DomstcViolncPrvntnFnd</t>
  </si>
  <si>
    <t>Opioid Abatement Fund</t>
  </si>
  <si>
    <t>ARP-CrvStLoclFisRecFd-COVID-19</t>
  </si>
  <si>
    <t>FEMA - State Agy - COVID-19</t>
  </si>
  <si>
    <t>Coleman Bridge Revenue Fund</t>
  </si>
  <si>
    <t>Coleman Bridge Maint&amp;Repl Fund</t>
  </si>
  <si>
    <t>EZ Pass</t>
  </si>
  <si>
    <t>Port Opportunity Fund</t>
  </si>
  <si>
    <t>VA529 Agency Operating</t>
  </si>
  <si>
    <t>Prepaid529</t>
  </si>
  <si>
    <t>Internal Service Fund - ODGA</t>
  </si>
  <si>
    <t>Court Ordered Restitutn Pymnts</t>
  </si>
  <si>
    <t>VEC - Admin Grants - COVID-19</t>
  </si>
  <si>
    <t>Lcl Susp Dispsbl Plstic Bag Tx</t>
  </si>
  <si>
    <t>I-81 - Bond Construction Fund</t>
  </si>
  <si>
    <t>I-81 – Principal &amp; Interest</t>
  </si>
  <si>
    <t>Voter Education &amp; Outreach Fnd</t>
  </si>
  <si>
    <t>Percentage of IncomePaymntFund</t>
  </si>
  <si>
    <t>Children's Advocacy Fund</t>
  </si>
  <si>
    <t>Special Workforce Grant Fund</t>
  </si>
  <si>
    <t>Crisis Call Center Fund</t>
  </si>
  <si>
    <t>Low-to-Mod Inc Solar &amp; Reb Fnd</t>
  </si>
  <si>
    <t>EmrgncyRentalAsstPrgm-COVID-19</t>
  </si>
  <si>
    <t>ChafeeEdu/TrainVchPgm-COVID-19</t>
  </si>
  <si>
    <t>Chafee Foster CarePgm-COVID-19</t>
  </si>
  <si>
    <t>PandemicEBTAdminCosts-COVID-19</t>
  </si>
  <si>
    <t>HousingOppPrsnW/Aids-COVID-19</t>
  </si>
  <si>
    <t>EmrgncyShelterGrntPgm-COVID-19</t>
  </si>
  <si>
    <t>NGMilitaryOP&amp;MaintPrj-COVID-19</t>
  </si>
  <si>
    <t>CDBGrants-States Prgm-COVID-19</t>
  </si>
  <si>
    <t>EldrAbsPrvnIntrvtnPrg-COVID-19</t>
  </si>
  <si>
    <t>FEMA - Local Gov - COVID-19</t>
  </si>
  <si>
    <t>FEMA - VDH - COVID-19</t>
  </si>
  <si>
    <t>FEMA - Non-Profit - COVID-19</t>
  </si>
  <si>
    <t>FEMA - VDEM - COVID-19</t>
  </si>
  <si>
    <t>FEMA - VDEM-CRF - COVID-19</t>
  </si>
  <si>
    <t>ExDsbNwkAcsCOVID19Vac-COVID-19</t>
  </si>
  <si>
    <t>ARP-PrevntHlthTitle3D-COVID-19</t>
  </si>
  <si>
    <t>ARP-MIEC HomeVisiting-COVID-19</t>
  </si>
  <si>
    <t>BG CommMentlHlthSvcs-COVID-19</t>
  </si>
  <si>
    <t>BG Prev/TreatSubsAbse-COVID-19</t>
  </si>
  <si>
    <t>HlthDptRspnPblcHlthCr-COVID-19</t>
  </si>
  <si>
    <t>Grants to States – COVID-19</t>
  </si>
  <si>
    <t>ARP-CapitalPrjctsFund-COVID-19</t>
  </si>
  <si>
    <t>ARP-HomeownerAsstFund-COVID-19</t>
  </si>
  <si>
    <t>ARP-EmrgncyRntlAsstFd-COVID-19</t>
  </si>
  <si>
    <t>ARP-StSmallBusCrdIntv-COVID-19</t>
  </si>
  <si>
    <t>EmgGrntMntlSbsUseDsdr-COVID-19</t>
  </si>
  <si>
    <t>StAdmMtchGrtSupNutrtn-COVID-19</t>
  </si>
  <si>
    <t>Rural Hlth RsrchCntrs-COVID-19</t>
  </si>
  <si>
    <t>STD Prvntn&amp;Cntrl Grnt-COVID-19</t>
  </si>
  <si>
    <t>Randolph Sheppard-Rlf-COVID-19</t>
  </si>
  <si>
    <t>SpcEdInfants/Families-COVID-19</t>
  </si>
  <si>
    <t>TempAsstForNeedyFamly-COVID-19</t>
  </si>
  <si>
    <t>Comm-BasdChldAbsePrvt-COVID-19</t>
  </si>
  <si>
    <t>ChldAbse&amp;NeglctStGrnt-COVID-19</t>
  </si>
  <si>
    <t>CN CACFP Emrgncy Csts-COVID-19</t>
  </si>
  <si>
    <t>ShuttrdVenueOprtrGrnt-COVID-19</t>
  </si>
  <si>
    <t>AmeriCorps - COVID-19</t>
  </si>
  <si>
    <t>PromoSafe/StableFam-COVID-19</t>
  </si>
  <si>
    <t>HomeInvstPrtnrshpsPgm-COVID-19</t>
  </si>
  <si>
    <t>StEnvrnmtlJstCopAgrmt-COVID-19</t>
  </si>
  <si>
    <t>02009</t>
  </si>
  <si>
    <t>02074</t>
  </si>
  <si>
    <t>02095</t>
  </si>
  <si>
    <t>03210</t>
  </si>
  <si>
    <t>03230</t>
  </si>
  <si>
    <t>03280</t>
  </si>
  <si>
    <t>03710</t>
  </si>
  <si>
    <t>04370</t>
  </si>
  <si>
    <t>04371</t>
  </si>
  <si>
    <t>04820</t>
  </si>
  <si>
    <t>06018</t>
  </si>
  <si>
    <t>07035</t>
  </si>
  <si>
    <t>07104</t>
  </si>
  <si>
    <t>07115</t>
  </si>
  <si>
    <t>07861</t>
  </si>
  <si>
    <t>07864</t>
  </si>
  <si>
    <t>09029</t>
  </si>
  <si>
    <t>09047</t>
  </si>
  <si>
    <t>09048</t>
  </si>
  <si>
    <t>09057</t>
  </si>
  <si>
    <t>09071</t>
  </si>
  <si>
    <t>09072</t>
  </si>
  <si>
    <t>10470</t>
  </si>
  <si>
    <t>10480</t>
  </si>
  <si>
    <t>10490</t>
  </si>
  <si>
    <t>10570</t>
  </si>
  <si>
    <t>10590</t>
  </si>
  <si>
    <t>10640</t>
  </si>
  <si>
    <t>10650</t>
  </si>
  <si>
    <t>10690</t>
  </si>
  <si>
    <t>10700</t>
  </si>
  <si>
    <t>10710</t>
  </si>
  <si>
    <t>10720</t>
  </si>
  <si>
    <t>10740</t>
  </si>
  <si>
    <t>10750</t>
  </si>
  <si>
    <t>10760</t>
  </si>
  <si>
    <t>10780</t>
  </si>
  <si>
    <t>10810</t>
  </si>
  <si>
    <t>10820</t>
  </si>
  <si>
    <t>10830</t>
  </si>
  <si>
    <t>10840</t>
  </si>
  <si>
    <t>12030</t>
  </si>
  <si>
    <t>12050</t>
  </si>
  <si>
    <t>12100</t>
  </si>
  <si>
    <t>12110</t>
  </si>
  <si>
    <t>12120</t>
  </si>
  <si>
    <t>12130</t>
  </si>
  <si>
    <t>12140</t>
  </si>
  <si>
    <t>12150</t>
  </si>
  <si>
    <t>12160</t>
  </si>
  <si>
    <t>12170</t>
  </si>
  <si>
    <t>12180</t>
  </si>
  <si>
    <t>12200</t>
  </si>
  <si>
    <t>12210</t>
  </si>
  <si>
    <t>12220</t>
  </si>
  <si>
    <t>12230</t>
  </si>
  <si>
    <t>12240</t>
  </si>
  <si>
    <t>12250</t>
  </si>
  <si>
    <t>12260</t>
  </si>
  <si>
    <t>12270</t>
  </si>
  <si>
    <t>12280</t>
  </si>
  <si>
    <t>12290</t>
  </si>
  <si>
    <t>12300</t>
  </si>
  <si>
    <t>12310</t>
  </si>
  <si>
    <r>
      <t xml:space="preserve">Increase (Decrease) in Financed Purchase Obligations </t>
    </r>
    <r>
      <rPr>
        <b/>
        <sz val="10"/>
        <rFont val="Times New Roman"/>
        <family val="1"/>
      </rPr>
      <t>(</t>
    </r>
    <r>
      <rPr>
        <b/>
        <u/>
        <sz val="10"/>
        <rFont val="Times New Roman"/>
        <family val="1"/>
      </rPr>
      <t>GASBS No. 87</t>
    </r>
    <r>
      <rPr>
        <b/>
        <sz val="10"/>
        <rFont val="Times New Roman"/>
        <family val="1"/>
      </rPr>
      <t>)</t>
    </r>
  </si>
  <si>
    <t xml:space="preserve">   Total Other Capital Assets, Net</t>
  </si>
  <si>
    <t xml:space="preserve">       Total Accumulated Depreciation and Amortization</t>
  </si>
  <si>
    <t xml:space="preserve">       Total Accumulated Amortization </t>
  </si>
  <si>
    <t>SOA - 06018, 06136</t>
  </si>
  <si>
    <r>
      <t xml:space="preserve">Long-term Lease Liabilities </t>
    </r>
    <r>
      <rPr>
        <b/>
        <u/>
        <sz val="10"/>
        <rFont val="Times New Roman"/>
        <family val="1"/>
      </rPr>
      <t>(GASBS No. 87)</t>
    </r>
    <r>
      <rPr>
        <sz val="10"/>
        <rFont val="Times New Roman"/>
        <family val="1"/>
      </rPr>
      <t xml:space="preserve"> Used to Finance Capital Assets </t>
    </r>
  </si>
  <si>
    <r>
      <t>Long-term Lease Liabilities (</t>
    </r>
    <r>
      <rPr>
        <b/>
        <u/>
        <sz val="9"/>
        <color indexed="12"/>
        <rFont val="Times New Roman"/>
        <family val="1"/>
      </rPr>
      <t>GASBS No. 87</t>
    </r>
    <r>
      <rPr>
        <sz val="9"/>
        <color indexed="12"/>
        <rFont val="Times New Roman"/>
        <family val="1"/>
      </rPr>
      <t xml:space="preserve">) Used to Finance Capital Assets </t>
    </r>
  </si>
  <si>
    <r>
      <t>Financed Purchase Obligations (</t>
    </r>
    <r>
      <rPr>
        <b/>
        <u/>
        <sz val="9"/>
        <color indexed="12"/>
        <rFont val="Times New Roman"/>
        <family val="1"/>
      </rPr>
      <t>GASBS No. 87</t>
    </r>
    <r>
      <rPr>
        <sz val="9"/>
        <color indexed="12"/>
        <rFont val="Times New Roman"/>
        <family val="1"/>
      </rPr>
      <t xml:space="preserve">) Used to Finance Capital Assets </t>
    </r>
  </si>
  <si>
    <r>
      <rPr>
        <b/>
        <u/>
        <sz val="11"/>
        <rFont val="Times New Roman"/>
        <family val="1"/>
      </rPr>
      <t>GASBS No. 87</t>
    </r>
    <r>
      <rPr>
        <b/>
        <sz val="11"/>
        <rFont val="Times New Roman"/>
        <family val="1"/>
      </rPr>
      <t xml:space="preserve">, </t>
    </r>
    <r>
      <rPr>
        <i/>
        <sz val="11"/>
        <rFont val="Times New Roman"/>
        <family val="1"/>
      </rPr>
      <t>Leases</t>
    </r>
    <r>
      <rPr>
        <sz val="11"/>
        <rFont val="Times New Roman"/>
        <family val="1"/>
      </rPr>
      <t xml:space="preserve"> (</t>
    </r>
    <r>
      <rPr>
        <b/>
        <u/>
        <sz val="11"/>
        <rFont val="Times New Roman"/>
        <family val="1"/>
      </rPr>
      <t>Note</t>
    </r>
    <r>
      <rPr>
        <sz val="11"/>
        <rFont val="Times New Roman"/>
        <family val="1"/>
      </rPr>
      <t>: DOA may request additional information in a separate communication.)</t>
    </r>
  </si>
  <si>
    <t>VITA - 06136, 06137, 06170</t>
  </si>
  <si>
    <r>
      <t>Long-term Lease Liabilities (</t>
    </r>
    <r>
      <rPr>
        <b/>
        <u/>
        <sz val="9"/>
        <rFont val="Times New Roman"/>
        <family val="1"/>
      </rPr>
      <t>GASBS No. 87</t>
    </r>
    <r>
      <rPr>
        <sz val="9"/>
        <rFont val="Times New Roman"/>
        <family val="1"/>
      </rPr>
      <t>)</t>
    </r>
  </si>
  <si>
    <r>
      <t>Financed Purchase Obligations (</t>
    </r>
    <r>
      <rPr>
        <b/>
        <u/>
        <sz val="9"/>
        <rFont val="Times New Roman"/>
        <family val="1"/>
      </rPr>
      <t>GASBS No. 87</t>
    </r>
    <r>
      <rPr>
        <sz val="9"/>
        <rFont val="Times New Roman"/>
        <family val="1"/>
      </rPr>
      <t>)</t>
    </r>
  </si>
  <si>
    <t>Other Capital Assets, Net</t>
  </si>
  <si>
    <r>
      <t>Increase (Decrease) in Long-term Lease Liabilities (</t>
    </r>
    <r>
      <rPr>
        <b/>
        <u/>
        <sz val="9"/>
        <rFont val="Times New Roman"/>
        <family val="1"/>
      </rPr>
      <t>GASBS No. 87</t>
    </r>
    <r>
      <rPr>
        <sz val="9"/>
        <rFont val="Times New Roman"/>
        <family val="1"/>
      </rPr>
      <t>)</t>
    </r>
  </si>
  <si>
    <t>Long-term Lease Liabilities</t>
  </si>
  <si>
    <t>Less Accumulated Amortization for:</t>
  </si>
  <si>
    <r>
      <t>If</t>
    </r>
    <r>
      <rPr>
        <b/>
        <sz val="8"/>
        <rFont val="Times New Roman"/>
        <family val="1"/>
      </rPr>
      <t xml:space="preserve"> yes</t>
    </r>
    <r>
      <rPr>
        <sz val="8"/>
        <rFont val="Times New Roman"/>
        <family val="1"/>
      </rPr>
      <t xml:space="preserve"> for a </t>
    </r>
    <r>
      <rPr>
        <b/>
        <u/>
        <sz val="8"/>
        <rFont val="Times New Roman"/>
        <family val="1"/>
      </rPr>
      <t>GASBS No. 87</t>
    </r>
    <r>
      <rPr>
        <sz val="8"/>
        <rFont val="Times New Roman"/>
        <family val="1"/>
      </rPr>
      <t xml:space="preserve"> lease impairment, provide the reduction in lease asset and liability resulting from the impairment.  If applicable, provide the impairment loss in </t>
    </r>
  </si>
  <si>
    <r>
      <t>Part 3:  Long-term Lease Liabilities (</t>
    </r>
    <r>
      <rPr>
        <b/>
        <u/>
        <sz val="10"/>
        <rFont val="Times New Roman"/>
        <family val="1"/>
      </rPr>
      <t>GASBS No. 87</t>
    </r>
    <r>
      <rPr>
        <b/>
        <sz val="10"/>
        <rFont val="Times New Roman"/>
        <family val="1"/>
      </rPr>
      <t>):</t>
    </r>
  </si>
  <si>
    <r>
      <t>Part 3a)</t>
    </r>
    <r>
      <rPr>
        <sz val="10"/>
        <rFont val="Times New Roman"/>
        <family val="1"/>
      </rPr>
      <t>:  Did the Fund recognize any variable lease payments that were NOT previously included in the measurement of the lease liability?</t>
    </r>
  </si>
  <si>
    <r>
      <t xml:space="preserve">If </t>
    </r>
    <r>
      <rPr>
        <b/>
        <sz val="10"/>
        <rFont val="Times New Roman"/>
        <family val="1"/>
      </rPr>
      <t>yes</t>
    </r>
    <r>
      <rPr>
        <sz val="10"/>
        <rFont val="Times New Roman"/>
        <family val="1"/>
      </rPr>
      <t xml:space="preserve">, provide explanation below including payment amounts. If </t>
    </r>
    <r>
      <rPr>
        <b/>
        <sz val="10"/>
        <rFont val="Times New Roman"/>
        <family val="1"/>
      </rPr>
      <t>no</t>
    </r>
    <r>
      <rPr>
        <sz val="10"/>
        <rFont val="Times New Roman"/>
        <family val="1"/>
      </rPr>
      <t>, leave the yellow space blank.</t>
    </r>
  </si>
  <si>
    <r>
      <t>Part 3b)</t>
    </r>
    <r>
      <rPr>
        <sz val="10"/>
        <rFont val="Times New Roman"/>
        <family val="1"/>
      </rPr>
      <t>:  Did the Fund recognize any other payments for penalties or residual value guarantees that were NOT previously included in the measurement of the lease liability?</t>
    </r>
  </si>
  <si>
    <r>
      <t>Part 4:  Financed Purchases Obligations (</t>
    </r>
    <r>
      <rPr>
        <b/>
        <u/>
        <sz val="10"/>
        <rFont val="Times New Roman"/>
        <family val="1"/>
      </rPr>
      <t>GASBS No. 87</t>
    </r>
    <r>
      <rPr>
        <b/>
        <sz val="10"/>
        <rFont val="Times New Roman"/>
        <family val="1"/>
      </rPr>
      <t>):</t>
    </r>
  </si>
  <si>
    <t>TAB 5-Part 1, Part 5</t>
  </si>
  <si>
    <r>
      <t xml:space="preserve">Increase (Decrease) in Long-term Lease Liabilities </t>
    </r>
    <r>
      <rPr>
        <b/>
        <u/>
        <sz val="10"/>
        <rFont val="Times New Roman"/>
        <family val="1"/>
      </rPr>
      <t>(GASBS No. 87</t>
    </r>
    <r>
      <rPr>
        <sz val="10"/>
        <rFont val="Times New Roman"/>
        <family val="1"/>
      </rPr>
      <t>)</t>
    </r>
  </si>
  <si>
    <t>Increase (Decrease) in Installment Purchase Obligations</t>
  </si>
  <si>
    <r>
      <t>Increase (Decrease) in Financed Purchase Obligations (</t>
    </r>
    <r>
      <rPr>
        <b/>
        <u/>
        <sz val="9"/>
        <rFont val="Times New Roman"/>
        <family val="1"/>
      </rPr>
      <t>GASBS No. 87</t>
    </r>
    <r>
      <rPr>
        <sz val="9"/>
        <rFont val="Times New Roman"/>
        <family val="1"/>
      </rPr>
      <t>)</t>
    </r>
  </si>
  <si>
    <r>
      <t xml:space="preserve">Financed Purchase Obligations </t>
    </r>
    <r>
      <rPr>
        <b/>
        <u/>
        <sz val="10"/>
        <rFont val="Times New Roman"/>
        <family val="1"/>
      </rPr>
      <t>(GASBS No. 87)</t>
    </r>
    <r>
      <rPr>
        <sz val="10"/>
        <rFont val="Times New Roman"/>
        <family val="1"/>
      </rPr>
      <t xml:space="preserve"> Used to Finance Capital Assets </t>
    </r>
  </si>
  <si>
    <r>
      <t xml:space="preserve">The Commonwealth capitalizes construction-in-progress using the scope for equipment or buildings.  Expenditures are classified as construction-in-progress if:  1) they extend the asset life, improve productivity, or improve the quality of service; and 2) they fall into the planning, acquisition, construction, improvement, renovation, repair, replacement, relocation or demolition phase of the asset life. Note: Construction-in-progress also includes expenses for the construction/development of internally generated intangible assets until substantially complete and operational in accordance with </t>
    </r>
    <r>
      <rPr>
        <b/>
        <u/>
        <sz val="8"/>
        <rFont val="Times New Roman"/>
        <family val="1"/>
      </rPr>
      <t>GASBS No. 51</t>
    </r>
    <r>
      <rPr>
        <sz val="8"/>
        <rFont val="Times New Roman"/>
        <family val="1"/>
      </rPr>
      <t xml:space="preserve"> and they are reclassified to the appropriate intangible asset FST line item.</t>
    </r>
  </si>
  <si>
    <t>Human Capital Management System</t>
  </si>
  <si>
    <t>Chilean Peso</t>
  </si>
  <si>
    <t>U.S Dollar</t>
  </si>
  <si>
    <t>Total of 
Credit Risk 
(Columns F-O) 
should equal 
Interest Risk 
(Columns R-U)</t>
  </si>
  <si>
    <r>
      <t xml:space="preserve">Prior to July 1, 2021, interest incurred during the construction of capital assets is included in the capitalized value of the assets.  Starting July 1, 2021, and pursuant to </t>
    </r>
    <r>
      <rPr>
        <b/>
        <u/>
        <sz val="8"/>
        <rFont val="Times New Roman"/>
        <family val="1"/>
      </rPr>
      <t>GASBS No. 89</t>
    </r>
    <r>
      <rPr>
        <sz val="8"/>
        <rFont val="Times New Roman"/>
        <family val="1"/>
      </rPr>
      <t xml:space="preserve">, 
</t>
    </r>
    <r>
      <rPr>
        <i/>
        <sz val="8"/>
        <rFont val="Times New Roman"/>
        <family val="1"/>
      </rPr>
      <t>Accounting for Interest Cost Incurred before the End of a Construction Period</t>
    </r>
    <r>
      <rPr>
        <sz val="8"/>
        <rFont val="Times New Roman"/>
        <family val="1"/>
      </rPr>
      <t>, interest costs incurred before the end of the construction period are recognized as an expense in the 
period in which the cost is incurred and is not included in the capitalized value of the assets.</t>
    </r>
  </si>
  <si>
    <r>
      <t xml:space="preserve">Long-term Lease Liabilities </t>
    </r>
    <r>
      <rPr>
        <b/>
        <sz val="10"/>
        <rFont val="Times New Roman"/>
        <family val="1"/>
      </rPr>
      <t>(</t>
    </r>
    <r>
      <rPr>
        <b/>
        <u/>
        <sz val="10"/>
        <rFont val="Times New Roman"/>
        <family val="1"/>
      </rPr>
      <t>GASBS No. 87</t>
    </r>
    <r>
      <rPr>
        <b/>
        <sz val="10"/>
        <rFont val="Times New Roman"/>
        <family val="1"/>
      </rPr>
      <t>)</t>
    </r>
  </si>
  <si>
    <r>
      <t xml:space="preserve">Financed Purchase Obligations </t>
    </r>
    <r>
      <rPr>
        <b/>
        <sz val="10"/>
        <rFont val="Times New Roman"/>
        <family val="1"/>
      </rPr>
      <t>(</t>
    </r>
    <r>
      <rPr>
        <b/>
        <u/>
        <sz val="10"/>
        <rFont val="Times New Roman"/>
        <family val="1"/>
      </rPr>
      <t>GASBS No. 87</t>
    </r>
    <r>
      <rPr>
        <b/>
        <sz val="10"/>
        <rFont val="Times New Roman"/>
        <family val="1"/>
      </rPr>
      <t>)</t>
    </r>
  </si>
  <si>
    <r>
      <t xml:space="preserve">Obligating Events: </t>
    </r>
    <r>
      <rPr>
        <sz val="11"/>
        <rFont val="Times New Roman"/>
        <family val="1"/>
      </rPr>
      <t xml:space="preserve"> Does the agency know or reasonably believe a site is polluted / contaminated </t>
    </r>
    <r>
      <rPr>
        <b/>
        <sz val="11"/>
        <rFont val="Times New Roman"/>
        <family val="1"/>
      </rPr>
      <t xml:space="preserve">and </t>
    </r>
    <r>
      <rPr>
        <sz val="11"/>
        <rFont val="Times New Roman"/>
        <family val="1"/>
      </rPr>
      <t xml:space="preserve">an obligating event* as defined in </t>
    </r>
    <r>
      <rPr>
        <b/>
        <u/>
        <sz val="11"/>
        <rFont val="Times New Roman"/>
        <family val="1"/>
      </rPr>
      <t>GASBS No. 49</t>
    </r>
    <r>
      <rPr>
        <sz val="11"/>
        <rFont val="Times New Roman"/>
        <family val="1"/>
      </rPr>
      <t xml:space="preserve"> has occurred? 
If </t>
    </r>
    <r>
      <rPr>
        <b/>
        <sz val="11"/>
        <rFont val="Times New Roman"/>
        <family val="1"/>
      </rPr>
      <t>yes</t>
    </r>
    <r>
      <rPr>
        <sz val="11"/>
        <rFont val="Times New Roman"/>
        <family val="1"/>
      </rPr>
      <t xml:space="preserve">, DOA will send a separate communication. </t>
    </r>
  </si>
  <si>
    <r>
      <t xml:space="preserve">Does the agency have any pledged collateral for any </t>
    </r>
    <r>
      <rPr>
        <b/>
        <u/>
        <sz val="11"/>
        <rFont val="Times New Roman"/>
        <family val="1"/>
      </rPr>
      <t>GASBS No. 87</t>
    </r>
    <r>
      <rPr>
        <sz val="11"/>
        <rFont val="Times New Roman"/>
        <family val="1"/>
      </rPr>
      <t xml:space="preserve"> lease other than the underlying leased asset?
If </t>
    </r>
    <r>
      <rPr>
        <b/>
        <sz val="11"/>
        <rFont val="Times New Roman"/>
        <family val="1"/>
      </rPr>
      <t>yes</t>
    </r>
    <r>
      <rPr>
        <sz val="11"/>
        <rFont val="Times New Roman"/>
        <family val="1"/>
      </rPr>
      <t>, provide the description of the collateral.</t>
    </r>
  </si>
  <si>
    <r>
      <t xml:space="preserve">1) </t>
    </r>
    <r>
      <rPr>
        <b/>
        <sz val="11"/>
        <rFont val="Times New Roman"/>
        <family val="1"/>
      </rPr>
      <t>Hedging Derivative Instruments</t>
    </r>
    <r>
      <rPr>
        <sz val="11"/>
        <rFont val="Times New Roman"/>
        <family val="1"/>
      </rPr>
      <t xml:space="preserve"> - Accumulated decrease in fair value of hedging derivative instruments (</t>
    </r>
    <r>
      <rPr>
        <b/>
        <u/>
        <sz val="11"/>
        <rFont val="Times New Roman"/>
        <family val="1"/>
      </rPr>
      <t>GASBS No. 53</t>
    </r>
    <r>
      <rPr>
        <sz val="11"/>
        <rFont val="Times New Roman"/>
        <family val="1"/>
      </rPr>
      <t xml:space="preserve">  paragraph 20)</t>
    </r>
  </si>
  <si>
    <r>
      <t xml:space="preserve">4) </t>
    </r>
    <r>
      <rPr>
        <b/>
        <sz val="11"/>
        <rFont val="Times New Roman"/>
        <family val="1"/>
      </rPr>
      <t>Government-Mandated &amp; Voluntary Nonexchange Transactions</t>
    </r>
    <r>
      <rPr>
        <sz val="11"/>
        <rFont val="Times New Roman"/>
        <family val="1"/>
      </rPr>
      <t>:   Resources providers transmit to recipients before time requirements are met, but after the other eligibility requirements have been met  (</t>
    </r>
    <r>
      <rPr>
        <b/>
        <u/>
        <sz val="11"/>
        <rFont val="Times New Roman"/>
        <family val="1"/>
      </rPr>
      <t>GASBS No. 65</t>
    </r>
    <r>
      <rPr>
        <sz val="11"/>
        <rFont val="Times New Roman"/>
        <family val="1"/>
      </rPr>
      <t xml:space="preserve"> paragraphs 8 &amp; 10)</t>
    </r>
  </si>
  <si>
    <r>
      <t xml:space="preserve">5) </t>
    </r>
    <r>
      <rPr>
        <b/>
        <sz val="11"/>
        <rFont val="Times New Roman"/>
        <family val="1"/>
      </rPr>
      <t>Intra-Entity Transfers of Future Revenues</t>
    </r>
    <r>
      <rPr>
        <sz val="11"/>
        <rFont val="Times New Roman"/>
        <family val="1"/>
      </rPr>
      <t xml:space="preserve"> - Amount  the transferee government paid to the transferor government in an intra-entity sale of future revenues (</t>
    </r>
    <r>
      <rPr>
        <b/>
        <u/>
        <sz val="11"/>
        <rFont val="Times New Roman"/>
        <family val="1"/>
      </rPr>
      <t>GASBS No. 65</t>
    </r>
    <r>
      <rPr>
        <sz val="11"/>
        <rFont val="Times New Roman"/>
        <family val="1"/>
      </rPr>
      <t xml:space="preserve"> paragraphs 11 &amp;  13)</t>
    </r>
  </si>
  <si>
    <r>
      <t xml:space="preserve">9) </t>
    </r>
    <r>
      <rPr>
        <b/>
        <sz val="11"/>
        <rFont val="Times New Roman"/>
        <family val="1"/>
      </rPr>
      <t>Pension-Related</t>
    </r>
    <r>
      <rPr>
        <sz val="11"/>
        <rFont val="Times New Roman"/>
        <family val="1"/>
      </rPr>
      <t xml:space="preserve"> - VRS defined benefit pension plans</t>
    </r>
    <r>
      <rPr>
        <b/>
        <u/>
        <sz val="11"/>
        <rFont val="Times New Roman"/>
        <family val="1"/>
      </rPr>
      <t xml:space="preserve"> (GASBS No. 68</t>
    </r>
    <r>
      <rPr>
        <sz val="11"/>
        <rFont val="Times New Roman"/>
        <family val="1"/>
      </rPr>
      <t xml:space="preserve">, as amended by </t>
    </r>
    <r>
      <rPr>
        <b/>
        <u/>
        <sz val="11"/>
        <rFont val="Times New Roman"/>
        <family val="1"/>
      </rPr>
      <t>GASBS No. 73)</t>
    </r>
  </si>
  <si>
    <r>
      <t xml:space="preserve">3) </t>
    </r>
    <r>
      <rPr>
        <b/>
        <sz val="11"/>
        <rFont val="Times New Roman"/>
        <family val="1"/>
      </rPr>
      <t>Refundings of Debt</t>
    </r>
    <r>
      <rPr>
        <sz val="11"/>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11"/>
        <rFont val="Times New Roman"/>
        <family val="1"/>
      </rPr>
      <t>GASBS No. 87</t>
    </r>
    <r>
      <rPr>
        <sz val="11"/>
        <rFont val="Times New Roman"/>
        <family val="1"/>
      </rPr>
      <t xml:space="preserve"> paragraph 74)</t>
    </r>
  </si>
  <si>
    <r>
      <t xml:space="preserve">7) </t>
    </r>
    <r>
      <rPr>
        <b/>
        <sz val="11"/>
        <rFont val="Times New Roman"/>
        <family val="1"/>
      </rPr>
      <t>Mortgage Banking Activities</t>
    </r>
    <r>
      <rPr>
        <sz val="11"/>
        <rFont val="Times New Roman"/>
        <family val="1"/>
      </rPr>
      <t xml:space="preserve"> -  Direct loan origination costs of loans held for sale until loan is sold   (</t>
    </r>
    <r>
      <rPr>
        <b/>
        <u/>
        <sz val="11"/>
        <rFont val="Times New Roman"/>
        <family val="1"/>
      </rPr>
      <t>GASBS No. 65</t>
    </r>
    <r>
      <rPr>
        <sz val="11"/>
        <rFont val="Times New Roman"/>
        <family val="1"/>
      </rPr>
      <t xml:space="preserve"> paragraphs 25 &amp; 26)
</t>
    </r>
  </si>
  <si>
    <r>
      <t xml:space="preserve">8) </t>
    </r>
    <r>
      <rPr>
        <b/>
        <sz val="11"/>
        <rFont val="Times New Roman"/>
        <family val="1"/>
      </rPr>
      <t xml:space="preserve">Mortgage Banking Activities </t>
    </r>
    <r>
      <rPr>
        <sz val="11"/>
        <rFont val="Times New Roman"/>
        <family val="1"/>
      </rPr>
      <t>- Fees paid to permanent investors  prior to the sale of the loans (</t>
    </r>
    <r>
      <rPr>
        <b/>
        <u/>
        <sz val="11"/>
        <rFont val="Times New Roman"/>
        <family val="1"/>
      </rPr>
      <t>GASBS No. 65</t>
    </r>
    <r>
      <rPr>
        <sz val="11"/>
        <rFont val="Times New Roman"/>
        <family val="1"/>
      </rPr>
      <t xml:space="preserve"> paragraphs 25 &amp; 27)</t>
    </r>
  </si>
  <si>
    <r>
      <t xml:space="preserve">10) </t>
    </r>
    <r>
      <rPr>
        <b/>
        <sz val="11"/>
        <rFont val="Times New Roman"/>
        <family val="1"/>
      </rPr>
      <t>Other Postemployment Benefits-Related</t>
    </r>
    <r>
      <rPr>
        <sz val="11"/>
        <rFont val="Times New Roman"/>
        <family val="1"/>
      </rPr>
      <t xml:space="preserve"> - VRS other postemployment benefit plans </t>
    </r>
    <r>
      <rPr>
        <b/>
        <sz val="11"/>
        <rFont val="Times New Roman"/>
        <family val="1"/>
      </rPr>
      <t>(</t>
    </r>
    <r>
      <rPr>
        <b/>
        <u/>
        <sz val="11"/>
        <rFont val="Times New Roman"/>
        <family val="1"/>
      </rPr>
      <t>GASBS No. 75</t>
    </r>
    <r>
      <rPr>
        <b/>
        <sz val="11"/>
        <rFont val="Times New Roman"/>
        <family val="1"/>
      </rPr>
      <t>)</t>
    </r>
  </si>
  <si>
    <r>
      <t xml:space="preserve">11) </t>
    </r>
    <r>
      <rPr>
        <b/>
        <sz val="11"/>
        <rFont val="Times New Roman"/>
        <family val="1"/>
      </rPr>
      <t>Other Postemployment Benefits-Related</t>
    </r>
    <r>
      <rPr>
        <sz val="11"/>
        <rFont val="Times New Roman"/>
        <family val="1"/>
      </rPr>
      <t xml:space="preserve"> - DHRM other postemployment benefit plan - Pre-Medicare Retiree Healthcare </t>
    </r>
    <r>
      <rPr>
        <b/>
        <sz val="11"/>
        <rFont val="Times New Roman"/>
        <family val="1"/>
      </rPr>
      <t>(</t>
    </r>
    <r>
      <rPr>
        <b/>
        <u/>
        <sz val="11"/>
        <rFont val="Times New Roman"/>
        <family val="1"/>
      </rPr>
      <t>GASB No. 75</t>
    </r>
    <r>
      <rPr>
        <b/>
        <sz val="11"/>
        <rFont val="Times New Roman"/>
        <family val="1"/>
      </rPr>
      <t>)</t>
    </r>
  </si>
  <si>
    <r>
      <t xml:space="preserve">14) </t>
    </r>
    <r>
      <rPr>
        <b/>
        <sz val="11"/>
        <rFont val="Times New Roman"/>
        <family val="1"/>
      </rPr>
      <t>Pension-Related</t>
    </r>
    <r>
      <rPr>
        <sz val="11"/>
        <rFont val="Times New Roman"/>
        <family val="1"/>
      </rPr>
      <t xml:space="preserve"> - VRS defined benefit pension plans</t>
    </r>
    <r>
      <rPr>
        <b/>
        <sz val="11"/>
        <rFont val="Times New Roman"/>
        <family val="1"/>
      </rPr>
      <t xml:space="preserve"> </t>
    </r>
    <r>
      <rPr>
        <b/>
        <u/>
        <sz val="11"/>
        <rFont val="Times New Roman"/>
        <family val="1"/>
      </rPr>
      <t>(GASBS No. 68)</t>
    </r>
  </si>
  <si>
    <r>
      <t xml:space="preserve">1)  </t>
    </r>
    <r>
      <rPr>
        <b/>
        <sz val="11"/>
        <rFont val="Times New Roman"/>
        <family val="1"/>
      </rPr>
      <t>Hedging Derivative Instruments</t>
    </r>
    <r>
      <rPr>
        <sz val="11"/>
        <rFont val="Times New Roman"/>
        <family val="1"/>
      </rPr>
      <t xml:space="preserve"> - Accumulated increase in fair value of hedging derivative instruments (</t>
    </r>
    <r>
      <rPr>
        <b/>
        <u/>
        <sz val="11"/>
        <rFont val="Times New Roman"/>
        <family val="1"/>
      </rPr>
      <t>GASBS No. 53</t>
    </r>
    <r>
      <rPr>
        <sz val="11"/>
        <rFont val="Times New Roman"/>
        <family val="1"/>
      </rPr>
      <t xml:space="preserve"> paragraph 20)</t>
    </r>
  </si>
  <si>
    <r>
      <t xml:space="preserve">15)  </t>
    </r>
    <r>
      <rPr>
        <b/>
        <sz val="11"/>
        <rFont val="Times New Roman"/>
        <family val="1"/>
      </rPr>
      <t>Other Postemployment Benefits-Related</t>
    </r>
    <r>
      <rPr>
        <sz val="11"/>
        <rFont val="Times New Roman"/>
        <family val="1"/>
      </rPr>
      <t xml:space="preserve"> - VRS other postemployment benefit plans </t>
    </r>
    <r>
      <rPr>
        <b/>
        <sz val="11"/>
        <rFont val="Times New Roman"/>
        <family val="1"/>
      </rPr>
      <t>(</t>
    </r>
    <r>
      <rPr>
        <b/>
        <u/>
        <sz val="11"/>
        <rFont val="Times New Roman"/>
        <family val="1"/>
      </rPr>
      <t>GASBS No. 75</t>
    </r>
    <r>
      <rPr>
        <b/>
        <sz val="11"/>
        <rFont val="Times New Roman"/>
        <family val="1"/>
      </rPr>
      <t>)</t>
    </r>
  </si>
  <si>
    <r>
      <t xml:space="preserve">16)  </t>
    </r>
    <r>
      <rPr>
        <b/>
        <sz val="11"/>
        <rFont val="Times New Roman"/>
        <family val="1"/>
      </rPr>
      <t>Other Postemployment Benefits-Related</t>
    </r>
    <r>
      <rPr>
        <sz val="11"/>
        <rFont val="Times New Roman"/>
        <family val="1"/>
      </rPr>
      <t xml:space="preserve"> - DHRM other postemployment benefit plan - Pre-Medicare Retiree Healthcare </t>
    </r>
    <r>
      <rPr>
        <b/>
        <sz val="11"/>
        <rFont val="Times New Roman"/>
        <family val="1"/>
      </rPr>
      <t>(</t>
    </r>
    <r>
      <rPr>
        <b/>
        <u/>
        <sz val="11"/>
        <rFont val="Times New Roman"/>
        <family val="1"/>
      </rPr>
      <t>GASB No. 75</t>
    </r>
    <r>
      <rPr>
        <b/>
        <sz val="11"/>
        <rFont val="Times New Roman"/>
        <family val="1"/>
      </rPr>
      <t>)</t>
    </r>
  </si>
  <si>
    <r>
      <t xml:space="preserve">  Long-term Lease Liabilities (</t>
    </r>
    <r>
      <rPr>
        <b/>
        <u/>
        <sz val="10"/>
        <rFont val="Times New Roman"/>
        <family val="1"/>
      </rPr>
      <t>GASBS No. 87</t>
    </r>
    <r>
      <rPr>
        <sz val="10"/>
        <rFont val="Times New Roman"/>
        <family val="1"/>
      </rPr>
      <t>)</t>
    </r>
  </si>
  <si>
    <r>
      <t xml:space="preserve">  Financed Purchase Obligations (</t>
    </r>
    <r>
      <rPr>
        <b/>
        <u/>
        <sz val="10"/>
        <rFont val="Times New Roman"/>
        <family val="1"/>
      </rPr>
      <t>GASBS No. 87</t>
    </r>
    <r>
      <rPr>
        <sz val="10"/>
        <rFont val="Times New Roman"/>
        <family val="1"/>
      </rPr>
      <t>)</t>
    </r>
  </si>
  <si>
    <r>
      <t xml:space="preserve">  Financed Purchase Obligations </t>
    </r>
    <r>
      <rPr>
        <b/>
        <sz val="10"/>
        <rFont val="Times New Roman"/>
        <family val="1"/>
      </rPr>
      <t>(</t>
    </r>
    <r>
      <rPr>
        <b/>
        <u/>
        <sz val="10"/>
        <rFont val="Times New Roman"/>
        <family val="1"/>
      </rPr>
      <t>GASBS No. 87</t>
    </r>
    <r>
      <rPr>
        <b/>
        <sz val="10"/>
        <rFont val="Times New Roman"/>
        <family val="1"/>
      </rPr>
      <t>)</t>
    </r>
  </si>
  <si>
    <r>
      <t>Right-to-Use Intangible Assets (</t>
    </r>
    <r>
      <rPr>
        <b/>
        <u/>
        <sz val="8"/>
        <rFont val="Times New Roman"/>
        <family val="1"/>
      </rPr>
      <t>GASBS No. 87)</t>
    </r>
  </si>
  <si>
    <r>
      <t>Right-to-Use Intangible Assets (</t>
    </r>
    <r>
      <rPr>
        <b/>
        <u/>
        <sz val="8"/>
        <rFont val="Times New Roman"/>
        <family val="1"/>
      </rPr>
      <t>GASBS No. 87</t>
    </r>
    <r>
      <rPr>
        <sz val="8"/>
        <rFont val="Times New Roman"/>
        <family val="1"/>
      </rPr>
      <t>)</t>
    </r>
  </si>
  <si>
    <r>
      <t xml:space="preserve">If </t>
    </r>
    <r>
      <rPr>
        <b/>
        <sz val="8"/>
        <rFont val="Times New Roman"/>
        <family val="1"/>
      </rPr>
      <t>yes</t>
    </r>
    <r>
      <rPr>
        <sz val="8"/>
        <rFont val="Times New Roman"/>
        <family val="1"/>
      </rPr>
      <t xml:space="preserve"> for a </t>
    </r>
    <r>
      <rPr>
        <b/>
        <u/>
        <sz val="8"/>
        <rFont val="Times New Roman"/>
        <family val="1"/>
      </rPr>
      <t>GASBS No. 42</t>
    </r>
    <r>
      <rPr>
        <b/>
        <sz val="8"/>
        <rFont val="Times New Roman"/>
        <family val="1"/>
      </rPr>
      <t xml:space="preserve"> </t>
    </r>
    <r>
      <rPr>
        <sz val="8"/>
        <rFont val="Times New Roman"/>
        <family val="1"/>
      </rPr>
      <t>lease impairment, provide the line item and amount of the net impairment loss that is reported on the financial statement template and then go to Part 3.2.</t>
    </r>
  </si>
  <si>
    <r>
      <t xml:space="preserve">6) </t>
    </r>
    <r>
      <rPr>
        <b/>
        <sz val="11"/>
        <rFont val="Times New Roman"/>
        <family val="1"/>
      </rPr>
      <t xml:space="preserve">Sale-Leaseback Transactions </t>
    </r>
    <r>
      <rPr>
        <sz val="11"/>
        <rFont val="Times New Roman"/>
        <family val="1"/>
      </rPr>
      <t>- Loss on the sale of property  that is accompanied by a leaseback of all or any part of the property for all or part of its remaining economic life   (</t>
    </r>
    <r>
      <rPr>
        <b/>
        <u/>
        <sz val="11"/>
        <rFont val="Times New Roman"/>
        <family val="1"/>
      </rPr>
      <t>GASBS No. 87</t>
    </r>
    <r>
      <rPr>
        <sz val="11"/>
        <rFont val="Times New Roman"/>
        <family val="1"/>
      </rPr>
      <t xml:space="preserve"> paragraphs 82-86)</t>
    </r>
  </si>
  <si>
    <t>DHRM - Line of Duty Total</t>
  </si>
  <si>
    <t>DHRM - PMIS Total</t>
  </si>
  <si>
    <t>VA Information Technologies Agency Total</t>
  </si>
  <si>
    <t>For the Year Ended June 30, 2023</t>
  </si>
  <si>
    <t>Financed Purchase Obligations</t>
  </si>
  <si>
    <t>Equity Mutual Funds</t>
  </si>
  <si>
    <t xml:space="preserve">British Pound Sterling </t>
  </si>
  <si>
    <t>Russian Ruble</t>
  </si>
  <si>
    <t xml:space="preserve">Peruvian Sol </t>
  </si>
  <si>
    <r>
      <t>Intangible Assets (</t>
    </r>
    <r>
      <rPr>
        <b/>
        <strike/>
        <u/>
        <sz val="8"/>
        <rFont val="Cambria"/>
        <family val="1"/>
      </rPr>
      <t>GASBS 51</t>
    </r>
    <r>
      <rPr>
        <strike/>
        <sz val="8"/>
        <rFont val="Cambria"/>
        <family val="1"/>
      </rPr>
      <t>)</t>
    </r>
  </si>
  <si>
    <t>Right-to-Use Intangible Assets (GASBS No. 87)</t>
  </si>
  <si>
    <r>
      <rPr>
        <b/>
        <u/>
        <sz val="10"/>
        <rFont val="Cambria"/>
        <family val="1"/>
      </rPr>
      <t>N/A</t>
    </r>
    <r>
      <rPr>
        <sz val="10"/>
        <rFont val="Cambria"/>
        <family val="1"/>
      </rPr>
      <t xml:space="preserve">
</t>
    </r>
  </si>
  <si>
    <t>Long-Term Lease Liabilities</t>
  </si>
  <si>
    <t>LT Subscription-Based Information Technology Arrangements</t>
  </si>
  <si>
    <t>Right-to-Use Intangible Subscription Assets (GASBS No. 96)</t>
  </si>
  <si>
    <t xml:space="preserve">   Total Other Capital Assets at Historical Cost</t>
  </si>
  <si>
    <t>Other Capital Assets</t>
  </si>
  <si>
    <t>Payment of Principal and Interest on Bonds, Installment Purchases, LT Lease Liabilities, Financed Purchase Obligations, and LT SBITA Liabilities</t>
  </si>
  <si>
    <t>Increase (Decrease) in LT Lease Liabilities</t>
  </si>
  <si>
    <t>Increase (Decrease) in LT SBITA Liabilities</t>
  </si>
  <si>
    <r>
      <t>LT Subscription-Based Information Technology Arrangements Liabilities (</t>
    </r>
    <r>
      <rPr>
        <b/>
        <u/>
        <sz val="9"/>
        <rFont val="Times New Roman"/>
        <family val="1"/>
      </rPr>
      <t>GASBS No. 96</t>
    </r>
    <r>
      <rPr>
        <sz val="9"/>
        <rFont val="Times New Roman"/>
        <family val="1"/>
      </rPr>
      <t>)</t>
    </r>
  </si>
  <si>
    <r>
      <t>Long-term SBITA (</t>
    </r>
    <r>
      <rPr>
        <b/>
        <u/>
        <sz val="9"/>
        <color rgb="FF0000FF"/>
        <rFont val="Times New Roman"/>
        <family val="1"/>
      </rPr>
      <t>GASBS No. 96</t>
    </r>
    <r>
      <rPr>
        <sz val="9"/>
        <color indexed="12"/>
        <rFont val="Times New Roman"/>
        <family val="1"/>
      </rPr>
      <t xml:space="preserve">) Used to Finance Capital Assets </t>
    </r>
  </si>
  <si>
    <r>
      <t>LT Lease Liabilities (</t>
    </r>
    <r>
      <rPr>
        <b/>
        <u/>
        <sz val="9"/>
        <color rgb="FF0000FF"/>
        <rFont val="Times New Roman"/>
        <family val="1"/>
      </rPr>
      <t>GASB No. 87</t>
    </r>
    <r>
      <rPr>
        <sz val="9"/>
        <color indexed="12"/>
        <rFont val="Times New Roman"/>
        <family val="1"/>
      </rPr>
      <t>) Used to Finance Capital Assets</t>
    </r>
  </si>
  <si>
    <t>Increase (Decrease) in Financed Purchase Obligations</t>
  </si>
  <si>
    <r>
      <t>LT SBITA Liabilities (</t>
    </r>
    <r>
      <rPr>
        <b/>
        <u/>
        <sz val="9"/>
        <color indexed="12"/>
        <rFont val="Times New Roman"/>
        <family val="1"/>
      </rPr>
      <t>GASBS No. 96</t>
    </r>
    <r>
      <rPr>
        <sz val="9"/>
        <color indexed="12"/>
        <rFont val="Times New Roman"/>
        <family val="1"/>
      </rPr>
      <t xml:space="preserve">) Used to Finance Capital Assets </t>
    </r>
  </si>
  <si>
    <r>
      <t>Long-term Lease Liabilities (</t>
    </r>
    <r>
      <rPr>
        <b/>
        <u/>
        <sz val="9"/>
        <rFont val="Times New Roman"/>
        <family val="1"/>
      </rPr>
      <t>GASBS No. 87</t>
    </r>
    <r>
      <rPr>
        <b/>
        <sz val="9"/>
        <rFont val="Times New Roman"/>
        <family val="1"/>
      </rPr>
      <t>)</t>
    </r>
  </si>
  <si>
    <r>
      <t>LT SBITA Liabilities (</t>
    </r>
    <r>
      <rPr>
        <b/>
        <u/>
        <sz val="9"/>
        <rFont val="Times New Roman"/>
        <family val="1"/>
      </rPr>
      <t>GASBS No. 96</t>
    </r>
    <r>
      <rPr>
        <sz val="9"/>
        <rFont val="Times New Roman"/>
        <family val="1"/>
      </rPr>
      <t>)</t>
    </r>
  </si>
  <si>
    <r>
      <t>Amortization (</t>
    </r>
    <r>
      <rPr>
        <b/>
        <u/>
        <sz val="9"/>
        <rFont val="Times New Roman"/>
        <family val="1"/>
      </rPr>
      <t>GASBS No. 87</t>
    </r>
    <r>
      <rPr>
        <sz val="9"/>
        <rFont val="Times New Roman"/>
        <family val="1"/>
      </rPr>
      <t xml:space="preserve"> lease right-to-use intangible assets and </t>
    </r>
    <r>
      <rPr>
        <b/>
        <u/>
        <sz val="9"/>
        <rFont val="Times New Roman"/>
        <family val="1"/>
      </rPr>
      <t>GASBS No. 96</t>
    </r>
    <r>
      <rPr>
        <sz val="9"/>
        <rFont val="Times New Roman"/>
        <family val="1"/>
      </rPr>
      <t xml:space="preserve"> SBITA assets)</t>
    </r>
  </si>
  <si>
    <r>
      <t>Amortization (</t>
    </r>
    <r>
      <rPr>
        <b/>
        <u/>
        <sz val="9"/>
        <rFont val="Times New Roman"/>
        <family val="1"/>
      </rPr>
      <t xml:space="preserve">GASBS No. 87 and No. 96 </t>
    </r>
    <r>
      <rPr>
        <sz val="9"/>
        <rFont val="Times New Roman"/>
        <family val="1"/>
      </rPr>
      <t>right-to-use intangible assets)</t>
    </r>
  </si>
  <si>
    <t>Payment of Principal and Interest on Bonds, Installment Purchases, LT Lease Liabilities, Financed Purchase Obligations and LT SBITA Liabilities</t>
  </si>
  <si>
    <r>
      <t>Right-to-Use SBITA Intangible Assets (</t>
    </r>
    <r>
      <rPr>
        <b/>
        <u/>
        <sz val="8"/>
        <rFont val="Times New Roman"/>
        <family val="1"/>
      </rPr>
      <t>GASBS No. 96)</t>
    </r>
  </si>
  <si>
    <r>
      <t xml:space="preserve">Note:  </t>
    </r>
    <r>
      <rPr>
        <sz val="9"/>
        <rFont val="Times New Roman"/>
        <family val="1"/>
      </rPr>
      <t>Capital assets reported in this attachment must include intangible assets as required by</t>
    </r>
    <r>
      <rPr>
        <b/>
        <sz val="9"/>
        <rFont val="Times New Roman"/>
        <family val="1"/>
      </rPr>
      <t xml:space="preserve"> </t>
    </r>
    <r>
      <rPr>
        <b/>
        <u/>
        <sz val="9"/>
        <rFont val="Times New Roman"/>
        <family val="1"/>
      </rPr>
      <t>GASBS No. 51</t>
    </r>
    <r>
      <rPr>
        <sz val="9"/>
        <rFont val="Times New Roman"/>
        <family val="1"/>
      </rPr>
      <t xml:space="preserve"> and Right-to-Use Intangible assets as required by </t>
    </r>
    <r>
      <rPr>
        <b/>
        <u/>
        <sz val="9"/>
        <rFont val="Times New Roman"/>
        <family val="1"/>
      </rPr>
      <t>GASBS No. 87</t>
    </r>
    <r>
      <rPr>
        <sz val="9"/>
        <rFont val="Times New Roman"/>
        <family val="1"/>
      </rPr>
      <t xml:space="preserve"> and </t>
    </r>
    <r>
      <rPr>
        <b/>
        <u/>
        <sz val="9"/>
        <rFont val="Times New Roman"/>
        <family val="1"/>
      </rPr>
      <t>GASBS No. 96</t>
    </r>
    <r>
      <rPr>
        <sz val="9"/>
        <rFont val="Times New Roman"/>
        <family val="1"/>
      </rPr>
      <t>.</t>
    </r>
  </si>
  <si>
    <r>
      <t xml:space="preserve">  Right-to-Use SBITA Intangible Assets (</t>
    </r>
    <r>
      <rPr>
        <b/>
        <u/>
        <sz val="8"/>
        <rFont val="Times New Roman"/>
        <family val="1"/>
      </rPr>
      <t>GASBS No. 96)</t>
    </r>
  </si>
  <si>
    <r>
      <t>Intangible Assets with Indefinite Useful Life (</t>
    </r>
    <r>
      <rPr>
        <b/>
        <u/>
        <sz val="8"/>
        <rFont val="Times New Roman"/>
        <family val="1"/>
      </rPr>
      <t>GASBS No. 51</t>
    </r>
    <r>
      <rPr>
        <sz val="8"/>
        <rFont val="Times New Roman"/>
        <family val="1"/>
      </rPr>
      <t>)</t>
    </r>
  </si>
  <si>
    <t xml:space="preserve">       Total Accumulated Amortization</t>
  </si>
  <si>
    <t xml:space="preserve">   Total Accumulated Depreciation and Amortization</t>
  </si>
  <si>
    <r>
      <t>Right to Use Intangible Subscription Assets (</t>
    </r>
    <r>
      <rPr>
        <b/>
        <u/>
        <sz val="8"/>
        <rFont val="Times New Roman"/>
        <family val="1"/>
      </rPr>
      <t>GASBS No. 96</t>
    </r>
    <r>
      <rPr>
        <sz val="8"/>
        <rFont val="Times New Roman"/>
        <family val="1"/>
      </rPr>
      <t>)</t>
    </r>
  </si>
  <si>
    <t>Land / Water Use Rights / Easements</t>
  </si>
  <si>
    <t xml:space="preserve">Explain the discrepancies in the yellow box below and briefly describe the useful life methodology that has been developed. </t>
  </si>
  <si>
    <r>
      <t xml:space="preserve">Part 3.1) </t>
    </r>
    <r>
      <rPr>
        <b/>
        <u/>
        <sz val="8"/>
        <rFont val="Times New Roman"/>
        <family val="1"/>
      </rPr>
      <t>GASBS No. 42</t>
    </r>
    <r>
      <rPr>
        <b/>
        <sz val="8"/>
        <rFont val="Times New Roman"/>
        <family val="1"/>
      </rPr>
      <t xml:space="preserve">, </t>
    </r>
    <r>
      <rPr>
        <i/>
        <sz val="8"/>
        <rFont val="Times New Roman"/>
        <family val="1"/>
      </rPr>
      <t xml:space="preserve">Accounting and Financial Reporting for Impairment of Capital Assets and for Insurance Recoveries </t>
    </r>
    <r>
      <rPr>
        <sz val="8"/>
        <rFont val="Times New Roman"/>
        <family val="1"/>
      </rPr>
      <t xml:space="preserve">and </t>
    </r>
    <r>
      <rPr>
        <b/>
        <u/>
        <sz val="8"/>
        <rFont val="Times New Roman"/>
        <family val="1"/>
      </rPr>
      <t>GASBS No. 87</t>
    </r>
    <r>
      <rPr>
        <sz val="8"/>
        <rFont val="Times New Roman"/>
        <family val="1"/>
      </rPr>
      <t>,</t>
    </r>
    <r>
      <rPr>
        <i/>
        <sz val="8"/>
        <rFont val="Times New Roman"/>
        <family val="1"/>
      </rPr>
      <t xml:space="preserve"> Leases, </t>
    </r>
    <r>
      <rPr>
        <sz val="8"/>
        <rFont val="Times New Roman"/>
        <family val="1"/>
      </rPr>
      <t>and</t>
    </r>
    <r>
      <rPr>
        <i/>
        <sz val="8"/>
        <rFont val="Times New Roman"/>
        <family val="1"/>
      </rPr>
      <t xml:space="preserve"> </t>
    </r>
    <r>
      <rPr>
        <b/>
        <u/>
        <sz val="8"/>
        <rFont val="Times New Roman"/>
        <family val="1"/>
      </rPr>
      <t>GASBS No. 96</t>
    </r>
    <r>
      <rPr>
        <b/>
        <sz val="8"/>
        <rFont val="Times New Roman"/>
        <family val="1"/>
      </rPr>
      <t>,</t>
    </r>
  </si>
  <si>
    <r>
      <rPr>
        <i/>
        <sz val="8"/>
        <rFont val="Times New Roman"/>
        <family val="1"/>
      </rPr>
      <t>Subscription-based Information Technology Arrangements</t>
    </r>
    <r>
      <rPr>
        <b/>
        <sz val="8"/>
        <rFont val="Times New Roman"/>
        <family val="1"/>
      </rPr>
      <t>:</t>
    </r>
  </si>
  <si>
    <r>
      <t xml:space="preserve">D) </t>
    </r>
    <r>
      <rPr>
        <b/>
        <sz val="8"/>
        <rFont val="Times New Roman"/>
        <family val="1"/>
      </rPr>
      <t>Financial Statement Template Reporting &amp; Footnote Disclosure</t>
    </r>
    <r>
      <rPr>
        <sz val="8"/>
        <rFont val="Times New Roman"/>
        <family val="1"/>
      </rPr>
      <t xml:space="preserve">:  If </t>
    </r>
    <r>
      <rPr>
        <b/>
        <sz val="8"/>
        <rFont val="Times New Roman"/>
        <family val="1"/>
      </rPr>
      <t>yes</t>
    </r>
    <r>
      <rPr>
        <sz val="8"/>
        <rFont val="Times New Roman"/>
        <family val="1"/>
      </rPr>
      <t xml:space="preserve"> to A, B, and C, has the impairment loss</t>
    </r>
    <r>
      <rPr>
        <sz val="8"/>
        <rFont val="Times New Roman"/>
        <family val="1"/>
      </rPr>
      <t xml:space="preserve"> been properly</t>
    </r>
  </si>
  <si>
    <r>
      <t>If</t>
    </r>
    <r>
      <rPr>
        <b/>
        <sz val="8"/>
        <rFont val="Times New Roman"/>
        <family val="1"/>
      </rPr>
      <t xml:space="preserve"> yes</t>
    </r>
    <r>
      <rPr>
        <sz val="8"/>
        <rFont val="Times New Roman"/>
        <family val="1"/>
      </rPr>
      <t xml:space="preserve"> for a </t>
    </r>
    <r>
      <rPr>
        <b/>
        <u/>
        <sz val="8"/>
        <rFont val="Times New Roman"/>
        <family val="1"/>
      </rPr>
      <t>GASBS No. 96</t>
    </r>
    <r>
      <rPr>
        <sz val="8"/>
        <rFont val="Times New Roman"/>
        <family val="1"/>
      </rPr>
      <t xml:space="preserve"> subscription impairment, provide the reduction in subscription asset and liability resulting from the impairment.  If applicable, provide the impairment loss in </t>
    </r>
  </si>
  <si>
    <t>Reduction in subscription asset and liability</t>
  </si>
  <si>
    <t>Additional impairment loss (in excess of the reduction in asset and liability)</t>
  </si>
  <si>
    <r>
      <t>Note a</t>
    </r>
    <r>
      <rPr>
        <b/>
        <sz val="8"/>
        <rFont val="Times New Roman"/>
        <family val="1"/>
      </rPr>
      <t>:</t>
    </r>
    <r>
      <rPr>
        <sz val="8"/>
        <rFont val="Times New Roman"/>
        <family val="1"/>
      </rPr>
      <t xml:space="preserve">  Per </t>
    </r>
    <r>
      <rPr>
        <b/>
        <u/>
        <sz val="8"/>
        <rFont val="Times New Roman"/>
        <family val="1"/>
      </rPr>
      <t>GASBS No. 42</t>
    </r>
    <r>
      <rPr>
        <sz val="8"/>
        <rFont val="Times New Roman"/>
        <family val="1"/>
      </rPr>
      <t xml:space="preserve"> paragraph 21, if insurance recoveries are in the same year as the impairment loss, the impairment loss should </t>
    </r>
  </si>
  <si>
    <r>
      <t>Note b</t>
    </r>
    <r>
      <rPr>
        <sz val="8"/>
        <rFont val="Times New Roman"/>
        <family val="1"/>
      </rPr>
      <t xml:space="preserve">:  Per </t>
    </r>
    <r>
      <rPr>
        <b/>
        <u/>
        <sz val="8"/>
        <rFont val="Times New Roman"/>
        <family val="1"/>
      </rPr>
      <t>GASBS No. 42</t>
    </r>
    <r>
      <rPr>
        <sz val="8"/>
        <rFont val="Times New Roman"/>
        <family val="1"/>
      </rPr>
      <t xml:space="preserve"> paragraph 17-footnote 6, reporting impairment losses applies to insured impairments that result in an accounting gain.</t>
    </r>
  </si>
  <si>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</si>
  <si>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</si>
  <si>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</si>
  <si>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</si>
  <si>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</si>
  <si>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</si>
  <si>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</si>
  <si>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</si>
  <si>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</si>
  <si>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</si>
  <si>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</si>
  <si>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</si>
  <si>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</si>
  <si>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</si>
  <si>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</si>
  <si>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</si>
  <si>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</si>
  <si>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</si>
  <si>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</si>
  <si>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</si>
  <si>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</si>
  <si>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</si>
  <si>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</si>
  <si>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</si>
  <si>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</si>
  <si>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</si>
  <si>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</si>
  <si>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</si>
  <si>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</si>
  <si>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</si>
  <si>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</si>
  <si>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</si>
  <si>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</si>
  <si>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</si>
  <si>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</si>
  <si>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</si>
  <si>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</si>
  <si>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</si>
  <si>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</si>
  <si>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</si>
  <si>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</si>
  <si>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</si>
  <si>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</si>
  <si>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</si>
  <si>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</si>
  <si>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</si>
  <si>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</si>
  <si>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</si>
  <si>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</si>
  <si>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</si>
  <si>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</si>
  <si>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</si>
  <si>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</si>
  <si>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</si>
  <si>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</si>
  <si>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</si>
  <si>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</si>
  <si>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</si>
  <si>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</si>
  <si>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</si>
  <si>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</si>
  <si>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</si>
  <si>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</si>
  <si>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</si>
  <si>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</si>
  <si>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</si>
  <si>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</si>
  <si>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</si>
  <si>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</si>
  <si>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</si>
  <si>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</si>
  <si>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</si>
  <si>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</si>
  <si>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</si>
  <si>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</si>
  <si>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</si>
  <si>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</si>
  <si>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</si>
  <si>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</si>
  <si>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</si>
  <si>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</si>
  <si>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</si>
  <si>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</si>
  <si>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</si>
  <si>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</si>
  <si>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</si>
  <si>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</si>
  <si>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</si>
  <si>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</si>
  <si>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</si>
  <si>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</si>
  <si>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</si>
  <si>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</si>
  <si>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</si>
  <si>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</si>
  <si>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</si>
  <si>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</si>
  <si>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</si>
  <si>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</si>
  <si>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</si>
  <si>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</si>
  <si>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</si>
  <si>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</si>
  <si>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</si>
  <si>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</si>
  <si>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</si>
  <si>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</si>
  <si>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</si>
  <si>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</si>
  <si>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</si>
  <si>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</si>
  <si>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</si>
  <si>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</si>
  <si>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Funds to test attachments</t>
  </si>
  <si>
    <t>first in --listing to verify correct formula=</t>
  </si>
  <si>
    <t>last in listing--listing to verify correct formula =</t>
  </si>
  <si>
    <t>test incorrect fund =</t>
  </si>
  <si>
    <t>01234</t>
  </si>
  <si>
    <t>Verify fund number and Contact DOA</t>
  </si>
  <si>
    <r>
      <t>LT SBITA Liabilities (</t>
    </r>
    <r>
      <rPr>
        <b/>
        <u/>
        <sz val="10"/>
        <rFont val="Times New Roman"/>
        <family val="1"/>
      </rPr>
      <t>GASBS No. 96)</t>
    </r>
  </si>
  <si>
    <r>
      <t>Part 5:  Long-term Subscription-Based Information Technology Arrangements Liabilities (</t>
    </r>
    <r>
      <rPr>
        <b/>
        <u/>
        <sz val="10"/>
        <rFont val="Times New Roman"/>
        <family val="1"/>
      </rPr>
      <t>GASBS No. 96</t>
    </r>
    <r>
      <rPr>
        <b/>
        <sz val="10"/>
        <rFont val="Times New Roman"/>
        <family val="1"/>
      </rPr>
      <t>):</t>
    </r>
  </si>
  <si>
    <r>
      <t>Part 5a)</t>
    </r>
    <r>
      <rPr>
        <sz val="10"/>
        <rFont val="Times New Roman"/>
        <family val="1"/>
      </rPr>
      <t>:  Did the Fund recognize any variable subscription payments that were NOT previously included in the measurement of the SBITA liability?</t>
    </r>
  </si>
  <si>
    <r>
      <t>Part 5b)</t>
    </r>
    <r>
      <rPr>
        <sz val="10"/>
        <rFont val="Times New Roman"/>
        <family val="1"/>
      </rPr>
      <t>:  Did the Fund recognize any other payments for penalties or residual value guarantees that were NOT previously included in the measurement of the SBITA liability?</t>
    </r>
  </si>
  <si>
    <t>Part 6:  Bonds Payable</t>
  </si>
  <si>
    <t>TAB 5-Part 1, Part 6</t>
  </si>
  <si>
    <r>
      <t>Increase (Decrease) in Long-term SBITA Liabilities (</t>
    </r>
    <r>
      <rPr>
        <b/>
        <u/>
        <sz val="10"/>
        <rFont val="Times New Roman"/>
        <family val="1"/>
      </rPr>
      <t>GASBS No. 96</t>
    </r>
    <r>
      <rPr>
        <sz val="10"/>
        <rFont val="Times New Roman"/>
        <family val="1"/>
      </rPr>
      <t>)</t>
    </r>
  </si>
  <si>
    <r>
      <t xml:space="preserve">Long-term SBITA Liabilities </t>
    </r>
    <r>
      <rPr>
        <b/>
        <u/>
        <sz val="10"/>
        <rFont val="Times New Roman"/>
        <family val="1"/>
      </rPr>
      <t>(GASBS No. 96)</t>
    </r>
    <r>
      <rPr>
        <sz val="10"/>
        <rFont val="Times New Roman"/>
        <family val="1"/>
      </rPr>
      <t xml:space="preserve"> Used to Finance Capital Assets </t>
    </r>
  </si>
  <si>
    <t xml:space="preserve">Tab 3 - Capital Assets (Increase in Nondepreciable and Other Capital Assets) </t>
  </si>
  <si>
    <t xml:space="preserve">Payment of Principal and Interest on Bonds, Installment Purchase Obligations, Long-term Lease Liabilities, Long-term SBITA Liabilities, and Financed Purchase Obligations (Cash Flows from Capital and Related Financing Activities) </t>
  </si>
  <si>
    <t>Tab 5 - LT Liabilities (Retirements and Other Decreases for Long-term Lease Liabilities, Installment Purchase Obligations, Financed Purchase Obligations, Long-term SBITA Liabilities, and Bonds Payable)</t>
  </si>
  <si>
    <r>
      <t>Note A</t>
    </r>
    <r>
      <rPr>
        <b/>
        <sz val="10"/>
        <rFont val="Times New Roman"/>
        <family val="1"/>
      </rPr>
      <t>:</t>
    </r>
    <r>
      <rPr>
        <sz val="10"/>
        <rFont val="Times New Roman"/>
        <family val="1"/>
      </rPr>
      <t xml:space="preserve">  Provide amounts by fund below. If the amount represents a receivable from </t>
    </r>
    <r>
      <rPr>
        <b/>
        <sz val="10"/>
        <rFont val="Times New Roman"/>
        <family val="1"/>
      </rPr>
      <t>within the same business unit</t>
    </r>
    <r>
      <rPr>
        <sz val="10"/>
        <rFont val="Times New Roman"/>
        <family val="1"/>
      </rPr>
      <t>,</t>
    </r>
  </si>
  <si>
    <r>
      <t xml:space="preserve"> that may indicate impairment of capital assets as described in </t>
    </r>
    <r>
      <rPr>
        <b/>
        <u/>
        <sz val="8"/>
        <rFont val="Times New Roman"/>
        <family val="1"/>
      </rPr>
      <t>GASBS No. 42</t>
    </r>
    <r>
      <rPr>
        <b/>
        <sz val="8"/>
        <rFont val="Times New Roman"/>
        <family val="1"/>
      </rPr>
      <t xml:space="preserve"> </t>
    </r>
    <r>
      <rPr>
        <sz val="8"/>
        <rFont val="Times New Roman"/>
        <family val="1"/>
      </rPr>
      <t xml:space="preserve">or </t>
    </r>
    <r>
      <rPr>
        <b/>
        <u/>
        <sz val="8"/>
        <rFont val="Times New Roman"/>
        <family val="1"/>
      </rPr>
      <t>GASBS No. 87</t>
    </r>
    <r>
      <rPr>
        <sz val="8"/>
        <rFont val="Times New Roman"/>
        <family val="1"/>
      </rPr>
      <t xml:space="preserve"> or </t>
    </r>
    <r>
      <rPr>
        <b/>
        <u/>
        <sz val="8"/>
        <rFont val="Times New Roman"/>
        <family val="1"/>
      </rPr>
      <t>GASBS No. 96</t>
    </r>
    <r>
      <rPr>
        <sz val="8"/>
        <rFont val="Times New Roman"/>
        <family val="1"/>
      </rPr>
      <t>?</t>
    </r>
  </si>
  <si>
    <r>
      <t xml:space="preserve">reported on the financial statement template in accordance with </t>
    </r>
    <r>
      <rPr>
        <b/>
        <u/>
        <sz val="8"/>
        <rFont val="Times New Roman"/>
        <family val="1"/>
      </rPr>
      <t>GASBS No. 42</t>
    </r>
    <r>
      <rPr>
        <b/>
        <sz val="8"/>
        <rFont val="Times New Roman"/>
        <family val="1"/>
      </rPr>
      <t xml:space="preserve"> </t>
    </r>
    <r>
      <rPr>
        <sz val="8"/>
        <rFont val="Times New Roman"/>
        <family val="1"/>
      </rPr>
      <t>or</t>
    </r>
    <r>
      <rPr>
        <b/>
        <sz val="8"/>
        <rFont val="Times New Roman"/>
        <family val="1"/>
      </rPr>
      <t xml:space="preserve"> </t>
    </r>
    <r>
      <rPr>
        <b/>
        <u/>
        <sz val="8"/>
        <rFont val="Times New Roman"/>
        <family val="1"/>
      </rPr>
      <t xml:space="preserve">GASBS No. 87 </t>
    </r>
    <r>
      <rPr>
        <sz val="8"/>
        <rFont val="Times New Roman"/>
        <family val="1"/>
      </rPr>
      <t xml:space="preserve">or </t>
    </r>
    <r>
      <rPr>
        <b/>
        <u/>
        <sz val="8"/>
        <rFont val="Times New Roman"/>
        <family val="1"/>
      </rPr>
      <t>GASBS No. 96</t>
    </r>
    <r>
      <rPr>
        <sz val="8"/>
        <rFont val="Times New Roman"/>
        <family val="1"/>
      </rPr>
      <t>?</t>
    </r>
  </si>
  <si>
    <r>
      <t>Note</t>
    </r>
    <r>
      <rPr>
        <b/>
        <sz val="9"/>
        <rFont val="Times New Roman"/>
        <family val="1"/>
      </rPr>
      <t>:</t>
    </r>
    <r>
      <rPr>
        <sz val="9"/>
        <rFont val="Times New Roman"/>
        <family val="1"/>
      </rPr>
      <t xml:space="preserve">  Provide amounts by fund below. If the amount represents a due to another business unit, it should be reported as Due to State Agencies.</t>
    </r>
  </si>
  <si>
    <t>Does the internal service fund anticipate that significant revisions to the current financial statement template will be needed?</t>
  </si>
  <si>
    <r>
      <t>Increase (Decrease in LT Subscription-Based Info. Technology Arrangements Liabilities (</t>
    </r>
    <r>
      <rPr>
        <b/>
        <u/>
        <sz val="9"/>
        <rFont val="Times New Roman"/>
        <family val="1"/>
      </rPr>
      <t>GASBS No. 96</t>
    </r>
    <r>
      <rPr>
        <sz val="9"/>
        <rFont val="Times New Roman"/>
        <family val="1"/>
      </rPr>
      <t>)</t>
    </r>
  </si>
  <si>
    <t>excess of the reduction of the asset and liability line item.</t>
  </si>
  <si>
    <r>
      <t xml:space="preserve">  Bonds Payable (see </t>
    </r>
    <r>
      <rPr>
        <b/>
        <sz val="10"/>
        <rFont val="Times New Roman"/>
        <family val="1"/>
      </rPr>
      <t>Note A</t>
    </r>
    <r>
      <rPr>
        <sz val="10"/>
        <rFont val="Times New Roman"/>
        <family val="1"/>
      </rPr>
      <t>)</t>
    </r>
  </si>
  <si>
    <t>Per Statement of Net Position (Linked)</t>
  </si>
  <si>
    <t>Check figure - Assets = Liabilities + NP</t>
  </si>
  <si>
    <t>Check figure - NP from Stmt of Activities = NP from SNP</t>
  </si>
  <si>
    <t>Cash and Cash Equivalents (linked to Stmt. Of Net Position)</t>
  </si>
  <si>
    <t>Cash and Travel Advances (linked to Stmt. Of Net Position)</t>
  </si>
  <si>
    <t>Securities Lending Cash Equivalents (linked to Stmt. Of Net Position)</t>
  </si>
  <si>
    <t>Operating Activities Net Cash Check figure - Part 1 = Part 2</t>
  </si>
  <si>
    <t>Check figure - LT Liabilities = LT Liabilities from SNP</t>
  </si>
  <si>
    <t>Check figure - Total Capital Assets, Net = Total Capital Assets, Net from SNP</t>
  </si>
  <si>
    <t>Check figure - Cash balance in SNP = Stmt of Cash Flows</t>
  </si>
  <si>
    <t>Greater of Op Rev or Total Assets</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</si>
  <si>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</si>
  <si>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</si>
  <si>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</si>
  <si>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</si>
  <si>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</si>
  <si>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</si>
  <si>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</si>
  <si>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</si>
  <si>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</si>
  <si>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</si>
  <si>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</si>
  <si>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</si>
  <si>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</si>
  <si>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</si>
  <si>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</si>
  <si>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</si>
  <si>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</si>
  <si>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 (all funds except 03040)</t>
  </si>
  <si>
    <t>DEPARTMENT OF MILITARY AFFAIRS</t>
  </si>
  <si>
    <t>COURT OF APPEALS OF VIRGINIA</t>
  </si>
  <si>
    <t>DEPARTMENT OF EMERGENCY MANAGEMENT (all funds except 09281)</t>
  </si>
  <si>
    <t>DEPARTMENT OF EMERGENCY MANAGEMENT (fund 09281)</t>
  </si>
  <si>
    <t>DEPARTMENT OF HUMAN RESOURCE MANAGEMENT (all funds except 05220 and 07422)</t>
  </si>
  <si>
    <t>DEPARTMENT OF HUMAN RESOURCE MANAGEMENT (Local Choice: fund 05220)</t>
  </si>
  <si>
    <t>DEPARTMENT OF ELECTIONS</t>
  </si>
  <si>
    <t>AUDITOR OF PUBLIC ACCOUNTS</t>
  </si>
  <si>
    <t>VIRGINIA INFORMATION TECHNOLOGIES AGENCY (all funds except 09281)</t>
  </si>
  <si>
    <t>VIRGINIA INFORMATION TECHNOLOGIES AGENCY (fund 09281)</t>
  </si>
  <si>
    <t>DEPARTMENT OF CRIMINAL JUSTICE SERVICES</t>
  </si>
  <si>
    <t>ATTORNEY GENERAL AND DEPARTMENT OF LAW (all funds except 07035, 07141 and 07304)</t>
  </si>
  <si>
    <t>VIRGINIA STATE CRIME COMMISSION</t>
  </si>
  <si>
    <t>DIVISION OF DEBT COLLECTION</t>
  </si>
  <si>
    <t>COMMISSIONERS FOR THE PROMOTION OF UNIFORMITY OF LEGISLATION IN THE UNITED STATES</t>
  </si>
  <si>
    <t>THE SCIENCE MUSEUM OF VIRGINIA (all funds except gift shop)</t>
  </si>
  <si>
    <t>THE SCIENCE MUSEUM OF VIRGINIA (gift shop)</t>
  </si>
  <si>
    <t>OFFICE OF THE STATE INSPECTOR GENERAL</t>
  </si>
  <si>
    <t>VIRGINIA COMMISSION FOR THE ARTS</t>
  </si>
  <si>
    <t>ADMINISTRATION OF HEALTH INSURANCE (all funds except 05200 and 07420)</t>
  </si>
  <si>
    <t>ADMINISTRATION OF HEALTH INSURANCE (Local Choice: fund 05200)</t>
  </si>
  <si>
    <t>ADMINISTRATION OF HEALTH INSURANCE (Line of Duty: fund 07420)</t>
  </si>
  <si>
    <t>DEPARTMENT OF ACCOUNTS</t>
  </si>
  <si>
    <t>DEPARTMENT OF THE TREASURY (all funds except 07152, 07451, 07461, 07470, 07481, 07490 and Off-Cardinal Deposits of Insurance Carriers)</t>
  </si>
  <si>
    <t>DEPARTMENT OF THE TREASURY (Risk Management: funds 07152, 07451, 07461, 07470)</t>
  </si>
  <si>
    <t>DEPARTMENT OF THE TREASURY (Advantage Vanpool Self Insurance: fund 07481)</t>
  </si>
  <si>
    <t>DEPARTMENT OF MOTOR VEHICLES (all funds except 07155, 07161, 07251)</t>
  </si>
  <si>
    <t>TREASURY BOARD (all funds except 03000)</t>
  </si>
  <si>
    <t>DEPARTMENT OF STATE POLICE</t>
  </si>
  <si>
    <t>COMPENSATION BOARD</t>
  </si>
  <si>
    <t>VIRGINIA CRIMINAL SENTENCING COMMISSION</t>
  </si>
  <si>
    <t>DEPARTMENT OF TAXATION (all funds except 07101, 07115, 07161, 07383, and 09281)</t>
  </si>
  <si>
    <t>DEPARTMENT OF TAXATION (fund 09281)</t>
  </si>
  <si>
    <t>DEPARTMENT OF ACCOUNTS TRANSFER PAYMENTS (all funds except 09280)</t>
  </si>
  <si>
    <t>DEPARTMENT OF ACCOUNTS TRANSFER PAYMENTS (fund 09280)</t>
  </si>
  <si>
    <t>VIRGINIA MANAGEMENT FELLOWS PROGRAM ADMINISTRATION</t>
  </si>
  <si>
    <t>DEPARTMENT OF HOUSING AND COMMUNITY DEVELOPMENT</t>
  </si>
  <si>
    <t>SECRETARY OF THE COMMONWEALTH</t>
  </si>
  <si>
    <t>STATE CORPORATION COMMISSION</t>
  </si>
  <si>
    <t>VIRGINIA LOTTERY (all funds except 02703, 05172, and 05880)</t>
  </si>
  <si>
    <t>VIRGINIA LOTTERY (Lottery: funds 02703, 05172, and 05880)</t>
  </si>
  <si>
    <t>VIRGINIA COLLEGE SAVINGS PLAN  (all funds except 05171, 05176, 05179 and Defined Contribution 529)</t>
  </si>
  <si>
    <t>VIRGINIA COLLEGE SAVINGS PLAN (VCSP-Defined Benefit 529: funds 05171, 05176, and 05179)</t>
  </si>
  <si>
    <t>SECRETARY OF ADMINISTRATION</t>
  </si>
  <si>
    <t>DEPARTMENT OF LABOR AND INDUSTRY</t>
  </si>
  <si>
    <t>VIRGINIA EMPLOYMENT COMMISSION (all funds except Unemployment Insurance: 07014 and 07182)</t>
  </si>
  <si>
    <t>VIRGINIA EMPLOYMENT COMMISSION (Unemployment Insurance: funds 07014 and 07182)</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</si>
  <si>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</si>
  <si>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</si>
  <si>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</si>
  <si>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</si>
  <si>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</si>
  <si>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</si>
  <si>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</si>
  <si>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</si>
  <si>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</si>
  <si>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 (all funds except 05010, 05020, 05050, and 08170)</t>
  </si>
  <si>
    <t>DEPARTMENT OF GENERAL SERVICES (Consolidated Lab: funds 05010 and 05020)</t>
  </si>
  <si>
    <t>DEPARTMENT OF GENERAL SERVICES (eVA: Fund 05050)</t>
  </si>
  <si>
    <t>SECRETARY OF LABOR</t>
  </si>
  <si>
    <t>DEPARTMENT OF EDUCATION-DIRECT AID TO PUBLIC EDUCATION</t>
  </si>
  <si>
    <t>DEPARTMENT OF CONSERVATION AND RECREATION (all funds except 09170 and 09180 )</t>
  </si>
  <si>
    <t>CHILDREN'S SERVICES ACT</t>
  </si>
  <si>
    <t>DEPARTMENT OF EDUCATION, CENTRAL OFFICE OPERATIONS</t>
  </si>
  <si>
    <t>THE LIBRARY OF VIRGINIA</t>
  </si>
  <si>
    <t>WILSON WORKFORCE AND REHABILITATION CENTER (all funds except Off-Cardinal Custodial Fund)</t>
  </si>
  <si>
    <t>VIRGINIA SCHOOL FOR THE DEAF AND THE BLIND</t>
  </si>
  <si>
    <t>DEPARTMENT OF PROFESSIONAL AND OCCUPATIONAL REGULATION</t>
  </si>
  <si>
    <t>DEPARTMENT OF HEALTH PROFESSIONS</t>
  </si>
  <si>
    <t>BOARD OF ACCOUNTANCY</t>
  </si>
  <si>
    <t>BOARD OF BAR EXAMINERS</t>
  </si>
  <si>
    <t>VIRGINIA MUSEUM OF FINE ARTS (all funds except gift shop and food service fund 05238)</t>
  </si>
  <si>
    <t>VIRGINIA MUSEUM OF FINE ARTS (gift shop and food service fund 05238)</t>
  </si>
  <si>
    <t>FRONTIER CULTURE MUSEUM OF VIRGINIA</t>
  </si>
  <si>
    <t>ONLINE VIRGINIA NETWORK AUTHORITY</t>
  </si>
  <si>
    <t>STATE COUNCIL OF HIGHER EDUCATION FOR VIRGINIA</t>
  </si>
  <si>
    <t>DEPARTMENT FOR AGING AND REHABILITATIVE SERVICES</t>
  </si>
  <si>
    <t>VIRGINIA REHABILITATION CENTER FOR THE BLIND AND VISION IMPAIRED (all funds except 05910)</t>
  </si>
  <si>
    <t>VIRGINIA REHABILITATION CENTER FOR THE BLIND AND VISION IMPAIRED (Virginia Industries for the Blind: fund 05910)</t>
  </si>
  <si>
    <t>DEPARTMENT OF AGRICULTURE AND CONSUMER SERVICES</t>
  </si>
  <si>
    <t>AGRICULTURAL COUNCIL</t>
  </si>
  <si>
    <t>ECONOMIC DEVELOPMENT INCENTIVE PAYMENTS</t>
  </si>
  <si>
    <t>VIRGINIA-ISRAEL ADVISORY BOARD</t>
  </si>
  <si>
    <t>DEPARTMENT OF SMALL BUSINESS AND SUPPLIER DIVERSITY
(all funds except 02159, 02350, 02430, 07153, 09011, 09302, 09352, 09431, 09570)</t>
  </si>
  <si>
    <t>JAMESTOWN-YORKTOWN COMMEMORATIONS</t>
  </si>
  <si>
    <t>MARINE RESOURCES COMMISSION</t>
  </si>
  <si>
    <t>DEPARTMENT OF WILDLIFE RESOURCES</t>
  </si>
  <si>
    <t>VIRGINIA RACING COMMISSION</t>
  </si>
  <si>
    <t>DEPARTMENT OF ENERGY (all funds except Gas and Oil Board Escrow Account)</t>
  </si>
  <si>
    <t>DEPARTMENT OF FORESTRY</t>
  </si>
  <si>
    <t>COMMISSION ON THE VIRGINIA ALCOHOL SAFETY ACTION PROGRAM</t>
  </si>
  <si>
    <t>GUNSTON HALL</t>
  </si>
  <si>
    <t>DEPARTMENT OF HISTORIC RESOURCES</t>
  </si>
  <si>
    <t>JAMESTOWN-YORKTOWN FOUNDATION</t>
  </si>
  <si>
    <t>DEPARTMENT OF ENVIRONMENTAL QUALITY (all funds except 05100)</t>
  </si>
  <si>
    <t>DEPARTMENT OF ENVIRONMENTAL QUALITY (Title V-Fund 05100)</t>
  </si>
  <si>
    <t>SECRETARY OF VETERANS AND DEFENSE AFFAIRS</t>
  </si>
  <si>
    <t>DEPARTMENT OF TRANSPORTATION (all funds except: 04740)</t>
  </si>
  <si>
    <t>DEPARTMENT OF TRANSPORTATION TRANSFER PAYMENTS</t>
  </si>
  <si>
    <t>DEPARTMENT OF RAIL AND PUBLIC TRANSPORTATION</t>
  </si>
  <si>
    <t>MOTOR VEHICLE DEALER BOARD</t>
  </si>
  <si>
    <t>DEPARTMENT OF MOTOR VEHICLES TRANSFER PAYMENTS</t>
  </si>
  <si>
    <t>DEPARTMENT OF HEALTH</t>
  </si>
  <si>
    <t>DEPARTMENT OF MEDICAL ASSISTANCE SERVICES</t>
  </si>
  <si>
    <t>VIRGINIA BOARD FOR PEOPLE WITH DISABILITIES</t>
  </si>
  <si>
    <t>DEPARTMENT OF CORRECTIONS--CENTRAL ADMINISTRATION 
(all funds except Off-Cardinal Inmate and Ward Trust Fund)</t>
  </si>
  <si>
    <t>DEPARTMENT FOR THE BLIND AND VISION IMPAIRED (all funds except 05910)</t>
  </si>
  <si>
    <t>DEPARTMENT FOR THE BLIND AND VISION IMPAIRED (Virginia Industries for the Blind: fund 05910)</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</si>
  <si>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</si>
  <si>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</si>
  <si>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</si>
  <si>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</si>
  <si>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</si>
  <si>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</si>
  <si>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</si>
  <si>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</si>
  <si>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</si>
  <si>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BLAND CORRECTIONAL CENTER</t>
  </si>
  <si>
    <t>JAMES RIVER CORRECTIONAL CENTER</t>
  </si>
  <si>
    <t>DEPARTMENT OF BEHAVIORAL HEALTH AND DEVELOPMENTAL SERVICES
(all funds except Canteen, Local Activity, Patient/Resident and Patient Burial Funds)</t>
  </si>
  <si>
    <t>DEPARTMENT OF BEHAVIORAL HEALTH AND DEVELOPMENTAL SERVICES
(Canteen and Local Activity Fund)</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</si>
  <si>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</si>
  <si>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</si>
  <si>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</si>
  <si>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</si>
  <si>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</si>
  <si>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</si>
  <si>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</si>
  <si>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</si>
  <si>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</si>
  <si>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</si>
  <si>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</si>
  <si>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</si>
  <si>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</si>
  <si>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</si>
  <si>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</si>
  <si>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</si>
  <si>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</si>
  <si>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</si>
  <si>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</si>
  <si>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</si>
  <si>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</si>
  <si>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</si>
  <si>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 -- DIVISION OF INSTITUTIONS</t>
  </si>
  <si>
    <t>WESTERN REGION CORRECTIONAL FIELD UNITS</t>
  </si>
  <si>
    <t>CENTRAL REGION CORRECTIONAL FIELD UNITS</t>
  </si>
  <si>
    <t>BASKERVILLE CORRECTIONAL CENTER</t>
  </si>
  <si>
    <t>DEPARTMENT OF SOCIAL SERVICES (all except fund 02390)</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</si>
  <si>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</si>
  <si>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</si>
  <si>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</si>
  <si>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</si>
  <si>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</si>
  <si>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</si>
  <si>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</si>
  <si>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</si>
  <si>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</si>
  <si>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</si>
  <si>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</si>
  <si>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 (all funds except Off-Cardinal Inmate and Ward Trust Fund)</t>
  </si>
  <si>
    <t>DEPARTMENT OF FORENSIC SCIENCE</t>
  </si>
  <si>
    <t>SUSSEX I AND II STATE PRISONS COMPLEX</t>
  </si>
  <si>
    <t>RIVER NORTH CORRECTIONAL CENTER</t>
  </si>
  <si>
    <t>CULPEPER CORRECTIONAL FACILITY FOR WOMEN</t>
  </si>
  <si>
    <t>DBHDS - GRANTS TO LOCALITIES</t>
  </si>
  <si>
    <t>MENTAL HEALTH TREATMENT CENTERS</t>
  </si>
  <si>
    <t>INTELLECTUAL DISABILITIES TRAINING CENTERS</t>
  </si>
  <si>
    <t>VIRGINIA CENTER FOR BEHAVIORAL REHABILITATION</t>
  </si>
  <si>
    <t>DEPARTMENT OF CORRECTIONS--INSTITUTIONS</t>
  </si>
  <si>
    <t>DEPARTMENT OF CORRECTIONS- Central Activities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</si>
  <si>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</si>
  <si>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</si>
  <si>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</si>
  <si>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</si>
  <si>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</si>
  <si>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</si>
  <si>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</si>
  <si>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</si>
  <si>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</si>
  <si>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</si>
  <si>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</si>
  <si>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</si>
  <si>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</si>
  <si>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</si>
  <si>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</si>
  <si>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</si>
  <si>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</si>
  <si>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</si>
  <si>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PULLER VETERANS CARE CENTER</t>
  </si>
  <si>
    <t>JONES AND CABACOY VETERANS CARE CENTER</t>
  </si>
  <si>
    <t>DEPARTMENT OF VETERANS SERVICES</t>
  </si>
  <si>
    <t>VETERANS SERVICES FOUNDATION</t>
  </si>
  <si>
    <t>INTERSTATE ORGANIZATION CONTRIBUTIONS</t>
  </si>
  <si>
    <t>SITTER &amp; BARFOOT VETERANS CARE CENTER (all except fund 07922)</t>
  </si>
  <si>
    <t>VIRGINIA MUSEUM OF NATURAL HISTORY</t>
  </si>
  <si>
    <t>CENTRAL CAPITAL OUTLAY</t>
  </si>
  <si>
    <t>9(C) REVENUE BONDS</t>
  </si>
  <si>
    <t>9(D) REVENUE BONDS</t>
  </si>
  <si>
    <t>COMMONWEALTH'S ATTORNEYS' SERVICES COUNCIL</t>
  </si>
  <si>
    <t>DEPARTMENT OF FIRE PROGRAMS</t>
  </si>
  <si>
    <t>DIVISION OF CAPITOL POLICE</t>
  </si>
  <si>
    <t xml:space="preserve">VIRGINIA CANNABIS CONTROL AUTHORITY (all funds except off-Cardinal Cannabis Control Authority) </t>
  </si>
  <si>
    <t>MAINTAIN AFFORDABLE ACCESS</t>
  </si>
  <si>
    <t>DEPARTMENT OF TREASURY - TRUST FUNDS
(all funds except 07320, 07690, 07710, 07760, 07770, and 07800)</t>
  </si>
  <si>
    <t>DEPARTMENT OF TREASURY - STATEWIDE ACTIVITIES   (all funds except 04740)</t>
  </si>
  <si>
    <t>VIRGINIA ALCOHOLIC BEVERAGE CONTROL AUTHORITY</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</si>
  <si>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</si>
  <si>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</si>
  <si>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</si>
  <si>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</si>
  <si>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</si>
  <si>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</si>
  <si>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</si>
  <si>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</si>
  <si>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</si>
  <si>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</si>
  <si>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</si>
  <si>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OLD DOMINION UNIVERSITY</t>
  </si>
  <si>
    <t>VIRGINIA COOPERATIVE EXTENSION AND AGRICULTURAL EXPERIMENT STATION</t>
  </si>
  <si>
    <t>COOPERATIVE EXTENSION AND AGRICULTURAL RESEARCH SERVICES</t>
  </si>
  <si>
    <t>VIRGINIA COMMONWEALTH UNIVERSITY</t>
  </si>
  <si>
    <t>RICHARD BLAND COLLEGE</t>
  </si>
  <si>
    <t>CHRISTOPHER NEWPORT UNIVERSITY</t>
  </si>
  <si>
    <t>UNIVERSITY OF VIRGINIA'S COLLEGE AT WISE</t>
  </si>
  <si>
    <t>GEORGE MASON UNIVERSITY</t>
  </si>
  <si>
    <t>VIRGINIA COMMUNITY COLLEGE SYSTEM</t>
  </si>
  <si>
    <t>VIRGINIA COMMUNITY COLLEGE SYSTEM - CENTRAL OFFICE</t>
  </si>
  <si>
    <t>VIRGINIA INSTITUTE OF MARINE SCIENCE</t>
  </si>
  <si>
    <t>VIRGINIA COMMUNITY COLLEGE SYSTEM - SHARED SERVICES CENTER</t>
  </si>
  <si>
    <t>NEW RIVER COMMUNITY COLLEGE</t>
  </si>
  <si>
    <t>SOUTHSIDE VIRGINIA COMMUNITY COLLEGE</t>
  </si>
  <si>
    <t>PAUL D. CAMP COMMUNITY COLLEGE</t>
  </si>
  <si>
    <t>RAPPAHANNOCK COMMUNITY COLLEGE</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</si>
  <si>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</si>
  <si>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</si>
  <si>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</si>
  <si>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</si>
  <si>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</si>
  <si>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</si>
  <si>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</si>
  <si>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</si>
  <si>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</si>
  <si>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</si>
  <si>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</si>
  <si>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</si>
  <si>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</si>
  <si>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</si>
  <si>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</si>
  <si>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</si>
  <si>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GERMANNA COMMUNITY COLLEGE</t>
  </si>
  <si>
    <t>LAUREL RIDGE COMMUNITY COLLEGE</t>
  </si>
  <si>
    <t>MOUNTAIN EMPIRE COMMUNITY COLLEGE</t>
  </si>
  <si>
    <t>INSTITUTE FOR ADVANCED LEARNING AND RESEARCH</t>
  </si>
  <si>
    <t>ROANOKE HIGHER EDUCATION AUTHORITY</t>
  </si>
  <si>
    <t>SOUTHERN VIRGINIA HIGHER EDUCATION CENTER</t>
  </si>
  <si>
    <t>NEW COLLEGE INSTITUTE</t>
  </si>
  <si>
    <t>VIRGINIA COLLEGE BUILDING AUTHORITY</t>
  </si>
  <si>
    <t>SOUTHWEST VIRGINIA HIGHER EDUCATION CENTER</t>
  </si>
  <si>
    <t>DEPARTMENT OF HUMAN RESOURCE MANAGEMENT (fund 07422)</t>
  </si>
  <si>
    <t>DEPARTMENT OF THE TREASURY (fund 07490)</t>
  </si>
  <si>
    <t>DEPARTMENT OF THE TREASURY (Off-Cardinal Deposits of Insurance Carriers)</t>
  </si>
  <si>
    <t>DEPARTMENT OF MOTOR VEHICLES (funds 07155, 07161, 07251)</t>
  </si>
  <si>
    <t>VIRGINIA RETIREMENT SYSTEM</t>
  </si>
  <si>
    <t>DEPARTMENT OF TAXATION (funds 07101, 07115, 07161, 07383)</t>
  </si>
  <si>
    <t>VIRGINIA COLLEGE SAVINGS PLAN (Defined Contribution 529)</t>
  </si>
  <si>
    <t>TOBACCO REGION REVITALIZATION COMMISSION</t>
  </si>
  <si>
    <t>VIRGINIA FOUNDATION FOR HEALTHY YOUTH (VFHY)</t>
  </si>
  <si>
    <t>SITTER &amp; BARFOOT VETERANS CARE CENTER (fund 07922)</t>
  </si>
  <si>
    <t>DEPARTMENT OF TREASURY - TRUST FUNDS
(funds 07320, 07690, 07760, 07770, and 07800)</t>
  </si>
  <si>
    <t>DEPARTMENT OF TREASURY - TRUST FUNDS (fund 07710)</t>
  </si>
  <si>
    <t>DEPARTMENT OF TREASURY - STATEWIDE ACTIVITIES   (fund 04740)</t>
  </si>
  <si>
    <t>ATTORNEY GENERAL AND DEPARTMENT OF LAW (funds 07035, 07141 and 07304)</t>
  </si>
  <si>
    <t>DEPARTMENT OF CORRECTIONS--CENTRAL ADMINISTRATION
(Off-Cardinal Inmate and Ward Trust Fund)</t>
  </si>
  <si>
    <t>DEPARTMENT OF JUVENILE JUSTICE (Off-Cardinal Inmate and Ward Trust Fund)</t>
  </si>
  <si>
    <t>WILSON WORKFORCE AND REHABILITATION CENTER (Off-Cardinal Custodial Fund)</t>
  </si>
  <si>
    <t>DEPARTMENT OF BEHAVIORAL HEALTH AND DEVELOPMENTAL SERVICES (Patient/Resident and Patient Burial Funds)</t>
  </si>
  <si>
    <t>DEPARTMENT OF SOCIAL SERVICES (fund 02390)</t>
  </si>
  <si>
    <t>DEPARTMENT OF CONSERVATION AND RECREATION (Virginia Land Conservation Foundation: funds 09170 and  09180)</t>
  </si>
  <si>
    <t>VIRGINIA INNOVATION PARTNERSHIP AUTHORITY (VIPA)</t>
  </si>
  <si>
    <t>VIRGINIA ECONOMIC DEVELOPMENT PARTNERSHIP (VEDP)</t>
  </si>
  <si>
    <t>VIRGINIA TOURISM AUTHORITY (VTA)</t>
  </si>
  <si>
    <t>DEPARTMENT OF SMALL BUSINESS AND SUPPLIER DIVERSITY 
(Small Business Financing Authority (SBFA): funds  02159, 02350, 02430, 07153, 09011, 09302, 09352, 09431, 09570)</t>
  </si>
  <si>
    <t>FORT MONROE AUTHORITY</t>
  </si>
  <si>
    <t>DEPARTMENT OF ENERGY (Gas and Oil Board Escrow Account)</t>
  </si>
  <si>
    <t>VIRGINIA PORT AUTHORITY (VPA)</t>
  </si>
  <si>
    <t>DEPARTMENT OF TRANSPORTATION (fund 04740)</t>
  </si>
  <si>
    <t>TREASURY BOARD (fund 03000)</t>
  </si>
  <si>
    <t>VIRGINIA CANNABIS CONTROL AUTHORITY (Cannabis Control Authority: off-Cardinal business activities)</t>
  </si>
  <si>
    <r>
      <rPr>
        <b/>
        <u/>
        <sz val="10"/>
        <rFont val="Times New Roman"/>
        <family val="1"/>
      </rPr>
      <t xml:space="preserve"> GASBS No. 91</t>
    </r>
    <r>
      <rPr>
        <sz val="10"/>
        <rFont val="Times New Roman"/>
        <family val="1"/>
      </rPr>
      <t xml:space="preserve">, </t>
    </r>
    <r>
      <rPr>
        <i/>
        <sz val="10"/>
        <rFont val="Times New Roman"/>
        <family val="1"/>
      </rPr>
      <t>Conduit Debt Obligations</t>
    </r>
  </si>
  <si>
    <t>19a</t>
  </si>
  <si>
    <r>
      <t xml:space="preserve">GASBS No. 94, </t>
    </r>
    <r>
      <rPr>
        <i/>
        <sz val="10"/>
        <rFont val="Times New Roman"/>
        <family val="1"/>
      </rPr>
      <t>Public-Private and Public-Public Partnerships and Availability Payment Arrangements</t>
    </r>
    <r>
      <rPr>
        <sz val="10"/>
        <rFont val="Times New Roman"/>
        <family val="1"/>
      </rPr>
      <t xml:space="preserve"> </t>
    </r>
  </si>
  <si>
    <t>19b</t>
  </si>
  <si>
    <t>19c</t>
  </si>
  <si>
    <t>19d</t>
  </si>
  <si>
    <t>19e</t>
  </si>
  <si>
    <r>
      <t xml:space="preserve">9) </t>
    </r>
    <r>
      <rPr>
        <b/>
        <sz val="11"/>
        <rFont val="Times New Roman"/>
        <family val="1"/>
      </rPr>
      <t>Government Acquisition</t>
    </r>
    <r>
      <rPr>
        <sz val="11"/>
        <rFont val="Times New Roman"/>
        <family val="1"/>
      </rPr>
      <t xml:space="preserve"> - Excess consideration provided by acquiring government in government acquisition 
(</t>
    </r>
    <r>
      <rPr>
        <b/>
        <u/>
        <sz val="11"/>
        <rFont val="Times New Roman"/>
        <family val="1"/>
      </rPr>
      <t>GASBS No. 69</t>
    </r>
    <r>
      <rPr>
        <b/>
        <sz val="11"/>
        <rFont val="Times New Roman"/>
        <family val="1"/>
      </rPr>
      <t xml:space="preserve"> </t>
    </r>
    <r>
      <rPr>
        <sz val="11"/>
        <rFont val="Times New Roman"/>
        <family val="1"/>
      </rPr>
      <t xml:space="preserve">paragraph 39 as amended by </t>
    </r>
    <r>
      <rPr>
        <b/>
        <u/>
        <sz val="11"/>
        <rFont val="Times New Roman"/>
        <family val="1"/>
      </rPr>
      <t>GASBS No. 85</t>
    </r>
    <r>
      <rPr>
        <sz val="11"/>
        <rFont val="Times New Roman"/>
        <family val="1"/>
      </rPr>
      <t xml:space="preserve"> paragraph 5)</t>
    </r>
  </si>
  <si>
    <r>
      <t xml:space="preserve">10) </t>
    </r>
    <r>
      <rPr>
        <b/>
        <sz val="11"/>
        <rFont val="Times New Roman"/>
        <family val="1"/>
      </rPr>
      <t>Asset Retirement Obligations</t>
    </r>
    <r>
      <rPr>
        <sz val="11"/>
        <rFont val="Times New Roman"/>
        <family val="1"/>
      </rPr>
      <t xml:space="preserve"> (ARO)- Amount associated with a legally enforceable liability associated with the retirement of selected capital assets (</t>
    </r>
    <r>
      <rPr>
        <b/>
        <u/>
        <sz val="11"/>
        <rFont val="Times New Roman"/>
        <family val="1"/>
      </rPr>
      <t>GASBS No. 83</t>
    </r>
    <r>
      <rPr>
        <sz val="11"/>
        <rFont val="Times New Roman"/>
        <family val="1"/>
      </rPr>
      <t xml:space="preserve">) </t>
    </r>
  </si>
  <si>
    <r>
      <t xml:space="preserve">3)  </t>
    </r>
    <r>
      <rPr>
        <b/>
        <sz val="11"/>
        <rFont val="Times New Roman"/>
        <family val="1"/>
      </rPr>
      <t>Refundings of Debt</t>
    </r>
    <r>
      <rPr>
        <sz val="11"/>
        <rFont val="Times New Roman"/>
        <family val="1"/>
      </rPr>
      <t xml:space="preserve"> - Deferral on debt defeasance - gain:  For current refundings and advance refundings resulting in debt defeasance and the reacquisition price is less than the net carrying amount of the old debt  (</t>
    </r>
    <r>
      <rPr>
        <b/>
        <u/>
        <sz val="11"/>
        <rFont val="Times New Roman"/>
        <family val="1"/>
      </rPr>
      <t>GASBS No. 65</t>
    </r>
    <r>
      <rPr>
        <sz val="11"/>
        <rFont val="Times New Roman"/>
        <family val="1"/>
      </rPr>
      <t xml:space="preserve"> paragraphs 5 &amp; 6)</t>
    </r>
  </si>
  <si>
    <r>
      <t xml:space="preserve">4) </t>
    </r>
    <r>
      <rPr>
        <b/>
        <sz val="11"/>
        <rFont val="Times New Roman"/>
        <family val="1"/>
      </rPr>
      <t xml:space="preserve"> Refundings of Debt</t>
    </r>
    <r>
      <rPr>
        <sz val="11"/>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11"/>
        <rFont val="Times New Roman"/>
        <family val="1"/>
      </rPr>
      <t>GASBS No. 87</t>
    </r>
    <r>
      <rPr>
        <sz val="11"/>
        <rFont val="Times New Roman"/>
        <family val="1"/>
      </rPr>
      <t xml:space="preserve"> paragraph 74)</t>
    </r>
  </si>
  <si>
    <r>
      <t xml:space="preserve">5)  </t>
    </r>
    <r>
      <rPr>
        <b/>
        <sz val="11"/>
        <rFont val="Times New Roman"/>
        <family val="1"/>
      </rPr>
      <t>Government-Mandated &amp; Voluntary Nonexchange Transactions</t>
    </r>
    <r>
      <rPr>
        <sz val="11"/>
        <rFont val="Times New Roman"/>
        <family val="1"/>
      </rPr>
      <t xml:space="preserve"> - Resources received by recipients before time requirements are met, but after the other eligibility requirements have been met  (</t>
    </r>
    <r>
      <rPr>
        <b/>
        <u/>
        <sz val="11"/>
        <rFont val="Times New Roman"/>
        <family val="1"/>
      </rPr>
      <t>GASBS No. 65</t>
    </r>
    <r>
      <rPr>
        <sz val="11"/>
        <rFont val="Times New Roman"/>
        <family val="1"/>
      </rPr>
      <t xml:space="preserve"> paragraphs 8 &amp; 10)</t>
    </r>
  </si>
  <si>
    <r>
      <t xml:space="preserve">6)  </t>
    </r>
    <r>
      <rPr>
        <b/>
        <sz val="11"/>
        <rFont val="Times New Roman"/>
        <family val="1"/>
      </rPr>
      <t>Imposed Nonexchange Revenue Transactions</t>
    </r>
    <r>
      <rPr>
        <sz val="11"/>
        <rFont val="Times New Roman"/>
        <family val="1"/>
      </rPr>
      <t xml:space="preserve"> - Amounts received or reported as a receivable before the period when resources are required to be used or when use is first permitted in which the enabling legislation includes time requirements (</t>
    </r>
    <r>
      <rPr>
        <b/>
        <u/>
        <sz val="11"/>
        <rFont val="Times New Roman"/>
        <family val="1"/>
      </rPr>
      <t>GASBS No. 65</t>
    </r>
    <r>
      <rPr>
        <sz val="11"/>
        <rFont val="Times New Roman"/>
        <family val="1"/>
      </rPr>
      <t xml:space="preserve"> paragraphs 8 &amp; 9)</t>
    </r>
  </si>
  <si>
    <r>
      <t xml:space="preserve">7)  </t>
    </r>
    <r>
      <rPr>
        <b/>
        <sz val="11"/>
        <rFont val="Times New Roman"/>
        <family val="1"/>
      </rPr>
      <t>Sale of Future Revenues &amp; Intra-Entity Transfers of Future Revenues</t>
    </r>
    <r>
      <rPr>
        <sz val="11"/>
        <rFont val="Times New Roman"/>
        <family val="1"/>
      </rPr>
      <t xml:space="preserve"> - Amount a transferor government receives as proceeds in the sale of future revenue transactions except for instances requiring revenue recognition in the period of sale as discussed in </t>
    </r>
    <r>
      <rPr>
        <b/>
        <u/>
        <sz val="11"/>
        <rFont val="Times New Roman"/>
        <family val="1"/>
      </rPr>
      <t>GASBS No. 48</t>
    </r>
    <r>
      <rPr>
        <sz val="11"/>
        <rFont val="Times New Roman"/>
        <family val="1"/>
      </rPr>
      <t xml:space="preserve"> paragraph 14 (</t>
    </r>
    <r>
      <rPr>
        <b/>
        <u/>
        <sz val="11"/>
        <rFont val="Times New Roman"/>
        <family val="1"/>
      </rPr>
      <t>GASBS No. 65</t>
    </r>
    <r>
      <rPr>
        <sz val="11"/>
        <rFont val="Times New Roman"/>
        <family val="1"/>
      </rPr>
      <t xml:space="preserve"> paragraphs 11, 12 &amp; 13)</t>
    </r>
  </si>
  <si>
    <r>
      <t xml:space="preserve">8)  </t>
    </r>
    <r>
      <rPr>
        <b/>
        <sz val="11"/>
        <rFont val="Times New Roman"/>
        <family val="1"/>
      </rPr>
      <t>Sale-Leaseback Transactions</t>
    </r>
    <r>
      <rPr>
        <sz val="11"/>
        <rFont val="Times New Roman"/>
        <family val="1"/>
      </rPr>
      <t xml:space="preserve"> - Gain on the sale of property that is accompanied by a leaseback of all or any part of the property for all or part of its remaining economic life (</t>
    </r>
    <r>
      <rPr>
        <b/>
        <u/>
        <sz val="11"/>
        <rFont val="Times New Roman"/>
        <family val="1"/>
      </rPr>
      <t>GASBS No. 87</t>
    </r>
    <r>
      <rPr>
        <sz val="11"/>
        <rFont val="Times New Roman"/>
        <family val="1"/>
      </rPr>
      <t xml:space="preserve"> paragraphs 82-86)</t>
    </r>
  </si>
  <si>
    <r>
      <t xml:space="preserve">9) </t>
    </r>
    <r>
      <rPr>
        <b/>
        <sz val="11"/>
        <rFont val="Times New Roman"/>
        <family val="1"/>
      </rPr>
      <t xml:space="preserve"> Lending Activities</t>
    </r>
    <r>
      <rPr>
        <sz val="11"/>
        <rFont val="Times New Roman"/>
        <family val="1"/>
      </rPr>
      <t xml:space="preserve"> - Points received by lender in relation to a loan origination (</t>
    </r>
    <r>
      <rPr>
        <b/>
        <u/>
        <sz val="11"/>
        <rFont val="Times New Roman"/>
        <family val="1"/>
      </rPr>
      <t>GASBS No. 65</t>
    </r>
    <r>
      <rPr>
        <sz val="11"/>
        <rFont val="Times New Roman"/>
        <family val="1"/>
      </rPr>
      <t xml:space="preserve"> paragraphs 21 &amp; 22)</t>
    </r>
  </si>
  <si>
    <r>
      <t xml:space="preserve">10)  </t>
    </r>
    <r>
      <rPr>
        <b/>
        <sz val="11"/>
        <rFont val="Times New Roman"/>
        <family val="1"/>
      </rPr>
      <t>Mortgage Banking Activities</t>
    </r>
    <r>
      <rPr>
        <sz val="11"/>
        <rFont val="Times New Roman"/>
        <family val="1"/>
      </rPr>
      <t xml:space="preserve"> - Points received by lender for loans held for investment (</t>
    </r>
    <r>
      <rPr>
        <b/>
        <u/>
        <sz val="11"/>
        <rFont val="Times New Roman"/>
        <family val="1"/>
      </rPr>
      <t>GASBS No. 65</t>
    </r>
    <r>
      <rPr>
        <sz val="11"/>
        <rFont val="Times New Roman"/>
        <family val="1"/>
      </rPr>
      <t xml:space="preserve"> paragraphs 25 &amp; 26)</t>
    </r>
  </si>
  <si>
    <r>
      <t xml:space="preserve">11)  </t>
    </r>
    <r>
      <rPr>
        <b/>
        <sz val="11"/>
        <rFont val="Times New Roman"/>
        <family val="1"/>
      </rPr>
      <t>Mortgage Banking Activities</t>
    </r>
    <r>
      <rPr>
        <sz val="11"/>
        <rFont val="Times New Roman"/>
        <family val="1"/>
      </rPr>
      <t xml:space="preserve"> - Origination fees, including any portion related to points, received by lender for loans held for sale (</t>
    </r>
    <r>
      <rPr>
        <b/>
        <u/>
        <sz val="11"/>
        <rFont val="Times New Roman"/>
        <family val="1"/>
      </rPr>
      <t>GASBS No. 65</t>
    </r>
    <r>
      <rPr>
        <sz val="11"/>
        <rFont val="Times New Roman"/>
        <family val="1"/>
      </rPr>
      <t xml:space="preserve"> paragraphs 25 &amp; 26)</t>
    </r>
  </si>
  <si>
    <r>
      <t xml:space="preserve">12)  </t>
    </r>
    <r>
      <rPr>
        <b/>
        <sz val="11"/>
        <rFont val="Times New Roman"/>
        <family val="1"/>
      </rPr>
      <t>Regulated Operations</t>
    </r>
    <r>
      <rPr>
        <sz val="11"/>
        <rFont val="Times New Roman"/>
        <family val="1"/>
      </rPr>
      <t xml:space="preserve"> - Regulator's rate actions that result in an acquisition of net assets from the regulated business-type activity's customers that is applicable to a future reporting period (</t>
    </r>
    <r>
      <rPr>
        <b/>
        <u/>
        <sz val="11"/>
        <rFont val="Times New Roman"/>
        <family val="1"/>
      </rPr>
      <t>GASBS No. 65</t>
    </r>
    <r>
      <rPr>
        <sz val="11"/>
        <rFont val="Times New Roman"/>
        <family val="1"/>
      </rPr>
      <t xml:space="preserve"> paragraphs 28 &amp; 29)</t>
    </r>
  </si>
  <si>
    <r>
      <t xml:space="preserve">13) </t>
    </r>
    <r>
      <rPr>
        <b/>
        <sz val="11"/>
        <rFont val="Times New Roman"/>
        <family val="1"/>
      </rPr>
      <t>Irrevocable Split-Interest Agreements</t>
    </r>
    <r>
      <rPr>
        <sz val="11"/>
        <rFont val="Times New Roman"/>
        <family val="1"/>
      </rPr>
      <t xml:space="preserve"> - Government's beneficial interest in an irrevocable split-interest agreement (</t>
    </r>
    <r>
      <rPr>
        <b/>
        <u/>
        <sz val="11"/>
        <rFont val="Times New Roman"/>
        <family val="1"/>
      </rPr>
      <t>GASBS No. 81</t>
    </r>
    <r>
      <rPr>
        <sz val="11"/>
        <rFont val="Times New Roman"/>
        <family val="1"/>
      </rPr>
      <t xml:space="preserve">) </t>
    </r>
  </si>
  <si>
    <r>
      <t xml:space="preserve">15) </t>
    </r>
    <r>
      <rPr>
        <b/>
        <sz val="10"/>
        <rFont val="Times New Roman"/>
        <family val="1"/>
      </rPr>
      <t>Certain Arrangements Associated with Conduit Debt Obligations</t>
    </r>
    <r>
      <rPr>
        <sz val="10"/>
        <rFont val="Times New Roman"/>
        <family val="1"/>
      </rPr>
      <t>:</t>
    </r>
    <r>
      <rPr>
        <sz val="10"/>
        <color rgb="FF000000"/>
        <rFont val="Times New Roman"/>
        <family val="1"/>
      </rPr>
      <t>  In certain arrangements associated with conduit debt obligations where the issuer retains title to capital asset and third-party obligor has exclusive use of portions of the capital asset (</t>
    </r>
    <r>
      <rPr>
        <b/>
        <u/>
        <sz val="10"/>
        <color rgb="FF000000"/>
        <rFont val="Times New Roman"/>
        <family val="1"/>
      </rPr>
      <t>GASBS No. 91</t>
    </r>
    <r>
      <rPr>
        <sz val="10"/>
        <color rgb="FF000000"/>
        <rFont val="Times New Roman"/>
        <family val="1"/>
      </rPr>
      <t xml:space="preserve"> paragraphs 22 and 23) </t>
    </r>
  </si>
  <si>
    <t>14d</t>
  </si>
  <si>
    <t>16a</t>
  </si>
  <si>
    <t>16b</t>
  </si>
  <si>
    <t>17c</t>
  </si>
  <si>
    <t>17d</t>
  </si>
  <si>
    <r>
      <rPr>
        <b/>
        <sz val="10"/>
        <rFont val="Times New Roman"/>
        <family val="1"/>
      </rPr>
      <t>Other PPP arrangements</t>
    </r>
    <r>
      <rPr>
        <sz val="10"/>
        <rFont val="Times New Roman"/>
        <family val="1"/>
      </rPr>
      <t xml:space="preserve">: Does the fund have any PPP arrangements that do NOT qualify as an SCA (question 19b) and are NOT considered leases (question 19c), pursuant to </t>
    </r>
    <r>
      <rPr>
        <b/>
        <u/>
        <sz val="10"/>
        <rFont val="Times New Roman"/>
        <family val="1"/>
      </rPr>
      <t>GASBS No. 94</t>
    </r>
    <r>
      <rPr>
        <sz val="10"/>
        <rFont val="Times New Roman"/>
        <family val="1"/>
      </rPr>
      <t xml:space="preserve">?
If </t>
    </r>
    <r>
      <rPr>
        <b/>
        <sz val="10"/>
        <rFont val="Times New Roman"/>
        <family val="1"/>
      </rPr>
      <t>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</si>
  <si>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rPr>
        <b/>
        <sz val="11"/>
        <rFont val="Times New Roman"/>
        <family val="1"/>
      </rPr>
      <t>Valuation Technique:</t>
    </r>
    <r>
      <rPr>
        <sz val="11"/>
        <rFont val="Times New Roman"/>
        <family val="1"/>
      </rPr>
      <t xml:space="preserve">  For items reported using the </t>
    </r>
    <r>
      <rPr>
        <b/>
        <u/>
        <sz val="11"/>
        <rFont val="Times New Roman"/>
        <family val="1"/>
      </rPr>
      <t>GASBS No. 72</t>
    </r>
    <r>
      <rPr>
        <b/>
        <sz val="11"/>
        <rFont val="Times New Roman"/>
        <family val="1"/>
      </rPr>
      <t xml:space="preserve"> </t>
    </r>
    <r>
      <rPr>
        <sz val="11"/>
        <rFont val="Times New Roman"/>
        <family val="1"/>
      </rPr>
      <t>hierarchy in question 14a above, has there been a change in valuation technique(s) from the previous year?</t>
    </r>
  </si>
  <si>
    <r>
      <t xml:space="preserve">11) </t>
    </r>
    <r>
      <rPr>
        <b/>
        <sz val="10"/>
        <rFont val="Times New Roman"/>
        <family val="1"/>
      </rPr>
      <t>Leases</t>
    </r>
    <r>
      <rPr>
        <sz val="10"/>
        <rFont val="Times New Roman"/>
        <family val="1"/>
      </rPr>
      <t xml:space="preserve"> - Amounts associated with lease transactions (</t>
    </r>
    <r>
      <rPr>
        <b/>
        <u/>
        <sz val="10"/>
        <rFont val="Times New Roman"/>
        <family val="1"/>
      </rPr>
      <t>GASBS No. 87</t>
    </r>
    <r>
      <rPr>
        <sz val="10"/>
        <rFont val="Times New Roman"/>
        <family val="1"/>
      </rPr>
      <t>)</t>
    </r>
  </si>
  <si>
    <r>
      <t>14)</t>
    </r>
    <r>
      <rPr>
        <b/>
        <sz val="11"/>
        <rFont val="Times New Roman"/>
        <family val="1"/>
      </rPr>
      <t xml:space="preserve"> </t>
    </r>
    <r>
      <rPr>
        <b/>
        <sz val="10"/>
        <rFont val="Times New Roman"/>
        <family val="1"/>
      </rPr>
      <t>Leases</t>
    </r>
    <r>
      <rPr>
        <sz val="10"/>
        <rFont val="Times New Roman"/>
        <family val="1"/>
      </rPr>
      <t xml:space="preserve"> - Amounts associated with lease transactions (</t>
    </r>
    <r>
      <rPr>
        <b/>
        <u/>
        <sz val="10"/>
        <rFont val="Times New Roman"/>
        <family val="1"/>
      </rPr>
      <t>GASBS No. 87</t>
    </r>
    <r>
      <rPr>
        <sz val="10"/>
        <rFont val="Times New Roman"/>
        <family val="1"/>
      </rPr>
      <t>)</t>
    </r>
  </si>
  <si>
    <r>
      <rPr>
        <sz val="10"/>
        <rFont val="Times New Roman"/>
        <family val="1"/>
      </rPr>
      <t xml:space="preserve">16) </t>
    </r>
    <r>
      <rPr>
        <b/>
        <sz val="10"/>
        <rFont val="Times New Roman"/>
        <family val="1"/>
      </rPr>
      <t>Public-Private and Public-Public Partnerships Arrangements  (PPPs) including Service Concession Arrangements (SCAs)</t>
    </r>
    <r>
      <rPr>
        <sz val="10"/>
        <rFont val="Times New Roman"/>
        <family val="1"/>
      </rPr>
      <t xml:space="preserve"> - Amounts associated with PPPs, including SCAs, when a government is the (</t>
    </r>
    <r>
      <rPr>
        <b/>
        <u/>
        <sz val="10"/>
        <rFont val="Times New Roman"/>
        <family val="1"/>
      </rPr>
      <t>GASBS No. 94</t>
    </r>
    <r>
      <rPr>
        <sz val="10"/>
        <rFont val="Times New Roman"/>
        <family val="1"/>
      </rPr>
      <t>)</t>
    </r>
  </si>
  <si>
    <r>
      <t xml:space="preserve">2) </t>
    </r>
    <r>
      <rPr>
        <b/>
        <sz val="11"/>
        <rFont val="Times New Roman"/>
        <family val="1"/>
      </rPr>
      <t xml:space="preserve">Refundings of Debt </t>
    </r>
    <r>
      <rPr>
        <sz val="11"/>
        <rFont val="Times New Roman"/>
        <family val="1"/>
      </rPr>
      <t>- Deferral on debt defeasance - loss:  For current refundings and advance refundings resulting in debt defeasance and the reacquisition price exceeds the net carrying amount of the old debt  (</t>
    </r>
    <r>
      <rPr>
        <b/>
        <u/>
        <sz val="11"/>
        <rFont val="Times New Roman"/>
        <family val="1"/>
      </rPr>
      <t>GASBS No. 65</t>
    </r>
    <r>
      <rPr>
        <sz val="11"/>
        <rFont val="Times New Roman"/>
        <family val="1"/>
      </rPr>
      <t xml:space="preserve"> paragraphs 5 &amp;  6)</t>
    </r>
  </si>
  <si>
    <r>
      <rPr>
        <b/>
        <sz val="10"/>
        <rFont val="Times New Roman"/>
        <family val="1"/>
      </rPr>
      <t>Service Concession Arrangements (SCAs)</t>
    </r>
    <r>
      <rPr>
        <sz val="10"/>
        <rFont val="Times New Roman"/>
        <family val="1"/>
      </rPr>
      <t xml:space="preserve">: Does the fund have any PPP arrangements that qualify as an SCA, where the fund is considered the transferor or operator pursuant to </t>
    </r>
    <r>
      <rPr>
        <b/>
        <u/>
        <sz val="10"/>
        <rFont val="Times New Roman"/>
        <family val="1"/>
      </rPr>
      <t>GASBS No. 94</t>
    </r>
    <r>
      <rPr>
        <sz val="10"/>
        <rFont val="Times New Roman"/>
        <family val="1"/>
      </rPr>
      <t xml:space="preserve"> requirements?
</t>
    </r>
    <r>
      <rPr>
        <i/>
        <sz val="10"/>
        <rFont val="Times New Roman"/>
        <family val="1"/>
      </rPr>
      <t>An SCA is a PPP arrangement between a transferor and an operator in which ALL of the following are met:</t>
    </r>
    <r>
      <rPr>
        <sz val="10"/>
        <rFont val="Times New Roman"/>
        <family val="1"/>
      </rPr>
      <t xml:space="preserve">
</t>
    </r>
    <r>
      <rPr>
        <i/>
        <sz val="10"/>
        <rFont val="Times New Roman"/>
        <family val="1"/>
      </rPr>
      <t xml:space="preserve">-the transfer conveys to the operator the right and related obligation to provide public services through the use and operation of an underlying PPP asset in exchange for significant consideration, such as an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
</t>
    </r>
    <r>
      <rPr>
        <sz val="10"/>
        <rFont val="Times New Roman"/>
        <family val="1"/>
      </rPr>
      <t xml:space="preserve">If </t>
    </r>
    <r>
      <rPr>
        <b/>
        <sz val="10"/>
        <rFont val="Times New Roman"/>
        <family val="1"/>
      </rPr>
      <t>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</si>
  <si>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rPr>
        <b/>
        <sz val="10"/>
        <rFont val="Times New Roman"/>
        <family val="1"/>
      </rPr>
      <t>Leases</t>
    </r>
    <r>
      <rPr>
        <sz val="10"/>
        <rFont val="Times New Roman"/>
        <family val="1"/>
      </rPr>
      <t xml:space="preserve">: Does the fund have any PPP arrangements that meet the definition of a lease pursuant to </t>
    </r>
    <r>
      <rPr>
        <b/>
        <u/>
        <sz val="10"/>
        <rFont val="Times New Roman"/>
        <family val="1"/>
      </rPr>
      <t>GASBS No. 87</t>
    </r>
    <r>
      <rPr>
        <sz val="10"/>
        <rFont val="Times New Roman"/>
        <family val="1"/>
      </rPr>
      <t xml:space="preserve">, </t>
    </r>
    <r>
      <rPr>
        <i/>
        <sz val="10"/>
        <rFont val="Times New Roman"/>
        <family val="1"/>
      </rPr>
      <t>Leases</t>
    </r>
    <r>
      <rPr>
        <sz val="10"/>
        <rFont val="Times New Roman"/>
        <family val="1"/>
      </rPr>
      <t xml:space="preserve"> and meets the following criteria, pursuant to </t>
    </r>
    <r>
      <rPr>
        <b/>
        <u/>
        <sz val="10"/>
        <rFont val="Times New Roman"/>
        <family val="1"/>
      </rPr>
      <t>GASBS No. 94</t>
    </r>
    <r>
      <rPr>
        <sz val="10"/>
        <rFont val="Times New Roman"/>
        <family val="1"/>
      </rPr>
      <t xml:space="preserve">?
</t>
    </r>
    <r>
      <rPr>
        <i/>
        <sz val="10"/>
        <rFont val="Times New Roman"/>
        <family val="1"/>
      </rPr>
      <t xml:space="preserve">-existing assets of the transferor are the only underlying PPP assets
-improvements are not required to be made by the operator to the PPP asset
-the underlying PPP does NOT meet the definition of an SCA (question 19b above)
</t>
    </r>
    <r>
      <rPr>
        <sz val="10"/>
        <rFont val="Times New Roman"/>
        <family val="1"/>
      </rPr>
      <t xml:space="preserve">If </t>
    </r>
    <r>
      <rPr>
        <b/>
        <sz val="10"/>
        <rFont val="Times New Roman"/>
        <family val="1"/>
      </rPr>
      <t>yes</t>
    </r>
    <r>
      <rPr>
        <sz val="10"/>
        <rFont val="Times New Roman"/>
        <family val="1"/>
      </rPr>
      <t xml:space="preserve">, please follow all lease reporting requirements per </t>
    </r>
    <r>
      <rPr>
        <b/>
        <u/>
        <sz val="10"/>
        <rFont val="Times New Roman"/>
        <family val="1"/>
      </rPr>
      <t>GASB No.87</t>
    </r>
    <r>
      <rPr>
        <sz val="10"/>
        <rFont val="Times New Roman"/>
        <family val="1"/>
      </rPr>
      <t xml:space="preserve">.  </t>
    </r>
  </si>
  <si>
    <r>
      <t>Answer the following questions.  (</t>
    </r>
    <r>
      <rPr>
        <b/>
        <u/>
        <sz val="11"/>
        <rFont val="Times New Roman"/>
        <family val="1"/>
      </rPr>
      <t>Note</t>
    </r>
    <r>
      <rPr>
        <sz val="11"/>
        <rFont val="Times New Roman"/>
        <family val="1"/>
      </rPr>
      <t xml:space="preserve">:  DOA may request additional information based on the answers provided.)  For additional preparation guidance, refer to the </t>
    </r>
    <r>
      <rPr>
        <b/>
        <sz val="11"/>
        <color indexed="12"/>
        <rFont val="Times New Roman"/>
        <family val="1"/>
      </rPr>
      <t>Authoritative Literature / Guidance for Preparation of GAAP Basis Fund Financial Statement Templates and CAPP Manual Topic No. 30325, Software and Other Intangible Assets</t>
    </r>
    <r>
      <rPr>
        <sz val="11"/>
        <rFont val="Times New Roman"/>
        <family val="1"/>
      </rPr>
      <t xml:space="preserve">, on DOA’s website at </t>
    </r>
    <r>
      <rPr>
        <b/>
        <u/>
        <sz val="11"/>
        <color indexed="12"/>
        <rFont val="Times New Roman"/>
        <family val="1"/>
      </rPr>
      <t>www.doa.virginia.gov</t>
    </r>
    <r>
      <rPr>
        <sz val="11"/>
        <rFont val="Times New Roman"/>
        <family val="1"/>
      </rPr>
      <t xml:space="preserve"> for additional information.
</t>
    </r>
    <r>
      <rPr>
        <b/>
        <u/>
        <sz val="11"/>
        <rFont val="Times New Roman"/>
        <family val="1"/>
      </rPr>
      <t>Note</t>
    </r>
    <r>
      <rPr>
        <sz val="11"/>
        <rFont val="Times New Roman"/>
        <family val="1"/>
      </rPr>
      <t>:  The questions below are only for intangible assets addressed in</t>
    </r>
    <r>
      <rPr>
        <b/>
        <u/>
        <sz val="11"/>
        <rFont val="Times New Roman"/>
        <family val="1"/>
      </rPr>
      <t xml:space="preserve"> GASBS No. 51</t>
    </r>
    <r>
      <rPr>
        <sz val="11"/>
        <rFont val="Times New Roman"/>
        <family val="1"/>
      </rPr>
      <t xml:space="preserve"> and do not include intangible right-to-use assets addressed in </t>
    </r>
    <r>
      <rPr>
        <b/>
        <u/>
        <sz val="11"/>
        <rFont val="Times New Roman"/>
        <family val="1"/>
      </rPr>
      <t>GASBS No. 87</t>
    </r>
    <r>
      <rPr>
        <sz val="11"/>
        <rFont val="Times New Roman"/>
        <family val="1"/>
      </rPr>
      <t xml:space="preserve">, </t>
    </r>
    <r>
      <rPr>
        <i/>
        <sz val="11"/>
        <rFont val="Times New Roman"/>
        <family val="1"/>
      </rPr>
      <t>Leases</t>
    </r>
    <r>
      <rPr>
        <sz val="11"/>
        <rFont val="Times New Roman"/>
        <family val="1"/>
      </rPr>
      <t xml:space="preserve">, </t>
    </r>
    <r>
      <rPr>
        <b/>
        <u/>
        <sz val="11"/>
        <rFont val="Times New Roman"/>
        <family val="1"/>
      </rPr>
      <t>GASBS No. 94</t>
    </r>
    <r>
      <rPr>
        <sz val="11"/>
        <rFont val="Times New Roman"/>
        <family val="1"/>
      </rPr>
      <t xml:space="preserve">, </t>
    </r>
    <r>
      <rPr>
        <i/>
        <sz val="11"/>
        <rFont val="Times New Roman"/>
        <family val="1"/>
      </rPr>
      <t>Public-Private and Public-Public Partnerships and Availability Payment Arrangements</t>
    </r>
    <r>
      <rPr>
        <sz val="11"/>
        <rFont val="Times New Roman"/>
        <family val="1"/>
      </rPr>
      <t xml:space="preserve">,  and </t>
    </r>
    <r>
      <rPr>
        <b/>
        <u/>
        <sz val="11"/>
        <rFont val="Times New Roman"/>
        <family val="1"/>
      </rPr>
      <t>GASBS No. 96</t>
    </r>
    <r>
      <rPr>
        <sz val="11"/>
        <rFont val="Times New Roman"/>
        <family val="1"/>
      </rPr>
      <t xml:space="preserve">, </t>
    </r>
    <r>
      <rPr>
        <i/>
        <sz val="11"/>
        <rFont val="Times New Roman"/>
        <family val="1"/>
      </rPr>
      <t>Subscription-Based Information Technology Arrangements</t>
    </r>
    <r>
      <rPr>
        <sz val="11"/>
        <rFont val="Times New Roman"/>
        <family val="1"/>
      </rPr>
      <t xml:space="preserve">.  In addition, </t>
    </r>
    <r>
      <rPr>
        <b/>
        <u/>
        <sz val="11"/>
        <rFont val="Times New Roman"/>
        <family val="1"/>
      </rPr>
      <t>GASBS No. 96</t>
    </r>
    <r>
      <rPr>
        <sz val="11"/>
        <rFont val="Times New Roman"/>
        <family val="1"/>
      </rPr>
      <t xml:space="preserve"> superseded Implementation Guide 2015-1 question 51.21 regarding multi-year licensing agreements.</t>
    </r>
  </si>
  <si>
    <t>Other Liabilities Due in More Than One Year - Total</t>
  </si>
  <si>
    <r>
      <t>Long-term SBITA Liabilities (</t>
    </r>
    <r>
      <rPr>
        <b/>
        <u/>
        <sz val="9"/>
        <rFont val="Times New Roman"/>
        <family val="1"/>
      </rPr>
      <t>GASBS No. 96</t>
    </r>
    <r>
      <rPr>
        <b/>
        <sz val="9"/>
        <rFont val="Times New Roman"/>
        <family val="1"/>
      </rPr>
      <t>)</t>
    </r>
  </si>
  <si>
    <r>
      <t>Financed Purchase Obligations (</t>
    </r>
    <r>
      <rPr>
        <b/>
        <u/>
        <sz val="10"/>
        <rFont val="Times New Roman"/>
        <family val="1"/>
      </rPr>
      <t>GASBS No. 87</t>
    </r>
    <r>
      <rPr>
        <sz val="10"/>
        <rFont val="Times New Roman"/>
        <family val="1"/>
      </rPr>
      <t>)</t>
    </r>
  </si>
  <si>
    <r>
      <t>Long-term Lease Liabilities (</t>
    </r>
    <r>
      <rPr>
        <b/>
        <u/>
        <sz val="10"/>
        <rFont val="Times New Roman"/>
        <family val="1"/>
      </rPr>
      <t>GASBS No. 87</t>
    </r>
    <r>
      <rPr>
        <sz val="10"/>
        <rFont val="Times New Roman"/>
        <family val="1"/>
      </rPr>
      <t>)</t>
    </r>
  </si>
  <si>
    <r>
      <t>LT SBITA Liabilities (</t>
    </r>
    <r>
      <rPr>
        <b/>
        <u/>
        <sz val="10"/>
        <rFont val="Times New Roman"/>
        <family val="1"/>
      </rPr>
      <t>GASBS No. 96</t>
    </r>
    <r>
      <rPr>
        <u/>
        <sz val="10"/>
        <rFont val="Times New Roman"/>
        <family val="1"/>
      </rPr>
      <t>)</t>
    </r>
  </si>
  <si>
    <r>
      <rPr>
        <b/>
        <sz val="10"/>
        <color theme="1"/>
        <rFont val="Times New Roman"/>
        <family val="1"/>
      </rPr>
      <t>Public-Private and Public-Public Partnerships (PPPs)</t>
    </r>
    <r>
      <rPr>
        <sz val="10"/>
        <color theme="1"/>
        <rFont val="Times New Roman"/>
        <family val="1"/>
      </rPr>
      <t xml:space="preserve">: Does the fund have any arrangements in place as the operator or transferor that qualify as a PPP pursuant to </t>
    </r>
    <r>
      <rPr>
        <b/>
        <u/>
        <sz val="10"/>
        <color theme="1"/>
        <rFont val="Times New Roman"/>
        <family val="1"/>
      </rPr>
      <t>GASBS No. 94</t>
    </r>
    <r>
      <rPr>
        <sz val="10"/>
        <color theme="1"/>
        <rFont val="Times New Roman"/>
        <family val="1"/>
      </rPr>
      <t xml:space="preserve"> requirements?  
</t>
    </r>
    <r>
      <rPr>
        <i/>
        <sz val="10"/>
        <color theme="1"/>
        <rFont val="Times New Roman"/>
        <family val="1"/>
      </rPr>
      <t xml:space="preserve">A PPP arrangement is when the transferor (a government) has contracted with an operator (nongovernmental or governmental entity) to provide public services by conveying to the operator control of the right to operate or use a nonfinancial asset , such as infrastructure or other capital asset (underlying PPP asset), for a period of time in an exchange or exchange-like transaction. </t>
    </r>
    <r>
      <rPr>
        <sz val="10"/>
        <color theme="1"/>
        <rFont val="Times New Roman"/>
        <family val="1"/>
      </rPr>
      <t xml:space="preserve">
If </t>
    </r>
    <r>
      <rPr>
        <b/>
        <sz val="10"/>
        <color theme="1"/>
        <rFont val="Times New Roman"/>
        <family val="1"/>
      </rPr>
      <t>yes</t>
    </r>
    <r>
      <rPr>
        <sz val="10"/>
        <color theme="1"/>
        <rFont val="Times New Roman"/>
        <family val="1"/>
      </rPr>
      <t>, please complete questions 19b-d.  DOA will reach out as necessary for additional information.</t>
    </r>
  </si>
  <si>
    <t>For the Year Ended June 30, 2024</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</si>
  <si>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</si>
  <si>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</si>
  <si>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</si>
  <si>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</si>
  <si>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</si>
  <si>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</si>
  <si>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</si>
  <si>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</si>
  <si>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</si>
  <si>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</si>
  <si>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</si>
  <si>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</si>
  <si>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</si>
  <si>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</si>
  <si>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</si>
  <si>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</si>
  <si>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</si>
  <si>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</si>
  <si>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</si>
  <si>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</si>
  <si>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</si>
  <si>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</si>
  <si>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</si>
  <si>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</si>
  <si>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</si>
  <si>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</si>
  <si>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</si>
  <si>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</si>
  <si>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</si>
  <si>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</si>
  <si>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</si>
  <si>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</si>
  <si>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</si>
  <si>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</si>
  <si>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</si>
  <si>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</si>
  <si>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</si>
  <si>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</si>
  <si>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</si>
  <si>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</si>
  <si>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</si>
  <si>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</si>
  <si>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</si>
  <si>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</si>
  <si>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</si>
  <si>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</si>
  <si>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</si>
  <si>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</si>
  <si>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</si>
  <si>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</si>
  <si>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</si>
  <si>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</si>
  <si>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</si>
  <si>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</si>
  <si>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</si>
  <si>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</si>
  <si>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</si>
  <si>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</si>
  <si>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</si>
  <si>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</si>
  <si>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</si>
  <si>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</si>
  <si>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</si>
  <si>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</si>
  <si>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</si>
  <si>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</si>
  <si>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</si>
  <si>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</si>
  <si>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</si>
  <si>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</si>
  <si>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</si>
  <si>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</si>
  <si>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</si>
  <si>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</si>
  <si>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</si>
  <si>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</si>
  <si>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</si>
  <si>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</si>
  <si>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</si>
  <si>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</si>
  <si>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</si>
  <si>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</si>
  <si>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</si>
  <si>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</si>
  <si>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</si>
  <si>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</si>
  <si>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</si>
  <si>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2024 Fund Vlookup as of 1-26</t>
  </si>
  <si>
    <t>Cayman Islands</t>
  </si>
  <si>
    <t>Chinese RMB</t>
  </si>
  <si>
    <t>Dominican Republic Peso</t>
  </si>
  <si>
    <t>United Arab Emirates Dollar</t>
  </si>
  <si>
    <t>Uruguayan Peso</t>
  </si>
  <si>
    <r>
      <t>Portion of Total Receivables To be Collected After</t>
    </r>
    <r>
      <rPr>
        <b/>
        <sz val="10"/>
        <rFont val="Times New Roman"/>
        <family val="1"/>
      </rPr>
      <t xml:space="preserve"> June 30, 2025</t>
    </r>
  </si>
  <si>
    <t>July 1, 2023</t>
  </si>
  <si>
    <t>June 30, 2024</t>
  </si>
  <si>
    <r>
      <t xml:space="preserve">A)   </t>
    </r>
    <r>
      <rPr>
        <b/>
        <sz val="8"/>
        <rFont val="Times New Roman"/>
        <family val="1"/>
      </rPr>
      <t>Possible Impairment of Capital Assets</t>
    </r>
    <r>
      <rPr>
        <sz val="8"/>
        <rFont val="Times New Roman"/>
        <family val="1"/>
      </rPr>
      <t>:  As of June 30, 2024, did this fund have an event or change in circumstances</t>
    </r>
  </si>
  <si>
    <t>Balance
July 1, 2023</t>
  </si>
  <si>
    <t>Balance
June 30, 2024</t>
  </si>
  <si>
    <t>Balance June 30, 2024</t>
  </si>
  <si>
    <t>Balance
July 1, 2023 (linked)</t>
  </si>
  <si>
    <r>
      <t xml:space="preserve">Does the fund have any construction or other commitment contracts that aggregate to $5 million or more, as of June 30,2024? 
If </t>
    </r>
    <r>
      <rPr>
        <b/>
        <sz val="10"/>
        <rFont val="Times New Roman"/>
        <family val="1"/>
      </rPr>
      <t>yes</t>
    </r>
    <r>
      <rPr>
        <sz val="10"/>
        <rFont val="Times New Roman"/>
        <family val="1"/>
      </rPr>
      <t xml:space="preserve">, please provide contractually obligated and non-contractually obligated amounts separately and provide the total amount of those commitments below.
</t>
    </r>
    <r>
      <rPr>
        <b/>
        <sz val="10"/>
        <rFont val="Times New Roman"/>
        <family val="1"/>
      </rPr>
      <t>Note</t>
    </r>
    <r>
      <rPr>
        <sz val="10"/>
        <rFont val="Times New Roman"/>
        <family val="1"/>
      </rPr>
      <t>: Please do not include any amounts that are reported on the Statement of Net Position.</t>
    </r>
  </si>
  <si>
    <r>
      <t xml:space="preserve">Does the fund have any short-term leases that should be disclosed as Off-Balance Sheet obligations for FY 2024?  For Off-balance sheet obligation purposes, short-term leases are leases that have a calculated asset value of less than $50,000 or a lease period of 12 months or less, including all renewal options regardless of the likelihood of the options being exercised.
If </t>
    </r>
    <r>
      <rPr>
        <b/>
        <sz val="10"/>
        <rFont val="Times New Roman"/>
        <family val="1"/>
      </rPr>
      <t>yes</t>
    </r>
    <r>
      <rPr>
        <sz val="10"/>
        <rFont val="Times New Roman"/>
        <family val="1"/>
      </rPr>
      <t xml:space="preserve">, please provide the total present value lease obligation in aggregate for all short-term leases below.  </t>
    </r>
  </si>
  <si>
    <r>
      <t xml:space="preserve">Did the fund have any leases with a present value of $50,000 or greater that the fund has committed to at June 30, 2024 that are NOT included on Tab 5 as long-term liability because the lease term did not start during FY 2024?
If </t>
    </r>
    <r>
      <rPr>
        <b/>
        <sz val="10"/>
        <rFont val="Times New Roman"/>
        <family val="1"/>
      </rPr>
      <t>yes</t>
    </r>
    <r>
      <rPr>
        <sz val="10"/>
        <rFont val="Times New Roman"/>
        <family val="1"/>
      </rPr>
      <t>, provide a description and amounts of any lease commitments with a present value of $50,000 or greater for leases that have been committed to where the initial payment did not start during FY 2024.</t>
    </r>
  </si>
  <si>
    <r>
      <t xml:space="preserve">Does the fund have any short-term subscription-based information technology arrangements that should be disclosed as Off-Balance Sheet obligations for FY 2024?  For Off-balance sheet obligation purposes, short-term subscription-based information technology arrangements are subscriptions that have a calculated asset value of less than $5,000 or a subscription period of 12 months or less, including all renewal options regardless of the likelihood of the options being exercised.
If </t>
    </r>
    <r>
      <rPr>
        <b/>
        <sz val="10"/>
        <rFont val="Times New Roman"/>
        <family val="1"/>
      </rPr>
      <t>yes</t>
    </r>
    <r>
      <rPr>
        <sz val="10"/>
        <rFont val="Times New Roman"/>
        <family val="1"/>
      </rPr>
      <t xml:space="preserve">, please provide the total present value subscription obligation in aggregate for all short-term subscriptions below.  </t>
    </r>
  </si>
  <si>
    <r>
      <t xml:space="preserve">Did the fund have any subscription-based information technology arrangements with a present value of $5,000 or greater that the fund has committed to at June 30, 2024 that are NOT included on Tab 5 as a long-term liability because the subscription term did not start during FY 2024?
If </t>
    </r>
    <r>
      <rPr>
        <b/>
        <sz val="10"/>
        <rFont val="Times New Roman"/>
        <family val="1"/>
      </rPr>
      <t>yes</t>
    </r>
    <r>
      <rPr>
        <sz val="10"/>
        <rFont val="Times New Roman"/>
        <family val="1"/>
      </rPr>
      <t>, provide a description and amounts of any subscription commitments with a present value of $5,000 or greater for subscriptions that have been committed to where the initial payment did not start during FY 2024.</t>
    </r>
  </si>
  <si>
    <t xml:space="preserve">Did the internal service fund receive any donated commodities during fiscal year 2024 for which it had physical custody and for which it distributed or will distribute the inventory? </t>
  </si>
  <si>
    <t>After June 30, but before financial statements are issued, information may become available indicating that an asset was impaired or a material liability was incurred.  Adjustments to financial statements to reflect this information are required for amounts relating to conditions existing as of June 30, 2024.  An example of an adjustment is a loss on a trade receivable, which is confirmed by the bankruptcy of a customer.  Disclosure is necessary for events that do not relate to conditions at the balance sheet date, but make the financial statements misleading.  This disclosure should indicate the nature of the loss or loss contingency and give an estimate of the amount, or range, of loss or possible loss, or state that such an estimate cannot be made.  An example of a subsequent event requiring disclosure would be the issuance of long-term debt after the balance sheet date but before the statements were issued.</t>
  </si>
  <si>
    <r>
      <t xml:space="preserve">Are there any voluntary termination benefits and / or involuntary termination benefits as of June 30, 2024, that must be recognized in accordance with this statement (i.e. early-retirement incentives, severance benefits, and other termination benefits)?  
</t>
    </r>
    <r>
      <rPr>
        <b/>
        <u/>
        <sz val="11"/>
        <rFont val="Times New Roman"/>
        <family val="1"/>
      </rPr>
      <t>Note</t>
    </r>
    <r>
      <rPr>
        <sz val="11"/>
        <rFont val="Times New Roman"/>
        <family val="1"/>
      </rPr>
      <t xml:space="preserve">:  </t>
    </r>
    <r>
      <rPr>
        <b/>
        <u/>
        <sz val="11"/>
        <rFont val="Times New Roman"/>
        <family val="1"/>
      </rPr>
      <t>GASBS No. 47</t>
    </r>
    <r>
      <rPr>
        <sz val="11"/>
        <rFont val="Times New Roman"/>
        <family val="1"/>
      </rPr>
      <t xml:space="preserve"> excludes postemployment benefits (pensions &amp; OPEB), which are part of the compensation that employers offer in exchange for services received or unemployment compensation.</t>
    </r>
  </si>
  <si>
    <t>Liability $ Amount as of June 30, 2024</t>
  </si>
  <si>
    <r>
      <t xml:space="preserve">Deferred Outflows of Resources for FY 2024:  Does the fund have any deferred outflows of resources to report as of June 30, 2024?  If </t>
    </r>
    <r>
      <rPr>
        <b/>
        <sz val="11"/>
        <rFont val="Times New Roman"/>
        <family val="1"/>
      </rPr>
      <t>yes</t>
    </r>
    <r>
      <rPr>
        <sz val="11"/>
        <rFont val="Times New Roman"/>
        <family val="1"/>
      </rPr>
      <t>, provide the amount per category below.   If the total amounts is different from the amount reported on the template, make corrections as necessary.</t>
    </r>
  </si>
  <si>
    <r>
      <t xml:space="preserve">Deferred Inflows of Resources for FY 2024:  Does the fund have any deferred inflows of resources to report as of June 30, 2024?  If </t>
    </r>
    <r>
      <rPr>
        <b/>
        <sz val="11"/>
        <rFont val="Times New Roman"/>
        <family val="1"/>
      </rPr>
      <t>yes</t>
    </r>
    <r>
      <rPr>
        <sz val="11"/>
        <rFont val="Times New Roman"/>
        <family val="1"/>
      </rPr>
      <t xml:space="preserve">, provide the amounts per category below.   If the total amount is different from the amount reported on the template, make corrections as necessary.
</t>
    </r>
  </si>
  <si>
    <r>
      <t xml:space="preserve">Significant Effect on Net Position for FY 2024:  If the answer to any items listed in Parts 13a and/or 13b is yes, is the difference between the deferred outflows of resources or the deferred inflows of resources and the balance of the related asset or liability significant?  If yes, provide an explanation of the effect on net position (i.e., net investment in capital assets, restricted net position, and/or unrestricted net position) as required by </t>
    </r>
    <r>
      <rPr>
        <b/>
        <u/>
        <sz val="11"/>
        <rFont val="Times New Roman"/>
        <family val="1"/>
      </rPr>
      <t>GASBS No. 63</t>
    </r>
    <r>
      <rPr>
        <sz val="11"/>
        <rFont val="Times New Roman"/>
        <family val="1"/>
      </rPr>
      <t xml:space="preserve"> paragraph 14. 
</t>
    </r>
  </si>
  <si>
    <r>
      <rPr>
        <b/>
        <sz val="11"/>
        <rFont val="Times New Roman"/>
        <family val="1"/>
      </rPr>
      <t>Fair Value</t>
    </r>
    <r>
      <rPr>
        <sz val="11"/>
        <rFont val="Times New Roman"/>
        <family val="1"/>
      </rPr>
      <t xml:space="preserve">:  Does the agency have items that are reported at fair value in accordance with </t>
    </r>
    <r>
      <rPr>
        <b/>
        <u/>
        <sz val="11"/>
        <rFont val="Times New Roman"/>
        <family val="1"/>
      </rPr>
      <t>GASBS No. 72</t>
    </r>
    <r>
      <rPr>
        <sz val="11"/>
        <rFont val="Times New Roman"/>
        <family val="1"/>
      </rPr>
      <t xml:space="preserve"> for FY 2024?</t>
    </r>
  </si>
  <si>
    <r>
      <rPr>
        <b/>
        <sz val="11"/>
        <rFont val="Times New Roman"/>
        <family val="1"/>
      </rPr>
      <t>Net Asset Value:</t>
    </r>
    <r>
      <rPr>
        <sz val="11"/>
        <rFont val="Times New Roman"/>
        <family val="1"/>
      </rPr>
      <t xml:space="preserve">  Does the agency have items that are permitted to be reported, and which are reported, at net asset value (NAV) per share (or its equivalent) in accordance with </t>
    </r>
    <r>
      <rPr>
        <b/>
        <u/>
        <sz val="11"/>
        <rFont val="Times New Roman"/>
        <family val="1"/>
      </rPr>
      <t>GASBS No. 72</t>
    </r>
    <r>
      <rPr>
        <sz val="11"/>
        <rFont val="Times New Roman"/>
        <family val="1"/>
      </rPr>
      <t xml:space="preserve"> for FY 2024?</t>
    </r>
  </si>
  <si>
    <r>
      <rPr>
        <b/>
        <sz val="11"/>
        <rFont val="Times New Roman"/>
        <family val="1"/>
      </rPr>
      <t>Recurring and Nonrecurring Fair Value Measurements</t>
    </r>
    <r>
      <rPr>
        <sz val="11"/>
        <rFont val="Times New Roman"/>
        <family val="1"/>
      </rPr>
      <t xml:space="preserve">: Are items measured at fair value on a recurring basis in accordance with </t>
    </r>
    <r>
      <rPr>
        <b/>
        <u/>
        <sz val="11"/>
        <rFont val="Times New Roman"/>
        <family val="1"/>
      </rPr>
      <t>GASBS No. 72</t>
    </r>
    <r>
      <rPr>
        <sz val="11"/>
        <rFont val="Times New Roman"/>
        <family val="1"/>
      </rPr>
      <t xml:space="preserve"> for FY 2024? </t>
    </r>
  </si>
  <si>
    <r>
      <rPr>
        <b/>
        <sz val="11"/>
        <rFont val="Times New Roman"/>
        <family val="1"/>
      </rPr>
      <t>Asset Retirement Obligations (ARO):</t>
    </r>
    <r>
      <rPr>
        <sz val="11"/>
        <rFont val="Times New Roman"/>
        <family val="1"/>
      </rPr>
      <t xml:space="preserve"> Does the agency have asset retirement obligations that must be reported in accordance with this statement as of June 30, 2024?
(</t>
    </r>
    <r>
      <rPr>
        <b/>
        <sz val="11"/>
        <rFont val="Times New Roman"/>
        <family val="1"/>
      </rPr>
      <t>Note:</t>
    </r>
    <r>
      <rPr>
        <sz val="11"/>
        <rFont val="Times New Roman"/>
        <family val="1"/>
      </rPr>
      <t xml:space="preserve"> DOA may request additional information based on the answers provided.)</t>
    </r>
  </si>
  <si>
    <r>
      <t xml:space="preserve">Does the agency have any of the following lease arrangements that must be reported in accordance with this statement as of June 30, 2024?
Sublease transactions
Sale-leaseback transactions
Lease-leaseback transactions
If </t>
    </r>
    <r>
      <rPr>
        <b/>
        <sz val="11"/>
        <rFont val="Times New Roman"/>
        <family val="1"/>
      </rPr>
      <t>yes</t>
    </r>
    <r>
      <rPr>
        <sz val="11"/>
        <rFont val="Times New Roman"/>
        <family val="1"/>
      </rPr>
      <t xml:space="preserve">, provide the description, line item, and necessary disclosures. </t>
    </r>
  </si>
  <si>
    <r>
      <t xml:space="preserve">Does the fund have unused lines of credit </t>
    </r>
    <r>
      <rPr>
        <b/>
        <sz val="11"/>
        <rFont val="Times New Roman"/>
        <family val="1"/>
      </rPr>
      <t>external</t>
    </r>
    <r>
      <rPr>
        <sz val="11"/>
        <rFont val="Times New Roman"/>
        <family val="1"/>
      </rPr>
      <t xml:space="preserve"> to the Commonwealth as of June 30, 2024?
</t>
    </r>
    <r>
      <rPr>
        <b/>
        <sz val="11"/>
        <rFont val="Times New Roman"/>
        <family val="1"/>
      </rPr>
      <t>Note</t>
    </r>
    <r>
      <rPr>
        <sz val="11"/>
        <rFont val="Times New Roman"/>
        <family val="1"/>
      </rPr>
      <t>: Do not include lines of credit with the Department of Treasury.</t>
    </r>
  </si>
  <si>
    <t>Does the fund have assets pledged as collateral for debt as of June 30, 2024?</t>
  </si>
  <si>
    <r>
      <t xml:space="preserve">If </t>
    </r>
    <r>
      <rPr>
        <b/>
        <sz val="11"/>
        <rFont val="Times New Roman"/>
        <family val="1"/>
      </rPr>
      <t>yes</t>
    </r>
    <r>
      <rPr>
        <sz val="11"/>
        <rFont val="Times New Roman"/>
        <family val="1"/>
      </rPr>
      <t>, then provide the debt item and a description of the assets pledged as collateral for the debt as of June 30, 2024.</t>
    </r>
  </si>
  <si>
    <r>
      <rPr>
        <b/>
        <u/>
        <sz val="11"/>
        <rFont val="Times New Roman"/>
        <family val="1"/>
      </rPr>
      <t>GASBS No. 100</t>
    </r>
    <r>
      <rPr>
        <b/>
        <sz val="11"/>
        <rFont val="Times New Roman"/>
        <family val="1"/>
      </rPr>
      <t xml:space="preserve">, </t>
    </r>
    <r>
      <rPr>
        <i/>
        <sz val="11"/>
        <rFont val="Times New Roman"/>
        <family val="1"/>
      </rPr>
      <t>Accounting Changes and Error Corrections</t>
    </r>
  </si>
  <si>
    <t>TAB 1A-Parts 6-11, 1B, &amp; 1C</t>
  </si>
  <si>
    <t>2030-2034</t>
  </si>
  <si>
    <t>2035-2039</t>
  </si>
  <si>
    <t>2040-2044</t>
  </si>
  <si>
    <t>2045-2049</t>
  </si>
  <si>
    <t>2050-2054</t>
  </si>
  <si>
    <t>2055-2059</t>
  </si>
  <si>
    <t>2060-2064</t>
  </si>
  <si>
    <t>2065-2069</t>
  </si>
  <si>
    <t>2070-2074</t>
  </si>
  <si>
    <t>Provide the earliest issuance date for bonds outstanding at June 30, 2024</t>
  </si>
  <si>
    <t>Provide the most recent issuance date for bonds outstanding at June 30, 2024</t>
  </si>
  <si>
    <t>Provide the lowest interest rate applicable to bonds outstanding at June 30, 2024</t>
  </si>
  <si>
    <t>Provide the highest interest rate applicable to bonds outstanding at June 30, 2024</t>
  </si>
  <si>
    <t>Does the fund have any demand bonds outstanding as of June 30, 2024?</t>
  </si>
  <si>
    <r>
      <t xml:space="preserve">If </t>
    </r>
    <r>
      <rPr>
        <b/>
        <sz val="10"/>
        <rFont val="Times New Roman"/>
        <family val="1"/>
      </rPr>
      <t>yes</t>
    </r>
    <r>
      <rPr>
        <sz val="10"/>
        <rFont val="Times New Roman"/>
        <family val="1"/>
      </rPr>
      <t>, provide a description of the demand bonds and outstanding balance as of June 30, 2024. DOA may request additional information in a separate communication to obtain certain information/disclosures described in GASB Interpretation 1.
Note:  Per GASB Interpretation 1 paragraph 2, demand bonds are debt issuances that have demand (“put”) provisions as one of their features.  The demand provisions give the bondholder the right to require the issuer or its agent to redeem the bonds within a certain period after giving notice. Demand bonds must be considered a current liability if all criteria in GASB  Interpretation 1 paragraph 10 are not met.</t>
    </r>
  </si>
  <si>
    <r>
      <t xml:space="preserve">Does the fund have any callable bonds outstanding as of June 30, 2024, that are callable by the creditor because there has been a violation of a provision of the debt agreement as of year-end or because the violation, if not cured within a specified grace period, will make the bonds callable (see </t>
    </r>
    <r>
      <rPr>
        <b/>
        <u/>
        <sz val="10"/>
        <rFont val="Times New Roman"/>
        <family val="1"/>
      </rPr>
      <t>GASBS No. 62</t>
    </r>
    <r>
      <rPr>
        <sz val="10"/>
        <rFont val="Times New Roman"/>
        <family val="1"/>
      </rPr>
      <t xml:space="preserve"> paragraph 34)? </t>
    </r>
  </si>
  <si>
    <r>
      <rPr>
        <b/>
        <sz val="11"/>
        <rFont val="Times New Roman"/>
        <family val="1"/>
      </rPr>
      <t xml:space="preserve">Derivative Instruments as of June 30, 2024 </t>
    </r>
    <r>
      <rPr>
        <sz val="11"/>
        <rFont val="Times New Roman"/>
        <family val="1"/>
      </rPr>
      <t xml:space="preserve">- Did the fund have any derivative instruments during FY 2024 as defined in </t>
    </r>
    <r>
      <rPr>
        <b/>
        <u/>
        <sz val="11"/>
        <rFont val="Times New Roman"/>
        <family val="1"/>
      </rPr>
      <t>GASBS No. 53</t>
    </r>
    <r>
      <rPr>
        <sz val="11"/>
        <rFont val="Times New Roman"/>
        <family val="1"/>
      </rPr>
      <t xml:space="preserve">? 
If </t>
    </r>
    <r>
      <rPr>
        <b/>
        <sz val="11"/>
        <rFont val="Times New Roman"/>
        <family val="1"/>
      </rPr>
      <t>yes</t>
    </r>
    <r>
      <rPr>
        <sz val="11"/>
        <rFont val="Times New Roman"/>
        <family val="1"/>
      </rPr>
      <t>, DOA will provide a separate communication.</t>
    </r>
  </si>
  <si>
    <r>
      <rPr>
        <b/>
        <u/>
        <sz val="10"/>
        <rFont val="Cambria"/>
        <family val="1"/>
      </rPr>
      <t xml:space="preserve">DOA completed the following financial statement adjustments:
</t>
    </r>
    <r>
      <rPr>
        <sz val="10"/>
        <rFont val="Cambria"/>
        <family val="1"/>
      </rPr>
      <t xml:space="preserve">
1) This entry is to correct Due to DHRM and Due to VRS per the Lag Pay program:
Accounts Payable - Vendor Payments Payable            12,186
Due to Other Funds                                                         16,072
           Due to External Parties                                                                           3,729
           Accounts Payable - Salaries and Wages                                              24,529
Cash Flow:
Increase (Decrease) in Due to External Parties             3,729
Increase (Decrease) in Due to Other Funds               (16,072)
Increase (Decrease) in Accounts Payable                     12,343
2) This entry is to correct classification of a negative operating expense as operating revenue:
Other Operating Expense                                              18,438
            Charges for Sales and Services                                                           18,438
</t>
    </r>
  </si>
  <si>
    <r>
      <rPr>
        <b/>
        <u/>
        <sz val="10"/>
        <rFont val="Cambria"/>
        <family val="1"/>
      </rPr>
      <t xml:space="preserve">DOA completed the following financial statement adjustments:
</t>
    </r>
    <r>
      <rPr>
        <sz val="10"/>
        <rFont val="Cambria"/>
        <family val="1"/>
      </rPr>
      <t xml:space="preserve">
1) This entry is to correct Due to DHRM and Due to VRS per the Lag Pay program:
Accounts Payable - Salaries and Wages                              22,409
           Due to Other State Agencies                                                                      295
           Accounts Payable - Vendor Payments Payable                                  22,114
Cash Flow:
Increase (Decrease) in Due to Other Funds                      295
Increase (Decrease) in Accounts Payable                        (295)
2) This entry is to record activity reported between SOA and VITA:
Due to Other State Agencies                                       551,484
            Expenditure - Personal Services                                                       551,484
Cash Flow:
Increase (Decrease) in Due to Other Funds          (551,484)
</t>
    </r>
  </si>
  <si>
    <r>
      <rPr>
        <b/>
        <u/>
        <sz val="10"/>
        <rFont val="Cambria"/>
        <family val="1"/>
      </rPr>
      <t>DOA completed the following financial statement adjustments:</t>
    </r>
    <r>
      <rPr>
        <sz val="10"/>
        <rFont val="Cambria"/>
        <family val="1"/>
      </rPr>
      <t xml:space="preserve">
1) This entry is to reclass Interest, Dividends Rents, and Other Investment Income to Charges for Sales and Service:
Interest, Dividends, Rents and Other Investment Income          501,386
             Charges for Sales and Services                                                                           501,386
2) This entry is to correct cash flow for Due From Other Funds, Accounts Payable, and Compensated Absences:
Cash Flow:
Due From Other Funds                                                 167,721  
Increase (Decrease) in Accounts Payable                (168,545)    
Compensated Absences                                                       824
</t>
    </r>
  </si>
  <si>
    <r>
      <rPr>
        <b/>
        <u/>
        <sz val="10"/>
        <rFont val="Cambria"/>
        <family val="1"/>
      </rPr>
      <t xml:space="preserve">DOA completed the following financial statement adjustments:
</t>
    </r>
    <r>
      <rPr>
        <sz val="10"/>
        <rFont val="Cambria"/>
        <family val="1"/>
      </rPr>
      <t xml:space="preserve">
This entry is to reclassify due to DHRM per the Lag Pay program:
Accounts Payable - Vendor Payments Payable                     7,555
             Due to External Parties                                                                     1,312
             Accounts Payable - Salaries and Wages                                          6,243
Cash Flow:
Increase (Decrease) in Accounts Payable                                                       (1,312)
Increase (Decrease) in Due to External Parties (Fiduciary Funds)               1,312
</t>
    </r>
  </si>
  <si>
    <r>
      <rPr>
        <b/>
        <u/>
        <sz val="10"/>
        <rFont val="Cambria"/>
        <family val="1"/>
      </rPr>
      <t xml:space="preserve">DOA completed the following financial statement adjustments:
</t>
    </r>
    <r>
      <rPr>
        <sz val="10"/>
        <rFont val="Cambria"/>
        <family val="1"/>
      </rPr>
      <t xml:space="preserve">
This entry is to correct due to VRS per the Lag Pay program:
Due to External Parties                                                        1,562
Accounts Payable - Salaries and Wages                           49,019
           Accounts Payable - Vendor Payments Payable                                 50,581
Cash Flow:
Increase (Decrease) in Due to External Parties                                 (1,562)
Increase (Decrease) in Accounts Payable                                            1,562
</t>
    </r>
  </si>
  <si>
    <r>
      <rPr>
        <b/>
        <u/>
        <sz val="10"/>
        <rFont val="Cambria"/>
        <family val="1"/>
      </rPr>
      <t xml:space="preserve">DOA completed the following financial statement adjustments:
</t>
    </r>
    <r>
      <rPr>
        <sz val="10"/>
        <rFont val="Cambria"/>
        <family val="1"/>
      </rPr>
      <t xml:space="preserve">
This entry is to reclassify due to DHRM per the Lag Pay program:
Accounts Payable - Vendor Payments Payable             1,549
Due to Other Funds                                                          2,933
             Due to External Parties                                                                   650
             Accounts Payable - Salaries and Wages                                     3,832
Cash Flow:
Increase (Decrease) in Accounts Payable                                                     2,283
Increase (Decrease) in Due to External Parties (Fiduciary Funds)              650
Increase (Decrease) in Due to Other Funds                                              (2,933)
</t>
    </r>
  </si>
  <si>
    <r>
      <rPr>
        <b/>
        <u/>
        <sz val="10"/>
        <rFont val="Cambria"/>
        <family val="1"/>
      </rPr>
      <t>DOA completed the following financial statement adjustments:</t>
    </r>
    <r>
      <rPr>
        <sz val="10"/>
        <rFont val="Cambria"/>
        <family val="1"/>
      </rPr>
      <t xml:space="preserve">
1) This entry is to reclass the reversal of prior year and current year claims payable entry:
Insurance Claims Expense                             77,760,000
               Other Operating Revenue                                               77,760,000
2) This entry is to reclass a transfer in as a transfer out to agree to transfer program:
Transfers Out                             1,407,288
               Transfers In                                               1,407,288
Cash Flow:
Transfers In From Other Funds                             (1,407,288)
Transfers Out to Other Funds                                  1,407,288</t>
    </r>
  </si>
  <si>
    <r>
      <rPr>
        <b/>
        <u/>
        <sz val="11"/>
        <rFont val="Times New Roman"/>
        <family val="1"/>
      </rPr>
      <t>GASBS No. 63</t>
    </r>
    <r>
      <rPr>
        <sz val="11"/>
        <rFont val="Times New Roman"/>
        <family val="1"/>
      </rPr>
      <t xml:space="preserve"> provides financial reporting guidance for the presentation of deferred outflows of resources and deferred inflows of resources, which are distinct from assets and liabilities, and their effects on a government’s net position.   Concepts Statement No. 4 states that the recognition of deferred outflows of resources and deferred inflows of resources should be limited to those instances identified by the GASB in authoritative pronouncements.    For FY 2024 the following GASB statements require the reporting of deferred outflows of resources and/or deferred inflows of resources:  
-</t>
    </r>
    <r>
      <rPr>
        <b/>
        <u/>
        <sz val="11"/>
        <rFont val="Times New Roman"/>
        <family val="1"/>
      </rPr>
      <t>GASBS No. 53</t>
    </r>
    <r>
      <rPr>
        <sz val="11"/>
        <rFont val="Times New Roman"/>
        <family val="1"/>
      </rPr>
      <t xml:space="preserve">, </t>
    </r>
    <r>
      <rPr>
        <i/>
        <sz val="11"/>
        <rFont val="Times New Roman"/>
        <family val="1"/>
      </rPr>
      <t>Accounting and Financial Reporting for Derivative Instruments</t>
    </r>
    <r>
      <rPr>
        <sz val="11"/>
        <rFont val="Times New Roman"/>
        <family val="1"/>
      </rPr>
      <t>, 
-</t>
    </r>
    <r>
      <rPr>
        <b/>
        <u/>
        <sz val="11"/>
        <rFont val="Times New Roman"/>
        <family val="1"/>
      </rPr>
      <t>GASBS No. 65</t>
    </r>
    <r>
      <rPr>
        <sz val="11"/>
        <rFont val="Times New Roman"/>
        <family val="1"/>
      </rPr>
      <t xml:space="preserve">, </t>
    </r>
    <r>
      <rPr>
        <i/>
        <sz val="11"/>
        <rFont val="Times New Roman"/>
        <family val="1"/>
      </rPr>
      <t>Items Previously Reported as Assets and Liabilities,</t>
    </r>
    <r>
      <rPr>
        <sz val="11"/>
        <rFont val="Times New Roman"/>
        <family val="1"/>
      </rPr>
      <t xml:space="preserve">
-</t>
    </r>
    <r>
      <rPr>
        <b/>
        <u/>
        <sz val="11"/>
        <rFont val="Times New Roman"/>
        <family val="1"/>
      </rPr>
      <t>GASBS No. 69</t>
    </r>
    <r>
      <rPr>
        <sz val="11"/>
        <rFont val="Times New Roman"/>
        <family val="1"/>
      </rPr>
      <t xml:space="preserve">, </t>
    </r>
    <r>
      <rPr>
        <i/>
        <sz val="11"/>
        <rFont val="Times New Roman"/>
        <family val="1"/>
      </rPr>
      <t>Government Combinations and Disposals of Government Operations,
-</t>
    </r>
    <r>
      <rPr>
        <b/>
        <u/>
        <sz val="11"/>
        <rFont val="Times New Roman"/>
        <family val="1"/>
      </rPr>
      <t>GASBS No. 81</t>
    </r>
    <r>
      <rPr>
        <i/>
        <sz val="11"/>
        <rFont val="Times New Roman"/>
        <family val="1"/>
      </rPr>
      <t xml:space="preserve">, Irrevocable Split-Interest Agreements, 
</t>
    </r>
    <r>
      <rPr>
        <b/>
        <sz val="11"/>
        <rFont val="Times New Roman"/>
        <family val="1"/>
      </rPr>
      <t>-</t>
    </r>
    <r>
      <rPr>
        <b/>
        <u/>
        <sz val="11"/>
        <rFont val="Times New Roman"/>
        <family val="1"/>
      </rPr>
      <t>GASBS No. 83</t>
    </r>
    <r>
      <rPr>
        <i/>
        <sz val="11"/>
        <rFont val="Times New Roman"/>
        <family val="1"/>
      </rPr>
      <t>, Certain Asset Retirement Obligations, 
-</t>
    </r>
    <r>
      <rPr>
        <b/>
        <u/>
        <sz val="11"/>
        <rFont val="Times New Roman"/>
        <family val="1"/>
      </rPr>
      <t>GASBS No. 87</t>
    </r>
    <r>
      <rPr>
        <i/>
        <sz val="11"/>
        <rFont val="Times New Roman"/>
        <family val="1"/>
      </rPr>
      <t>, Leases,
-</t>
    </r>
    <r>
      <rPr>
        <b/>
        <u/>
        <sz val="11"/>
        <rFont val="Times New Roman"/>
        <family val="1"/>
      </rPr>
      <t>GASBS No. 91</t>
    </r>
    <r>
      <rPr>
        <i/>
        <sz val="11"/>
        <rFont val="Times New Roman"/>
        <family val="1"/>
      </rPr>
      <t>, Conduit Debt Obligations,
-</t>
    </r>
    <r>
      <rPr>
        <b/>
        <u/>
        <sz val="11"/>
        <rFont val="Times New Roman"/>
        <family val="1"/>
      </rPr>
      <t>GASBS No. 94</t>
    </r>
    <r>
      <rPr>
        <i/>
        <sz val="11"/>
        <rFont val="Times New Roman"/>
        <family val="1"/>
      </rPr>
      <t xml:space="preserve">, Public-Private and Public-Public Partnerships and Availability Payment Arrangements, and
</t>
    </r>
    <r>
      <rPr>
        <sz val="11"/>
        <rFont val="Times New Roman"/>
        <family val="1"/>
      </rPr>
      <t xml:space="preserve">- </t>
    </r>
    <r>
      <rPr>
        <b/>
        <u/>
        <sz val="11"/>
        <rFont val="Times New Roman"/>
        <family val="1"/>
      </rPr>
      <t>GASBS No. 99</t>
    </r>
    <r>
      <rPr>
        <sz val="11"/>
        <rFont val="Times New Roman"/>
        <family val="1"/>
      </rPr>
      <t>,</t>
    </r>
    <r>
      <rPr>
        <i/>
        <sz val="11"/>
        <rFont val="Times New Roman"/>
        <family val="1"/>
      </rPr>
      <t xml:space="preserve"> Omnibus 2022</t>
    </r>
    <r>
      <rPr>
        <sz val="11"/>
        <rFont val="Times New Roman"/>
        <family val="1"/>
      </rPr>
      <t xml:space="preserve">.
</t>
    </r>
    <r>
      <rPr>
        <b/>
        <u/>
        <sz val="11"/>
        <rFont val="Times New Roman"/>
        <family val="1"/>
      </rPr>
      <t>GASBS No. 63</t>
    </r>
    <r>
      <rPr>
        <sz val="11"/>
        <rFont val="Times New Roman"/>
        <family val="1"/>
      </rPr>
      <t xml:space="preserve"> paragraph 13 requires disclosures in the notes to the financial statement for the different types of deferred amounts if amounts are aggregated in the statements and significant components of the total deferred amounts are obscured by aggregation on the face of the statements.  In addition </t>
    </r>
    <r>
      <rPr>
        <b/>
        <u/>
        <sz val="11"/>
        <rFont val="Times New Roman"/>
        <family val="1"/>
      </rPr>
      <t>GASBS No. 63</t>
    </r>
    <r>
      <rPr>
        <sz val="11"/>
        <rFont val="Times New Roman"/>
        <family val="1"/>
      </rPr>
      <t xml:space="preserve"> paragraph 14 requires a disclosure to explain the effect on net position for a significant difference between the deferred outflows of resources or the deferred inflows of resources and the related asset or liability.
Part 14 includes questions regarding the reporting of deferred outflows of resources and deferred inflows of resources.  
</t>
    </r>
    <r>
      <rPr>
        <b/>
        <u/>
        <sz val="11"/>
        <rFont val="Times New Roman"/>
        <family val="1"/>
      </rPr>
      <t xml:space="preserve">
</t>
    </r>
    <r>
      <rPr>
        <sz val="11"/>
        <rFont val="Times New Roman"/>
        <family val="1"/>
      </rPr>
      <t xml:space="preserve">
</t>
    </r>
  </si>
  <si>
    <t>Explanation for Restatement</t>
  </si>
  <si>
    <t>Type of Restatement</t>
  </si>
  <si>
    <r>
      <t xml:space="preserve">Per </t>
    </r>
    <r>
      <rPr>
        <b/>
        <strike/>
        <u/>
        <sz val="11"/>
        <rFont val="Times New Roman"/>
        <family val="1"/>
      </rPr>
      <t>GASBS No. 53</t>
    </r>
    <r>
      <rPr>
        <b/>
        <strike/>
        <sz val="11"/>
        <rFont val="Times New Roman"/>
        <family val="1"/>
      </rPr>
      <t>, derivative instruments</t>
    </r>
    <r>
      <rPr>
        <strike/>
        <sz val="11"/>
        <rFont val="Times New Roman"/>
        <family val="1"/>
      </rPr>
      <t xml:space="preserve"> should be measured at fair value, except for fully benefit responsive-SGICs, which should be measured at contract value.  The derivative instrument classification depends on whether the derivative instrument represents assets or liabilities.  If the fund does not have a line item that properly classifies the derivative instrument, contact DOA for additional information. </t>
    </r>
    <r>
      <rPr>
        <b/>
        <strike/>
        <u/>
        <sz val="11"/>
        <rFont val="Times New Roman"/>
        <family val="1"/>
      </rPr>
      <t>GASB No. 72</t>
    </r>
    <r>
      <rPr>
        <strike/>
        <sz val="11"/>
        <rFont val="Times New Roman"/>
        <family val="1"/>
      </rPr>
      <t xml:space="preserve"> amended </t>
    </r>
    <r>
      <rPr>
        <b/>
        <strike/>
        <u/>
        <sz val="11"/>
        <rFont val="Times New Roman"/>
        <family val="1"/>
      </rPr>
      <t>GASBS No. 53</t>
    </r>
    <r>
      <rPr>
        <strike/>
        <sz val="11"/>
        <rFont val="Times New Roman"/>
        <family val="1"/>
      </rPr>
      <t xml:space="preserve"> and requires fair value to be determined consistent with the requirements of </t>
    </r>
    <r>
      <rPr>
        <b/>
        <strike/>
        <u/>
        <sz val="11"/>
        <rFont val="Times New Roman"/>
        <family val="1"/>
      </rPr>
      <t>GASBS No. 72</t>
    </r>
    <r>
      <rPr>
        <strike/>
        <sz val="11"/>
        <rFont val="Times New Roman"/>
        <family val="1"/>
      </rPr>
      <t>.</t>
    </r>
  </si>
  <si>
    <r>
      <t>Change in fair values:  hedging derivative instrument - effective hedge</t>
    </r>
    <r>
      <rPr>
        <strike/>
        <sz val="11"/>
        <rFont val="Times New Roman"/>
        <family val="1"/>
      </rPr>
      <t>:   The "Deferred Outflows of Resources" and the  "Deferred Inflows of Resources" template line items are to report the change in fair values of hedging derivative instruments - effective hedges.</t>
    </r>
  </si>
  <si>
    <r>
      <t>Change in fair values:  investment derivative instrument - ineffective hedge &amp; investment derivative instrument -</t>
    </r>
    <r>
      <rPr>
        <strike/>
        <sz val="11"/>
        <rFont val="Times New Roman"/>
        <family val="1"/>
      </rPr>
      <t xml:space="preserve"> a) held primarily for the purpose of income or profit, and b) has a present service capacity based solely on its ability to generate cash.</t>
    </r>
  </si>
  <si>
    <r>
      <t xml:space="preserve">12)  </t>
    </r>
    <r>
      <rPr>
        <b/>
        <sz val="10"/>
        <rFont val="Times New Roman"/>
        <family val="1"/>
      </rPr>
      <t>Public-Private and Public-Public Partnerships Arrangements (PPPs) NOT including Service Concession Arrangements (SCAs)</t>
    </r>
    <r>
      <rPr>
        <sz val="10"/>
        <rFont val="Times New Roman"/>
        <family val="1"/>
      </rPr>
      <t xml:space="preserve"> -  Amounts associated with PPPs, not including SCAs, when the government as the </t>
    </r>
    <r>
      <rPr>
        <b/>
        <sz val="10"/>
        <rFont val="Times New Roman"/>
        <family val="1"/>
      </rPr>
      <t>operator</t>
    </r>
    <r>
      <rPr>
        <sz val="10"/>
        <rFont val="Times New Roman"/>
        <family val="1"/>
      </rPr>
      <t xml:space="preserve"> purchases or constructs the new underlying PPP asset to be transferred to transferor  (</t>
    </r>
    <r>
      <rPr>
        <b/>
        <u/>
        <sz val="10"/>
        <rFont val="Times New Roman"/>
        <family val="1"/>
      </rPr>
      <t xml:space="preserve">GASBS No. 94, </t>
    </r>
    <r>
      <rPr>
        <sz val="10"/>
        <rFont val="Times New Roman"/>
        <family val="1"/>
      </rPr>
      <t>as amended by</t>
    </r>
    <r>
      <rPr>
        <b/>
        <u/>
        <sz val="10"/>
        <rFont val="Times New Roman"/>
        <family val="1"/>
      </rPr>
      <t xml:space="preserve"> GASBS No. 99</t>
    </r>
    <r>
      <rPr>
        <sz val="10"/>
        <rFont val="Times New Roman"/>
        <family val="1"/>
      </rPr>
      <t xml:space="preserve"> paragraph 22)</t>
    </r>
  </si>
  <si>
    <t xml:space="preserve">Brazilian Real </t>
  </si>
  <si>
    <t xml:space="preserve">Estonian Kroon </t>
  </si>
  <si>
    <t xml:space="preserve">Pakistani Rupee </t>
  </si>
  <si>
    <r>
      <t xml:space="preserve">Other non-lease and non-SBITA capital assets are depreciated on the straight-line basis over their useful lives.  Capital assets are stated at historical cost, or in some instances, estimated historical cost.  Donated capital assets received prior to fiscal year 2016 are stated at fair market value at the time of donation.  Pursuant to </t>
    </r>
    <r>
      <rPr>
        <b/>
        <u/>
        <sz val="8"/>
        <rFont val="Times New Roman"/>
        <family val="1"/>
      </rPr>
      <t>GASBS No. 72</t>
    </r>
    <r>
      <rPr>
        <sz val="8"/>
        <rFont val="Times New Roman"/>
        <family val="1"/>
      </rPr>
      <t xml:space="preserve">, </t>
    </r>
    <r>
      <rPr>
        <i/>
        <sz val="8"/>
        <rFont val="Times New Roman"/>
        <family val="1"/>
      </rPr>
      <t>Fair Value Measurement and Application</t>
    </r>
    <r>
      <rPr>
        <sz val="8"/>
        <rFont val="Times New Roman"/>
        <family val="1"/>
      </rPr>
      <t xml:space="preserve">, donated capital assets, donated works of art, historical treasures, and similar assets, and capital assets received in a service concession arrangement are recorded at acquisition value except as noted in the following paragraph.
Other lease capital assets subject to the requirements of </t>
    </r>
    <r>
      <rPr>
        <b/>
        <u/>
        <sz val="8"/>
        <rFont val="Times New Roman"/>
        <family val="1"/>
      </rPr>
      <t>GASBS No. 87</t>
    </r>
    <r>
      <rPr>
        <sz val="8"/>
        <rFont val="Times New Roman"/>
        <family val="1"/>
      </rPr>
      <t xml:space="preserve"> are 1) recorded when the present value is $50,000 or greater, 2) the contract term is greater than 12 months, and 3) amortized based on the lease term or the asset useful life, whichever is shorter.  
Other Right-to-Use Subscription based assets subject to the requirements of </t>
    </r>
    <r>
      <rPr>
        <b/>
        <u/>
        <sz val="8"/>
        <rFont val="Times New Roman"/>
        <family val="1"/>
      </rPr>
      <t>GASBS No. 96</t>
    </r>
    <r>
      <rPr>
        <sz val="8"/>
        <rFont val="Times New Roman"/>
        <family val="1"/>
      </rPr>
      <t xml:space="preserve"> are 1) recorded when the present value is $5,000 or greater, 2) the contract term is greater than 12 months, and 3) amortized based on the subscription term or the asset useful life, whichever is shorter.  
</t>
    </r>
    <r>
      <rPr>
        <b/>
        <u/>
        <sz val="8"/>
        <rFont val="Times New Roman"/>
        <family val="1"/>
      </rPr>
      <t>GASBS No. 72</t>
    </r>
    <r>
      <rPr>
        <sz val="8"/>
        <rFont val="Times New Roman"/>
        <family val="1"/>
      </rPr>
      <t xml:space="preserve"> did not amend </t>
    </r>
    <r>
      <rPr>
        <b/>
        <u/>
        <sz val="8"/>
        <rFont val="Times New Roman"/>
        <family val="1"/>
      </rPr>
      <t>GASBS No. 48</t>
    </r>
    <r>
      <rPr>
        <sz val="8"/>
        <rFont val="Times New Roman"/>
        <family val="1"/>
      </rPr>
      <t xml:space="preserve">: </t>
    </r>
    <r>
      <rPr>
        <i/>
        <sz val="8"/>
        <rFont val="Times New Roman"/>
        <family val="1"/>
      </rPr>
      <t xml:space="preserve">Sales and Pledges of Receivables and Future Revenues and Intra - Entity Transfers of Assets and Future Revenues, </t>
    </r>
    <r>
      <rPr>
        <sz val="8"/>
        <rFont val="Times New Roman"/>
        <family val="1"/>
      </rPr>
      <t>and requires that donated, purchased, or transferred capital assets between entities of the Commonwealth are now considered intra-entity transfers.  Therefore, the transfer of capital assets should occur at the carrying value of the transfer.  The easiest way for accomplishing the transfer is to have the acquiring agency record the asset at its original historical cost and acquisition date.</t>
    </r>
  </si>
  <si>
    <t>Also, provide any insurance recoveries recognized in fiscal year 2024 that are included in the impairment loss calculation.</t>
  </si>
  <si>
    <r>
      <rPr>
        <b/>
        <sz val="11"/>
        <rFont val="Times New Roman"/>
        <family val="1"/>
      </rPr>
      <t xml:space="preserve">Intangible Assets as of June 30, 2024: </t>
    </r>
    <r>
      <rPr>
        <sz val="11"/>
        <rFont val="Times New Roman"/>
        <family val="1"/>
      </rPr>
      <t xml:space="preserve"> Does the enterprise fund have intangible assets as of June 30, 2024 as defined in </t>
    </r>
    <r>
      <rPr>
        <b/>
        <u/>
        <sz val="11"/>
        <rFont val="Times New Roman"/>
        <family val="1"/>
      </rPr>
      <t>GASBS No. 51</t>
    </r>
    <r>
      <rPr>
        <sz val="11"/>
        <rFont val="Times New Roman"/>
        <family val="1"/>
      </rPr>
      <t xml:space="preserve">?  If </t>
    </r>
    <r>
      <rPr>
        <b/>
        <sz val="11"/>
        <rFont val="Times New Roman"/>
        <family val="1"/>
      </rPr>
      <t>yes</t>
    </r>
    <r>
      <rPr>
        <sz val="11"/>
        <rFont val="Times New Roman"/>
        <family val="1"/>
      </rPr>
      <t xml:space="preserve">, answer question 11b and 11c.  </t>
    </r>
  </si>
  <si>
    <r>
      <rPr>
        <b/>
        <sz val="11"/>
        <rFont val="Times New Roman"/>
        <family val="1"/>
      </rPr>
      <t>Perpetual licensing agreements or assets that are considered internally generated:</t>
    </r>
    <r>
      <rPr>
        <sz val="11"/>
        <rFont val="Times New Roman"/>
        <family val="1"/>
      </rPr>
      <t xml:space="preserve">  Does the enterprise fund have any perpetual licensing agreements or assets that are internally generated that need to be reported as an intangible asset in accordance with </t>
    </r>
    <r>
      <rPr>
        <b/>
        <u/>
        <sz val="11"/>
        <rFont val="Times New Roman"/>
        <family val="1"/>
      </rPr>
      <t>GASBS No. 51</t>
    </r>
    <r>
      <rPr>
        <sz val="11"/>
        <rFont val="Times New Roman"/>
        <family val="1"/>
      </rPr>
      <t xml:space="preserve"> as of June 30, 2024 (Note:  Refer to the applicable Implementation Guide issued by GASB)? 
Note:  Maintenance CONTRACT payments should not be included in this section.
If </t>
    </r>
    <r>
      <rPr>
        <b/>
        <sz val="11"/>
        <rFont val="Times New Roman"/>
        <family val="1"/>
      </rPr>
      <t>yes</t>
    </r>
    <r>
      <rPr>
        <sz val="11"/>
        <rFont val="Times New Roman"/>
        <family val="1"/>
      </rPr>
      <t>, provide the following: description, month/year the agreement was entered into, annual required payment, and intangible asset amount.</t>
    </r>
  </si>
  <si>
    <r>
      <t xml:space="preserve">The purpose of </t>
    </r>
    <r>
      <rPr>
        <b/>
        <u/>
        <sz val="10"/>
        <rFont val="Times New Roman"/>
        <family val="1"/>
      </rPr>
      <t>GASBS No. 53</t>
    </r>
    <r>
      <rPr>
        <sz val="10"/>
        <rFont val="Times New Roman"/>
        <family val="1"/>
      </rPr>
      <t xml:space="preserve"> is to provide financial reporting standards for derivative instruments.  The following GASB Statements have amended </t>
    </r>
    <r>
      <rPr>
        <b/>
        <u/>
        <sz val="10"/>
        <rFont val="Times New Roman"/>
        <family val="1"/>
      </rPr>
      <t>GASBS No. 53</t>
    </r>
    <r>
      <rPr>
        <sz val="10"/>
        <rFont val="Times New Roman"/>
        <family val="1"/>
      </rPr>
      <t xml:space="preserve"> and should be considered when </t>
    </r>
    <r>
      <rPr>
        <b/>
        <u/>
        <sz val="10"/>
        <rFont val="Times New Roman"/>
        <family val="1"/>
      </rPr>
      <t>GASBS No. 53</t>
    </r>
    <r>
      <rPr>
        <sz val="10"/>
        <rFont val="Times New Roman"/>
        <family val="1"/>
      </rPr>
      <t xml:space="preserve"> is referenced below:</t>
    </r>
    <r>
      <rPr>
        <b/>
        <u/>
        <sz val="10"/>
        <rFont val="Times New Roman"/>
        <family val="1"/>
      </rPr>
      <t xml:space="preserve">
</t>
    </r>
    <r>
      <rPr>
        <sz val="10"/>
        <rFont val="Times New Roman"/>
        <family val="1"/>
      </rPr>
      <t>-</t>
    </r>
    <r>
      <rPr>
        <b/>
        <u/>
        <sz val="10"/>
        <rFont val="Times New Roman"/>
        <family val="1"/>
      </rPr>
      <t>GASBS No. 59</t>
    </r>
    <r>
      <rPr>
        <sz val="10"/>
        <rFont val="Times New Roman"/>
        <family val="1"/>
      </rPr>
      <t xml:space="preserve">, </t>
    </r>
    <r>
      <rPr>
        <i/>
        <sz val="10"/>
        <rFont val="Times New Roman"/>
        <family val="1"/>
      </rPr>
      <t>Financial Instruments Omnibus</t>
    </r>
    <r>
      <rPr>
        <sz val="10"/>
        <rFont val="Times New Roman"/>
        <family val="1"/>
      </rPr>
      <t>, 
-</t>
    </r>
    <r>
      <rPr>
        <b/>
        <u/>
        <sz val="10"/>
        <rFont val="Times New Roman"/>
        <family val="1"/>
      </rPr>
      <t>GASBS No. 64</t>
    </r>
    <r>
      <rPr>
        <sz val="10"/>
        <rFont val="Times New Roman"/>
        <family val="1"/>
      </rPr>
      <t xml:space="preserve">, </t>
    </r>
    <r>
      <rPr>
        <i/>
        <sz val="10"/>
        <rFont val="Times New Roman"/>
        <family val="1"/>
      </rPr>
      <t>Derivative Instruments: Application of Hedge Accounting Termination Provisions—an amendment of GASB Statement No. 53,</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 xml:space="preserve">Fair Value Measurement and Application,
</t>
    </r>
    <r>
      <rPr>
        <sz val="10"/>
        <rFont val="Times New Roman"/>
        <family val="1"/>
      </rPr>
      <t>-</t>
    </r>
    <r>
      <rPr>
        <b/>
        <u/>
        <sz val="10"/>
        <rFont val="Times New Roman"/>
        <family val="1"/>
      </rPr>
      <t>GASBS No. 86</t>
    </r>
    <r>
      <rPr>
        <sz val="10"/>
        <rFont val="Times New Roman"/>
        <family val="1"/>
      </rPr>
      <t xml:space="preserve">, </t>
    </r>
    <r>
      <rPr>
        <i/>
        <sz val="10"/>
        <rFont val="Times New Roman"/>
        <family val="1"/>
      </rPr>
      <t>Certain Debt Extinguishment Issues,</t>
    </r>
    <r>
      <rPr>
        <sz val="10"/>
        <rFont val="Times New Roman"/>
        <family val="1"/>
      </rPr>
      <t xml:space="preserve">
-</t>
    </r>
    <r>
      <rPr>
        <b/>
        <u/>
        <sz val="10"/>
        <rFont val="Times New Roman"/>
        <family val="1"/>
      </rPr>
      <t>GASBS No. 93</t>
    </r>
    <r>
      <rPr>
        <sz val="10"/>
        <rFont val="Times New Roman"/>
        <family val="1"/>
      </rPr>
      <t xml:space="preserve">, </t>
    </r>
    <r>
      <rPr>
        <i/>
        <sz val="10"/>
        <rFont val="Times New Roman"/>
        <family val="1"/>
      </rPr>
      <t>Replacement of Interbank Offered Rates</t>
    </r>
    <r>
      <rPr>
        <sz val="10"/>
        <rFont val="Times New Roman"/>
        <family val="1"/>
      </rPr>
      <t>, and 
-</t>
    </r>
    <r>
      <rPr>
        <b/>
        <u/>
        <sz val="10"/>
        <rFont val="Times New Roman"/>
        <family val="1"/>
      </rPr>
      <t>GASBS No. 99,</t>
    </r>
    <r>
      <rPr>
        <i/>
        <sz val="10"/>
        <rFont val="Times New Roman"/>
        <family val="1"/>
      </rPr>
      <t xml:space="preserve"> Omnibus 2022.</t>
    </r>
  </si>
  <si>
    <r>
      <t xml:space="preserve">Does the agency have any Conduit Debt that will need to be reported in FY 2024 pursuant to </t>
    </r>
    <r>
      <rPr>
        <b/>
        <u/>
        <sz val="10"/>
        <color theme="1"/>
        <rFont val="Times New Roman"/>
        <family val="1"/>
      </rPr>
      <t>GASBS No. 91</t>
    </r>
    <r>
      <rPr>
        <sz val="10"/>
        <color theme="1"/>
        <rFont val="Times New Roman"/>
        <family val="1"/>
      </rPr>
      <t xml:space="preserve">, </t>
    </r>
    <r>
      <rPr>
        <i/>
        <sz val="10"/>
        <color theme="1"/>
        <rFont val="Times New Roman"/>
        <family val="1"/>
      </rPr>
      <t>Conduit Debt Obligations</t>
    </r>
    <r>
      <rPr>
        <sz val="10"/>
        <color theme="1"/>
        <rFont val="Times New Roman"/>
        <family val="1"/>
      </rPr>
      <t xml:space="preserve">? If yes, provide a brief description, including any type of commitment for the obligation.  DOA may request additional information in a separate communication.
Refer to GASB's website at </t>
    </r>
    <r>
      <rPr>
        <sz val="10"/>
        <color rgb="FF0000FF"/>
        <rFont val="Times New Roman"/>
        <family val="1"/>
      </rPr>
      <t>www.gasb.org</t>
    </r>
    <r>
      <rPr>
        <sz val="10"/>
        <color theme="1"/>
        <rFont val="Times New Roman"/>
        <family val="1"/>
      </rPr>
      <t xml:space="preserve"> for information regarding </t>
    </r>
    <r>
      <rPr>
        <b/>
        <u/>
        <sz val="10"/>
        <color theme="1"/>
        <rFont val="Times New Roman"/>
        <family val="1"/>
      </rPr>
      <t>GASBS No. 91</t>
    </r>
    <r>
      <rPr>
        <sz val="10"/>
        <color theme="1"/>
        <rFont val="Times New Roman"/>
        <family val="1"/>
      </rPr>
      <t xml:space="preserve">.  </t>
    </r>
    <r>
      <rPr>
        <b/>
        <u/>
        <sz val="10"/>
        <color theme="1"/>
        <rFont val="Times New Roman"/>
        <family val="1"/>
      </rPr>
      <t>GASB No. 94</t>
    </r>
    <r>
      <rPr>
        <sz val="10"/>
        <color theme="1"/>
        <rFont val="Times New Roman"/>
        <family val="1"/>
      </rPr>
      <t xml:space="preserve">, </t>
    </r>
    <r>
      <rPr>
        <i/>
        <sz val="10"/>
        <color theme="1"/>
        <rFont val="Times New Roman"/>
        <family val="1"/>
      </rPr>
      <t>Public-Private and Public-Public Partnerships and Availability Payment Arrangements</t>
    </r>
    <r>
      <rPr>
        <sz val="10"/>
        <color theme="1"/>
        <rFont val="Times New Roman"/>
        <family val="1"/>
      </rPr>
      <t xml:space="preserve">, includes amendments to </t>
    </r>
    <r>
      <rPr>
        <b/>
        <u/>
        <sz val="10"/>
        <color theme="1"/>
        <rFont val="Times New Roman"/>
        <family val="1"/>
      </rPr>
      <t>GASBS No. 91</t>
    </r>
    <r>
      <rPr>
        <sz val="10"/>
        <color theme="1"/>
        <rFont val="Times New Roman"/>
        <family val="1"/>
      </rPr>
      <t>.</t>
    </r>
  </si>
  <si>
    <r>
      <rPr>
        <b/>
        <u/>
        <sz val="10"/>
        <rFont val="Times New Roman"/>
        <family val="1"/>
      </rPr>
      <t>GASBS No. 94</t>
    </r>
    <r>
      <rPr>
        <sz val="10"/>
        <rFont val="Times New Roman"/>
        <family val="1"/>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 wide statements. This statement supersedes </t>
    </r>
    <r>
      <rPr>
        <b/>
        <u/>
        <sz val="10"/>
        <rFont val="Times New Roman"/>
        <family val="1"/>
      </rPr>
      <t>GASBS No. 60</t>
    </r>
    <r>
      <rPr>
        <sz val="10"/>
        <rFont val="Times New Roman"/>
        <family val="1"/>
      </rPr>
      <t xml:space="preserve">, Accounting and Financial Reporting for Service Concession Arrangements, and amends </t>
    </r>
    <r>
      <rPr>
        <b/>
        <u/>
        <sz val="10"/>
        <rFont val="Times New Roman"/>
        <family val="1"/>
      </rPr>
      <t>GASBS No. 87</t>
    </r>
    <r>
      <rPr>
        <sz val="10"/>
        <rFont val="Times New Roman"/>
        <family val="1"/>
      </rPr>
      <t xml:space="preserve">, Leases. 
 </t>
    </r>
    <r>
      <rPr>
        <u/>
        <sz val="10"/>
        <rFont val="Times New Roman"/>
        <family val="1"/>
      </rPr>
      <t xml:space="preserve">
</t>
    </r>
    <r>
      <rPr>
        <b/>
        <u/>
        <sz val="10"/>
        <rFont val="Times New Roman"/>
        <family val="1"/>
      </rPr>
      <t>GASBS No. 99</t>
    </r>
    <r>
      <rPr>
        <sz val="10"/>
        <rFont val="Times New Roman"/>
        <family val="1"/>
      </rPr>
      <t xml:space="preserve">, </t>
    </r>
    <r>
      <rPr>
        <i/>
        <sz val="10"/>
        <rFont val="Times New Roman"/>
        <family val="1"/>
      </rPr>
      <t xml:space="preserve">Omnibus 2022, </t>
    </r>
    <r>
      <rPr>
        <sz val="10"/>
        <rFont val="Times New Roman"/>
        <family val="1"/>
      </rPr>
      <t xml:space="preserve">amended </t>
    </r>
    <r>
      <rPr>
        <b/>
        <u/>
        <sz val="10"/>
        <rFont val="Times New Roman"/>
        <family val="1"/>
      </rPr>
      <t>GASBS No. 94</t>
    </r>
    <r>
      <rPr>
        <sz val="10"/>
        <rFont val="Times New Roman"/>
        <family val="1"/>
      </rPr>
      <t xml:space="preserve"> paragraphs 10, 28, 45, and 47.  Refer to GASB's website at </t>
    </r>
    <r>
      <rPr>
        <b/>
        <sz val="10"/>
        <rFont val="Times New Roman"/>
        <family val="1"/>
      </rPr>
      <t>www.gasb.org</t>
    </r>
    <r>
      <rPr>
        <sz val="10"/>
        <rFont val="Times New Roman"/>
        <family val="1"/>
      </rPr>
      <t xml:space="preserve"> for information.
Refer to GASB's website at www.gasb.org for information regarding </t>
    </r>
    <r>
      <rPr>
        <b/>
        <u/>
        <sz val="10"/>
        <rFont val="Times New Roman"/>
        <family val="1"/>
      </rPr>
      <t>GASBS No. 94</t>
    </r>
    <r>
      <rPr>
        <sz val="10"/>
        <rFont val="Times New Roman"/>
        <family val="1"/>
      </rPr>
      <t>.</t>
    </r>
  </si>
  <si>
    <r>
      <rPr>
        <b/>
        <sz val="10"/>
        <rFont val="Times New Roman"/>
        <family val="1"/>
      </rPr>
      <t>Availability Payment Arrangements</t>
    </r>
    <r>
      <rPr>
        <sz val="10"/>
        <rFont val="Times New Roman"/>
        <family val="1"/>
      </rPr>
      <t xml:space="preserve">: Does the fund have any agreements in place with an operator (nongovernmental or governmental entity) where the fund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10"/>
        <rFont val="Times New Roman"/>
        <family val="1"/>
      </rPr>
      <t>GASBS No. 94</t>
    </r>
    <r>
      <rPr>
        <sz val="10"/>
        <rFont val="Times New Roman"/>
        <family val="1"/>
      </rPr>
      <t>?</t>
    </r>
    <r>
      <rPr>
        <b/>
        <sz val="10"/>
        <rFont val="Times New Roman"/>
        <family val="1"/>
      </rPr>
      <t xml:space="preserve">
</t>
    </r>
    <r>
      <rPr>
        <sz val="10"/>
        <rFont val="Times New Roman"/>
        <family val="1"/>
      </rPr>
      <t xml:space="preserve">
If </t>
    </r>
    <r>
      <rPr>
        <b/>
        <sz val="10"/>
        <rFont val="Times New Roman"/>
        <family val="1"/>
      </rPr>
      <t>yes</t>
    </r>
    <r>
      <rPr>
        <sz val="10"/>
        <rFont val="Times New Roman"/>
        <family val="1"/>
      </rPr>
      <t xml:space="preserve">, please provide general information relating to these arrangements.  </t>
    </r>
  </si>
  <si>
    <r>
      <t xml:space="preserve">Does the fund have any of the following that require GASBS No. 100 disclosures as of June 30, 2024:  change in accounting estimate, reclassification from a change in accounting principle, and/or reclassification from an error correction?
If </t>
    </r>
    <r>
      <rPr>
        <b/>
        <sz val="11"/>
        <rFont val="Times New Roman"/>
        <family val="1"/>
      </rPr>
      <t>yes</t>
    </r>
    <r>
      <rPr>
        <sz val="11"/>
        <rFont val="Times New Roman"/>
        <family val="1"/>
      </rPr>
      <t>, provide an amount, a brief description, and the applicable GASBS No. 100 disclosures below.</t>
    </r>
  </si>
  <si>
    <r>
      <t>Note</t>
    </r>
    <r>
      <rPr>
        <sz val="10"/>
        <rFont val="Times New Roman"/>
        <family val="1"/>
      </rPr>
      <t xml:space="preserve">:  Only complete this spreadsheet if beginning net position and / or beginning net cash and cash </t>
    </r>
  </si>
  <si>
    <r>
      <rPr>
        <b/>
        <u/>
        <sz val="10"/>
        <rFont val="Times New Roman"/>
        <family val="1"/>
      </rPr>
      <t>GASBS No. 100</t>
    </r>
    <r>
      <rPr>
        <sz val="10"/>
        <rFont val="Times New Roman"/>
        <family val="1"/>
      </rPr>
      <t xml:space="preserve">, </t>
    </r>
    <r>
      <rPr>
        <i/>
        <sz val="10"/>
        <rFont val="Times New Roman"/>
        <family val="1"/>
      </rPr>
      <t>Accounting Changes and Error Corrections</t>
    </r>
    <r>
      <rPr>
        <sz val="10"/>
        <rFont val="Times New Roman"/>
        <family val="1"/>
      </rPr>
      <t xml:space="preserve">. (Note: DOA may request additional information in a separate communication.)
For any restatements shown above, please provide any required disclosures per </t>
    </r>
    <r>
      <rPr>
        <b/>
        <u/>
        <sz val="10"/>
        <rFont val="Times New Roman"/>
        <family val="1"/>
      </rPr>
      <t>GASBS No. 100</t>
    </r>
    <r>
      <rPr>
        <sz val="10"/>
        <rFont val="Times New Roman"/>
        <family val="1"/>
      </rPr>
      <t>.</t>
    </r>
  </si>
  <si>
    <t>OFFICE OF DATA GOVERNANCE</t>
  </si>
  <si>
    <t>DEPARTMENT OF WORKFORCE DEVELOPMENT AND ADVANCEMENT</t>
  </si>
  <si>
    <t>AMERICAN REVOLUTION 250 COMMISSION</t>
  </si>
  <si>
    <t>DAVIS &amp; MCDANIEL VETERANS CARE CENTER (all funds except 07128)</t>
  </si>
  <si>
    <t>DAVIS &amp; MCDANIEL VETERANS CARE CENTER (fund 07128)</t>
  </si>
  <si>
    <r>
      <t xml:space="preserve">  Long-term Subscription Based Information Technology Arrangements Liabilities (</t>
    </r>
    <r>
      <rPr>
        <b/>
        <u/>
        <sz val="10"/>
        <rFont val="Times New Roman"/>
        <family val="1"/>
      </rPr>
      <t>GASBS No. 96</t>
    </r>
    <r>
      <rPr>
        <sz val="10"/>
        <rFont val="Times New Roman"/>
        <family val="1"/>
      </rPr>
      <t>)</t>
    </r>
  </si>
  <si>
    <r>
      <t xml:space="preserve">  Long-term Subscription Based Information Technology Arrangement Liabilities (</t>
    </r>
    <r>
      <rPr>
        <b/>
        <u/>
        <sz val="10"/>
        <rFont val="Times New Roman"/>
        <family val="1"/>
      </rPr>
      <t>GASBS No. 96</t>
    </r>
    <r>
      <rPr>
        <sz val="10"/>
        <rFont val="Times New Roman"/>
        <family val="1"/>
      </rPr>
      <t>)</t>
    </r>
  </si>
  <si>
    <t>For ACFR purposes, the Commonwealth capitalizes all equipment that in the aggregate have a cost or value greater than or equal to $50,000 and an expected useful life of greater than two years.  For ACFR purposes, the Commonwealth capitalizes all other non-lease/non-SBITA capital assets that have a cost or value greater than or equal to $100,000 and an expected useful life of greater than two years.</t>
  </si>
  <si>
    <r>
      <rPr>
        <b/>
        <u/>
        <sz val="10"/>
        <rFont val="Cambria"/>
        <family val="1"/>
      </rPr>
      <t xml:space="preserve">DOA completed the following financial statement adjustments:
</t>
    </r>
    <r>
      <rPr>
        <sz val="10"/>
        <rFont val="Cambria"/>
        <family val="1"/>
      </rPr>
      <t xml:space="preserve">
1) This entry is to correct Due to DHRM and Due to VRS per the Lag Pay program:
Accounts Payable - Vendor Payments Payable            17,039
Due to Other State Agencies                                       31,817
           Due to External Parties                                                                           5,869
           Accounts Payable - Salaries and Wages                                                42,987
Cash Flow:
Increase (Decrease) in Due to External Parties             5,869
Increase (Decrease) in Due to Other State Agencies   (31,817)
Increase (Decrease) in Accounts Payable                     25,948 
2) This entry is to correct cash flows to more appropriate line and tie LT Liabilities to LT Lease and SBITA Liabilities:
Interest, Dividends, Rents and Other Investment Income        7,190,190
                             Other Capital Receipts                                                                       (7,190,190)
                             Long-Term Lease Liabilities (GASBS No. 87)                                2,468,491
                             Long-Term SBITA Liabilities (GASBS No. 96)                                366,687
</t>
    </r>
  </si>
  <si>
    <t>LAWRENCEVILLE CORRECTIONAL CENTER</t>
  </si>
  <si>
    <r>
      <rPr>
        <b/>
        <u/>
        <sz val="10"/>
        <rFont val="Cambria"/>
        <family val="1"/>
      </rPr>
      <t xml:space="preserve">DOA completed the following financial statement adjustments:
</t>
    </r>
    <r>
      <rPr>
        <sz val="10"/>
        <rFont val="Cambria"/>
        <family val="1"/>
      </rPr>
      <t xml:space="preserve">
This entry is to reclassify due to DHRM per the Lag Pay program:
Due to External Parties                                                 1,018
Due to Other Funds                                                          425
Accounts Payable - Salaries and Wages                          7,113
             Accounts Payable - Vendor Payments Payable                          8,556
Cash Flow:
Increase (Decrease) in Accounts Payable                                                       429
Increase (Decrease) in Due to External Parties (Fiduciary Funds)                      (4)
Increase (Decrease) in Due to Other Funds                                                    (425)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</si>
</sst>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 #,##0_);_(* \(#,##0\);_(* &quot;-&quot;??_);_(@_)"/>
    <numFmt numFmtId="166" formatCode="mmmm\ dd"/>
    <numFmt numFmtId="167" formatCode="mm/dd/yy"/>
    <numFmt numFmtId="168" formatCode="&quot;$&quot;#,##0\ ;\(&quot;$&quot;#,##0\)"/>
    <numFmt numFmtId="169" formatCode="mm/dd/yy;@"/>
    <numFmt numFmtId="170" formatCode="#,##0;\-#,##0"/>
    <numFmt numFmtId="171" formatCode="#,##0.0;\-#,##0.0"/>
    <numFmt numFmtId="172" formatCode="#,##0.00;\-#,##0.00"/>
    <numFmt numFmtId="173" formatCode="#,##0.000;\-#,##0.000"/>
    <numFmt numFmtId="174" formatCode="#,##0.0000;\-#,##0.0000"/>
    <numFmt numFmtId="175" formatCode="#,##0.00000;\-#,##0.00000"/>
    <numFmt numFmtId="176" formatCode="#,##0.000000;\-#,##0.000000"/>
    <numFmt numFmtId="177" formatCode="#,##0.0000000;\-#,##0.0000000"/>
    <numFmt numFmtId="178" formatCode="#,##0.00000000;\-#,##0.00000000"/>
    <numFmt numFmtId="179" formatCode="#,##0.000000000;\-#,##0.000000000"/>
    <numFmt numFmtId="180" formatCode="#,##0.0000000000;\-#,##0.0000000000"/>
    <numFmt numFmtId="181" formatCode="0_);[Red]\(0\)"/>
    <numFmt numFmtId="182" formatCode="mm/dd/yyyy"/>
    <numFmt numFmtId="183" formatCode="[&lt;=9999999]###\-####;\(###\)\ ###\-####"/>
  </numFmts>
  <fonts count="149">
    <font>
      <sz val="10"/>
      <name val="Arial"/>
    </font>
    <font>
      <sz val="11"/>
      <color theme="1"/>
      <name val="Calibri"/>
      <family val="2"/>
      <scheme val="minor"/>
    </font>
    <font>
      <sz val="11"/>
      <color theme="1"/>
      <name val="Times New Roman"/>
      <family val="2"/>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7.5"/>
      <color indexed="12"/>
      <name val="Courier"/>
      <family val="3"/>
    </font>
    <font>
      <sz val="8"/>
      <name val="Times New Roman"/>
      <family val="1"/>
    </font>
    <font>
      <b/>
      <sz val="12"/>
      <name val="Times New Roman"/>
      <family val="1"/>
    </font>
    <font>
      <sz val="8"/>
      <color indexed="81"/>
      <name val="Tahoma"/>
      <family val="2"/>
    </font>
    <font>
      <sz val="8"/>
      <name val="Times New Roman"/>
      <family val="1"/>
    </font>
    <font>
      <i/>
      <sz val="8"/>
      <name val="Times New Roman"/>
      <family val="1"/>
    </font>
    <font>
      <b/>
      <sz val="8"/>
      <name val="Times New Roman"/>
      <family val="1"/>
    </font>
    <font>
      <sz val="8"/>
      <color indexed="10"/>
      <name val="Times New Roman"/>
      <family val="1"/>
    </font>
    <font>
      <b/>
      <sz val="9"/>
      <name val="Times New Roman"/>
      <family val="1"/>
    </font>
    <font>
      <sz val="10"/>
      <name val="Times New Roman"/>
      <family val="1"/>
    </font>
    <font>
      <sz val="9"/>
      <name val="Times New Roman"/>
      <family val="1"/>
    </font>
    <font>
      <b/>
      <sz val="10"/>
      <name val="Times New Roman"/>
      <family val="1"/>
    </font>
    <font>
      <sz val="9"/>
      <color indexed="10"/>
      <name val="Times New Roman"/>
      <family val="1"/>
    </font>
    <font>
      <sz val="9"/>
      <color indexed="12"/>
      <name val="Times New Roman"/>
      <family val="1"/>
    </font>
    <font>
      <sz val="9"/>
      <color indexed="53"/>
      <name val="Times New Roman"/>
      <family val="1"/>
    </font>
    <font>
      <b/>
      <sz val="9"/>
      <color indexed="12"/>
      <name val="Times New Roman"/>
      <family val="1"/>
    </font>
    <font>
      <sz val="10"/>
      <color indexed="53"/>
      <name val="Times New Roman"/>
      <family val="1"/>
    </font>
    <font>
      <sz val="10"/>
      <color indexed="10"/>
      <name val="Times New Roman"/>
      <family val="1"/>
    </font>
    <font>
      <b/>
      <u/>
      <sz val="9"/>
      <name val="Times New Roman"/>
      <family val="1"/>
    </font>
    <font>
      <b/>
      <sz val="8"/>
      <color indexed="81"/>
      <name val="Tahoma"/>
      <family val="2"/>
    </font>
    <font>
      <sz val="12"/>
      <color indexed="24"/>
      <name val="Arial"/>
      <family val="2"/>
    </font>
    <font>
      <b/>
      <sz val="14"/>
      <color indexed="24"/>
      <name val="Arial"/>
      <family val="2"/>
    </font>
    <font>
      <b/>
      <sz val="12"/>
      <color indexed="24"/>
      <name val="Arial"/>
      <family val="2"/>
    </font>
    <font>
      <b/>
      <sz val="10"/>
      <name val="Arial"/>
      <family val="2"/>
    </font>
    <font>
      <sz val="10"/>
      <name val="Arial"/>
      <family val="2"/>
    </font>
    <font>
      <sz val="10"/>
      <color indexed="12"/>
      <name val="Times New Roman"/>
      <family val="1"/>
    </font>
    <font>
      <sz val="10"/>
      <color indexed="14"/>
      <name val="Times New Roman"/>
      <family val="1"/>
    </font>
    <font>
      <sz val="9"/>
      <color indexed="81"/>
      <name val="Tahoma"/>
      <family val="2"/>
    </font>
    <font>
      <b/>
      <sz val="11"/>
      <name val="Times New Roman"/>
      <family val="1"/>
    </font>
    <font>
      <b/>
      <i/>
      <u/>
      <sz val="10"/>
      <name val="Times New Roman"/>
      <family val="1"/>
    </font>
    <font>
      <sz val="10"/>
      <color indexed="81"/>
      <name val="Tahoma"/>
      <family val="2"/>
    </font>
    <font>
      <sz val="10"/>
      <name val="Arial"/>
      <family val="2"/>
    </font>
    <font>
      <sz val="8"/>
      <name val="Arial"/>
      <family val="2"/>
    </font>
    <font>
      <b/>
      <sz val="9"/>
      <color indexed="10"/>
      <name val="Times New Roman"/>
      <family val="1"/>
    </font>
    <font>
      <b/>
      <sz val="9"/>
      <color indexed="81"/>
      <name val="Tahoma"/>
      <family val="2"/>
    </font>
    <font>
      <sz val="9"/>
      <color indexed="12"/>
      <name val="Tahoma"/>
      <family val="2"/>
    </font>
    <font>
      <sz val="10"/>
      <color indexed="8"/>
      <name val="Times New Roman"/>
      <family val="1"/>
    </font>
    <font>
      <b/>
      <u/>
      <sz val="10"/>
      <name val="Times New Roman"/>
      <family val="1"/>
    </font>
    <font>
      <b/>
      <sz val="10"/>
      <color indexed="81"/>
      <name val="Tahoma"/>
      <family val="2"/>
    </font>
    <font>
      <sz val="10"/>
      <name val="Times New Roman"/>
      <family val="1"/>
    </font>
    <font>
      <b/>
      <u/>
      <sz val="8"/>
      <name val="Times New Roman"/>
      <family val="1"/>
    </font>
    <font>
      <b/>
      <u/>
      <sz val="9"/>
      <color indexed="12"/>
      <name val="Times New Roman"/>
      <family val="1"/>
    </font>
    <font>
      <b/>
      <u/>
      <sz val="7.5"/>
      <color indexed="12"/>
      <name val="Courier"/>
      <family val="3"/>
    </font>
    <font>
      <b/>
      <sz val="10"/>
      <name val="Arial"/>
      <family val="2"/>
    </font>
    <font>
      <sz val="10"/>
      <color indexed="8"/>
      <name val="Arial"/>
      <family val="2"/>
    </font>
    <font>
      <b/>
      <u/>
      <sz val="9"/>
      <color indexed="10"/>
      <name val="Times New Roman"/>
      <family val="1"/>
    </font>
    <font>
      <b/>
      <u/>
      <sz val="10"/>
      <color indexed="8"/>
      <name val="Times New Roman"/>
      <family val="1"/>
    </font>
    <font>
      <sz val="8"/>
      <color indexed="8"/>
      <name val="Times New Roman"/>
      <family val="1"/>
    </font>
    <font>
      <b/>
      <sz val="10"/>
      <color indexed="10"/>
      <name val="Times New Roman"/>
      <family val="1"/>
    </font>
    <font>
      <b/>
      <sz val="10"/>
      <color indexed="8"/>
      <name val="Times New Roman"/>
      <family val="1"/>
    </font>
    <font>
      <b/>
      <sz val="8"/>
      <color indexed="10"/>
      <name val="Times New Roman"/>
      <family val="1"/>
    </font>
    <font>
      <b/>
      <u/>
      <sz val="8"/>
      <color indexed="12"/>
      <name val="Times New Roman"/>
      <family val="1"/>
    </font>
    <font>
      <sz val="11"/>
      <name val="Times New Roman"/>
      <family val="1"/>
    </font>
    <font>
      <u/>
      <sz val="11"/>
      <name val="Times New Roman"/>
      <family val="1"/>
    </font>
    <font>
      <i/>
      <sz val="11"/>
      <name val="Times New Roman"/>
      <family val="1"/>
    </font>
    <font>
      <b/>
      <sz val="11"/>
      <color indexed="10"/>
      <name val="Times New Roman"/>
      <family val="1"/>
    </font>
    <font>
      <b/>
      <u/>
      <sz val="11"/>
      <name val="Times New Roman"/>
      <family val="1"/>
    </font>
    <font>
      <b/>
      <u/>
      <sz val="10"/>
      <color indexed="10"/>
      <name val="Times New Roman"/>
      <family val="1"/>
    </font>
    <font>
      <b/>
      <u/>
      <sz val="10"/>
      <color indexed="81"/>
      <name val="Tahoma"/>
      <family val="2"/>
    </font>
    <font>
      <b/>
      <u/>
      <sz val="11"/>
      <color indexed="12"/>
      <name val="Times New Roman"/>
      <family val="1"/>
    </font>
    <font>
      <b/>
      <sz val="11"/>
      <color indexed="12"/>
      <name val="Times New Roman"/>
      <family val="1"/>
    </font>
    <font>
      <b/>
      <u/>
      <sz val="10"/>
      <color indexed="12"/>
      <name val="Times New Roman"/>
      <family val="1"/>
    </font>
    <font>
      <u/>
      <sz val="10"/>
      <color indexed="10"/>
      <name val="Times New Roman"/>
      <family val="1"/>
    </font>
    <font>
      <b/>
      <u/>
      <sz val="12"/>
      <color indexed="12"/>
      <name val="Times New Roman"/>
      <family val="1"/>
    </font>
    <font>
      <u/>
      <sz val="10"/>
      <color indexed="12"/>
      <name val="Times New Roman"/>
      <family val="1"/>
    </font>
    <font>
      <b/>
      <u/>
      <sz val="10"/>
      <color indexed="39"/>
      <name val="Times New Roman"/>
      <family val="1"/>
    </font>
    <font>
      <sz val="9"/>
      <name val="Arial"/>
      <family val="2"/>
    </font>
    <font>
      <u/>
      <sz val="9"/>
      <color indexed="12"/>
      <name val="Times New Roman"/>
      <family val="1"/>
    </font>
    <font>
      <sz val="12"/>
      <name val="Arial"/>
      <family val="2"/>
    </font>
    <font>
      <sz val="9"/>
      <color indexed="81"/>
      <name val="Arial"/>
      <family val="2"/>
    </font>
    <font>
      <sz val="11"/>
      <name val="Arial"/>
      <family val="2"/>
    </font>
    <font>
      <sz val="8"/>
      <color indexed="81"/>
      <name val="Arial"/>
      <family val="2"/>
    </font>
    <font>
      <b/>
      <sz val="9"/>
      <name val="Arial"/>
      <family val="2"/>
    </font>
    <font>
      <b/>
      <sz val="9"/>
      <color indexed="81"/>
      <name val="Arial"/>
      <family val="2"/>
    </font>
    <font>
      <b/>
      <sz val="16"/>
      <color rgb="FF0070C0"/>
      <name val="Times New Roman"/>
      <family val="1"/>
    </font>
    <font>
      <sz val="11"/>
      <color rgb="FF0000FF"/>
      <name val="Times New Roman"/>
      <family val="1"/>
    </font>
    <font>
      <sz val="10"/>
      <name val="Arial Unicode MS"/>
      <family val="2"/>
    </font>
    <font>
      <b/>
      <sz val="10"/>
      <name val="Arial Unicode MS"/>
      <family val="2"/>
    </font>
    <font>
      <sz val="10.5"/>
      <name val="Times New Roman"/>
      <family val="1"/>
    </font>
    <font>
      <u/>
      <sz val="9"/>
      <color indexed="81"/>
      <name val="Tahoma"/>
      <family val="2"/>
    </font>
    <font>
      <u/>
      <sz val="10"/>
      <color indexed="12"/>
      <name val="Arial"/>
      <family val="2"/>
    </font>
    <font>
      <sz val="10"/>
      <color indexed="8"/>
      <name val="MS Sans Serif"/>
      <family val="2"/>
    </font>
    <font>
      <sz val="8"/>
      <color theme="1"/>
      <name val="Arial"/>
      <family val="2"/>
    </font>
    <font>
      <b/>
      <sz val="11"/>
      <color rgb="FF0000FF"/>
      <name val="Times New Roman"/>
      <family val="1"/>
    </font>
    <font>
      <strike/>
      <sz val="9"/>
      <name val="Times New Roman"/>
      <family val="1"/>
    </font>
    <font>
      <strike/>
      <sz val="9"/>
      <color indexed="12"/>
      <name val="Times New Roman"/>
      <family val="1"/>
    </font>
    <font>
      <sz val="11"/>
      <color theme="1"/>
      <name val="Times New Roman"/>
      <family val="2"/>
    </font>
    <font>
      <strike/>
      <sz val="11"/>
      <name val="Times New Roman"/>
      <family val="1"/>
    </font>
    <font>
      <b/>
      <strike/>
      <sz val="11"/>
      <name val="Times New Roman"/>
      <family val="1"/>
    </font>
    <font>
      <b/>
      <strike/>
      <u/>
      <sz val="11"/>
      <name val="Times New Roman"/>
      <family val="1"/>
    </font>
    <font>
      <b/>
      <strike/>
      <sz val="11"/>
      <color indexed="12"/>
      <name val="Times New Roman"/>
      <family val="1"/>
    </font>
    <font>
      <strike/>
      <u/>
      <sz val="11"/>
      <name val="Times New Roman"/>
      <family val="1"/>
    </font>
    <font>
      <strike/>
      <sz val="10"/>
      <name val="Arial"/>
      <family val="2"/>
    </font>
    <font>
      <strike/>
      <sz val="10"/>
      <name val="Times New Roman"/>
      <family val="1"/>
    </font>
    <font>
      <b/>
      <strike/>
      <sz val="11"/>
      <color indexed="10"/>
      <name val="Times New Roman"/>
      <family val="1"/>
    </font>
    <font>
      <i/>
      <strike/>
      <sz val="11"/>
      <name val="Times New Roman"/>
      <family val="1"/>
    </font>
    <font>
      <strike/>
      <sz val="11"/>
      <name val="Arial"/>
      <family val="2"/>
    </font>
    <font>
      <strike/>
      <sz val="11"/>
      <color theme="1"/>
      <name val="Times New Roman"/>
      <family val="1"/>
    </font>
    <font>
      <b/>
      <strike/>
      <sz val="11"/>
      <color theme="1"/>
      <name val="Times New Roman"/>
      <family val="1"/>
    </font>
    <font>
      <b/>
      <strike/>
      <u/>
      <sz val="11"/>
      <color theme="1"/>
      <name val="Times New Roman"/>
      <family val="1"/>
    </font>
    <font>
      <b/>
      <sz val="11"/>
      <color rgb="FFFF0000"/>
      <name val="Times New Roman"/>
      <family val="1"/>
    </font>
    <font>
      <i/>
      <sz val="10"/>
      <name val="Times New Roman"/>
      <family val="1"/>
    </font>
    <font>
      <u/>
      <sz val="10"/>
      <name val="Times New Roman"/>
      <family val="1"/>
    </font>
    <font>
      <sz val="11"/>
      <color theme="1"/>
      <name val="Times New Roman"/>
      <family val="1"/>
    </font>
    <font>
      <b/>
      <sz val="11"/>
      <color theme="1"/>
      <name val="Times New Roman"/>
      <family val="1"/>
    </font>
    <font>
      <b/>
      <u/>
      <sz val="11"/>
      <color indexed="10"/>
      <name val="Times New Roman"/>
      <family val="1"/>
    </font>
    <font>
      <sz val="11"/>
      <color rgb="FFFF0000"/>
      <name val="Times New Roman"/>
      <family val="1"/>
    </font>
    <font>
      <sz val="10"/>
      <color theme="1"/>
      <name val="Times New Roman"/>
      <family val="1"/>
    </font>
    <font>
      <b/>
      <u/>
      <sz val="9"/>
      <color indexed="81"/>
      <name val="Tahoma"/>
      <family val="2"/>
    </font>
    <font>
      <b/>
      <sz val="10"/>
      <color rgb="FFFF0000"/>
      <name val="Times New Roman"/>
      <family val="1"/>
    </font>
    <font>
      <b/>
      <sz val="11"/>
      <color rgb="FFFA7D00"/>
      <name val="Calibri"/>
      <family val="2"/>
      <scheme val="minor"/>
    </font>
    <font>
      <sz val="12"/>
      <name val="Times New Roman"/>
      <family val="1"/>
    </font>
    <font>
      <sz val="8"/>
      <color rgb="FFFF0000"/>
      <name val="Times New Roman"/>
      <family val="1"/>
    </font>
    <font>
      <b/>
      <u/>
      <sz val="8"/>
      <color indexed="81"/>
      <name val="Tahoma"/>
      <family val="2"/>
    </font>
    <font>
      <strike/>
      <sz val="10"/>
      <name val="Cambria"/>
      <family val="1"/>
    </font>
    <font>
      <strike/>
      <sz val="9"/>
      <name val="Cambria"/>
      <family val="1"/>
    </font>
    <font>
      <b/>
      <strike/>
      <sz val="10"/>
      <name val="Cambria"/>
      <family val="1"/>
    </font>
    <font>
      <b/>
      <strike/>
      <sz val="9"/>
      <name val="Cambria"/>
      <family val="1"/>
    </font>
    <font>
      <strike/>
      <sz val="8"/>
      <name val="Cambria"/>
      <family val="1"/>
    </font>
    <font>
      <b/>
      <strike/>
      <u/>
      <sz val="8"/>
      <name val="Cambria"/>
      <family val="1"/>
    </font>
    <font>
      <sz val="10"/>
      <name val="Cambria"/>
      <family val="1"/>
    </font>
    <font>
      <sz val="9"/>
      <name val="Cambria"/>
      <family val="1"/>
    </font>
    <font>
      <b/>
      <sz val="10"/>
      <name val="Cambria"/>
      <family val="1"/>
    </font>
    <font>
      <b/>
      <sz val="9"/>
      <name val="Cambria"/>
      <family val="1"/>
    </font>
    <font>
      <b/>
      <u/>
      <sz val="10"/>
      <name val="Cambria"/>
      <family val="1"/>
    </font>
    <font>
      <b/>
      <u/>
      <sz val="9"/>
      <color rgb="FF0000FF"/>
      <name val="Times New Roman"/>
      <family val="1"/>
    </font>
    <font>
      <b/>
      <sz val="9"/>
      <color rgb="FFFF0000"/>
      <name val="Times New Roman"/>
      <family val="1"/>
    </font>
    <font>
      <b/>
      <sz val="9"/>
      <color rgb="FFFF0000"/>
      <name val="Cambria"/>
      <family val="1"/>
    </font>
    <font>
      <b/>
      <u/>
      <sz val="10"/>
      <color theme="1"/>
      <name val="Times New Roman"/>
      <family val="1"/>
    </font>
    <font>
      <i/>
      <sz val="10"/>
      <color theme="1"/>
      <name val="Times New Roman"/>
      <family val="1"/>
    </font>
    <font>
      <sz val="10"/>
      <color rgb="FF0000FF"/>
      <name val="Times New Roman"/>
      <family val="1"/>
    </font>
    <font>
      <b/>
      <sz val="10"/>
      <color theme="1"/>
      <name val="Times New Roman"/>
      <family val="1"/>
    </font>
    <font>
      <sz val="10"/>
      <color rgb="FF000000"/>
      <name val="Times New Roman"/>
      <family val="1"/>
    </font>
    <font>
      <b/>
      <u/>
      <sz val="10"/>
      <color rgb="FF000000"/>
      <name val="Times New Roman"/>
      <family val="1"/>
    </font>
    <font>
      <sz val="10"/>
      <color rgb="FFFF0000"/>
      <name val="Times New Roman"/>
      <family val="1"/>
    </font>
  </fonts>
  <fills count="14">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9"/>
        <bgColor indexed="64"/>
      </patternFill>
    </fill>
    <fill>
      <patternFill patternType="solid">
        <fgColor rgb="FFFF0000"/>
        <bgColor indexed="64"/>
      </patternFill>
    </fill>
    <fill>
      <patternFill patternType="solid">
        <fgColor rgb="FFFFFF99"/>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2F2F2"/>
      </patternFill>
    </fill>
    <fill>
      <patternFill patternType="solid">
        <fgColor theme="7" tint="0.59999389629810485"/>
        <bgColor indexed="64"/>
      </patternFill>
    </fill>
  </fills>
  <borders count="3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5">
    <xf numFmtId="0" fontId="0" fillId="0" borderId="0"/>
    <xf numFmtId="43" fontId="13" fillId="0" borderId="0" applyFont="0" applyFill="0" applyBorder="0" applyAlignment="0" applyProtection="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53" fillId="0" borderId="0"/>
    <xf numFmtId="0" fontId="15" fillId="0" borderId="0"/>
    <xf numFmtId="0" fontId="15" fillId="0" borderId="0"/>
    <xf numFmtId="0" fontId="58" fillId="0" borderId="0"/>
    <xf numFmtId="0" fontId="53" fillId="0" borderId="0"/>
    <xf numFmtId="170" fontId="13" fillId="0" borderId="0"/>
    <xf numFmtId="180" fontId="13" fillId="0" borderId="0"/>
    <xf numFmtId="171" fontId="13" fillId="0" borderId="0"/>
    <xf numFmtId="172" fontId="13" fillId="0" borderId="0"/>
    <xf numFmtId="173" fontId="13" fillId="0" borderId="0"/>
    <xf numFmtId="174" fontId="13" fillId="0" borderId="0"/>
    <xf numFmtId="175" fontId="13" fillId="0" borderId="0"/>
    <xf numFmtId="176" fontId="13" fillId="0" borderId="0"/>
    <xf numFmtId="177" fontId="13" fillId="0" borderId="0"/>
    <xf numFmtId="178" fontId="13" fillId="0" borderId="0"/>
    <xf numFmtId="179" fontId="13" fillId="0" borderId="0"/>
    <xf numFmtId="9" fontId="13" fillId="0" borderId="0" applyFont="0" applyFill="0" applyBorder="0" applyAlignment="0" applyProtection="0"/>
    <xf numFmtId="49" fontId="13" fillId="0" borderId="0"/>
    <xf numFmtId="0" fontId="34" fillId="0" borderId="1" applyNumberFormat="0" applyFont="0" applyFill="0" applyAlignment="0" applyProtection="0"/>
    <xf numFmtId="0" fontId="13" fillId="0" borderId="0"/>
    <xf numFmtId="0" fontId="13" fillId="0" borderId="0"/>
    <xf numFmtId="0" fontId="12" fillId="0" borderId="0"/>
    <xf numFmtId="43" fontId="1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13" fillId="0" borderId="0" applyFont="0" applyFill="0" applyBorder="0" applyAlignment="0" applyProtection="0"/>
    <xf numFmtId="0" fontId="34" fillId="0" borderId="1" applyNumberFormat="0" applyFont="0" applyFill="0" applyAlignment="0" applyProtection="0"/>
    <xf numFmtId="0" fontId="11" fillId="0" borderId="0"/>
    <xf numFmtId="0" fontId="10" fillId="0" borderId="0"/>
    <xf numFmtId="0" fontId="13" fillId="0" borderId="0"/>
    <xf numFmtId="0" fontId="13"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90" fillId="0" borderId="0"/>
    <xf numFmtId="0" fontId="94" fillId="0" borderId="0" applyNumberFormat="0" applyFill="0" applyBorder="0" applyAlignment="0" applyProtection="0">
      <alignment vertical="top"/>
      <protection locked="0"/>
    </xf>
    <xf numFmtId="0" fontId="6" fillId="0" borderId="0"/>
    <xf numFmtId="0" fontId="6" fillId="0" borderId="0"/>
    <xf numFmtId="0" fontId="95" fillId="0" borderId="0"/>
    <xf numFmtId="0" fontId="96" fillId="0" borderId="0"/>
    <xf numFmtId="41" fontId="96" fillId="0" borderId="0" applyFont="0" applyFill="0" applyBorder="0" applyAlignment="0" applyProtection="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90"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0" fillId="0" borderId="0"/>
    <xf numFmtId="0" fontId="23" fillId="0" borderId="0"/>
    <xf numFmtId="43" fontId="46" fillId="0" borderId="0" applyFont="0" applyFill="0" applyBorder="0" applyAlignment="0" applyProtection="0"/>
    <xf numFmtId="43" fontId="1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xf numFmtId="0" fontId="4" fillId="0" borderId="0"/>
    <xf numFmtId="0" fontId="13"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46" fillId="0" borderId="0"/>
    <xf numFmtId="0" fontId="46" fillId="0" borderId="0"/>
    <xf numFmtId="0" fontId="13" fillId="0" borderId="0"/>
    <xf numFmtId="9" fontId="46" fillId="0" borderId="0" applyFont="0" applyFill="0" applyBorder="0" applyAlignment="0" applyProtection="0"/>
    <xf numFmtId="0" fontId="34" fillId="0" borderId="0"/>
    <xf numFmtId="0" fontId="34" fillId="0" borderId="1" applyNumberFormat="0" applyFont="0" applyFill="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6" fillId="0" borderId="0"/>
    <xf numFmtId="0" fontId="3" fillId="0" borderId="0"/>
    <xf numFmtId="0" fontId="3" fillId="0" borderId="0"/>
    <xf numFmtId="0" fontId="13" fillId="0" borderId="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6" fillId="0" borderId="0"/>
    <xf numFmtId="0" fontId="9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13" fillId="0" borderId="0"/>
    <xf numFmtId="180" fontId="13" fillId="0" borderId="0"/>
    <xf numFmtId="171" fontId="13" fillId="0" borderId="0"/>
    <xf numFmtId="172" fontId="13" fillId="0" borderId="0"/>
    <xf numFmtId="173" fontId="13" fillId="0" borderId="0"/>
    <xf numFmtId="174" fontId="13" fillId="0" borderId="0"/>
    <xf numFmtId="175" fontId="13" fillId="0" borderId="0"/>
    <xf numFmtId="176" fontId="13" fillId="0" borderId="0"/>
    <xf numFmtId="177" fontId="13" fillId="0" borderId="0"/>
    <xf numFmtId="178" fontId="13" fillId="0" borderId="0"/>
    <xf numFmtId="179" fontId="13" fillId="0" borderId="0"/>
    <xf numFmtId="9" fontId="13" fillId="0" borderId="0" applyFont="0" applyFill="0" applyBorder="0" applyAlignment="0" applyProtection="0"/>
    <xf numFmtId="9" fontId="46" fillId="0" borderId="0" applyFont="0" applyFill="0" applyBorder="0" applyAlignment="0" applyProtection="0"/>
    <xf numFmtId="49" fontId="13" fillId="0" borderId="0"/>
    <xf numFmtId="0" fontId="2" fillId="0" borderId="0"/>
    <xf numFmtId="43" fontId="2" fillId="0" borderId="0" applyFont="0" applyFill="0" applyBorder="0" applyAlignment="0" applyProtection="0"/>
    <xf numFmtId="0" fontId="124" fillId="12" borderId="24" applyNumberFormat="0" applyAlignment="0" applyProtection="0"/>
    <xf numFmtId="0" fontId="23" fillId="0" borderId="0"/>
    <xf numFmtId="0" fontId="1" fillId="0" borderId="0"/>
  </cellStyleXfs>
  <cellXfs count="1435">
    <xf numFmtId="0" fontId="0" fillId="0" borderId="0" xfId="0"/>
    <xf numFmtId="41" fontId="24" fillId="2" borderId="2" xfId="0" applyNumberFormat="1" applyFont="1" applyFill="1" applyBorder="1" applyProtection="1">
      <protection locked="0"/>
    </xf>
    <xf numFmtId="41" fontId="18" fillId="2" borderId="2" xfId="1" applyNumberFormat="1" applyFont="1" applyFill="1" applyBorder="1" applyAlignment="1" applyProtection="1">
      <alignment horizontal="right"/>
      <protection locked="0"/>
    </xf>
    <xf numFmtId="0" fontId="23" fillId="2" borderId="2" xfId="0" applyFont="1" applyFill="1" applyBorder="1" applyAlignment="1" applyProtection="1">
      <alignment wrapText="1"/>
      <protection locked="0"/>
    </xf>
    <xf numFmtId="0" fontId="23" fillId="2" borderId="2" xfId="0" applyFont="1" applyFill="1" applyBorder="1" applyAlignment="1" applyProtection="1">
      <alignment horizontal="center"/>
      <protection locked="0"/>
    </xf>
    <xf numFmtId="41" fontId="24" fillId="0" borderId="0" xfId="0" applyNumberFormat="1" applyFont="1"/>
    <xf numFmtId="0" fontId="23" fillId="2" borderId="2" xfId="0" applyFont="1" applyFill="1" applyBorder="1" applyAlignment="1" applyProtection="1">
      <alignment vertical="top" wrapText="1"/>
      <protection locked="0"/>
    </xf>
    <xf numFmtId="0" fontId="20" fillId="0" borderId="0" xfId="0" applyFont="1"/>
    <xf numFmtId="0" fontId="18" fillId="0" borderId="0" xfId="0" applyFont="1"/>
    <xf numFmtId="0" fontId="18" fillId="0" borderId="0" xfId="0" applyFont="1" applyAlignment="1">
      <alignment horizontal="center"/>
    </xf>
    <xf numFmtId="0" fontId="18" fillId="0" borderId="0" xfId="0" applyFont="1" applyAlignment="1">
      <alignment horizontal="left"/>
    </xf>
    <xf numFmtId="0" fontId="23" fillId="0" borderId="0" xfId="0" applyFont="1"/>
    <xf numFmtId="0" fontId="23" fillId="2" borderId="2" xfId="0" applyFont="1" applyFill="1" applyBorder="1" applyProtection="1">
      <protection locked="0"/>
    </xf>
    <xf numFmtId="0" fontId="25" fillId="0" borderId="0" xfId="0" applyFont="1"/>
    <xf numFmtId="44" fontId="23" fillId="0" borderId="0" xfId="0" applyNumberFormat="1" applyFont="1"/>
    <xf numFmtId="3" fontId="22" fillId="0" borderId="3" xfId="1" applyNumberFormat="1" applyFont="1" applyBorder="1" applyAlignment="1" applyProtection="1">
      <alignment horizontal="center" wrapText="1"/>
    </xf>
    <xf numFmtId="0" fontId="22" fillId="0" borderId="3" xfId="0" applyFont="1" applyBorder="1" applyAlignment="1">
      <alignment horizontal="center" wrapText="1"/>
    </xf>
    <xf numFmtId="0" fontId="24" fillId="0" borderId="0" xfId="0" applyFont="1"/>
    <xf numFmtId="0" fontId="22"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right"/>
    </xf>
    <xf numFmtId="0" fontId="24" fillId="0" borderId="0" xfId="0" applyFont="1" applyAlignment="1">
      <alignment horizontal="center"/>
    </xf>
    <xf numFmtId="0" fontId="39" fillId="0" borderId="0" xfId="0" applyFont="1"/>
    <xf numFmtId="0" fontId="24" fillId="0" borderId="3" xfId="0" applyFont="1" applyBorder="1"/>
    <xf numFmtId="0" fontId="27" fillId="0" borderId="0" xfId="0" applyFont="1" applyAlignment="1">
      <alignment horizontal="left"/>
    </xf>
    <xf numFmtId="164" fontId="22" fillId="0" borderId="0" xfId="0" applyNumberFormat="1" applyFont="1" applyAlignment="1">
      <alignment horizontal="left"/>
    </xf>
    <xf numFmtId="0" fontId="22" fillId="0" borderId="0" xfId="0" applyFont="1" applyAlignment="1">
      <alignment horizontal="center"/>
    </xf>
    <xf numFmtId="0" fontId="22" fillId="0" borderId="0" xfId="0" applyFont="1"/>
    <xf numFmtId="0" fontId="32" fillId="0" borderId="0" xfId="0" applyFont="1" applyAlignment="1">
      <alignment horizontal="center"/>
    </xf>
    <xf numFmtId="0" fontId="22" fillId="0" borderId="3" xfId="0" applyFont="1" applyBorder="1"/>
    <xf numFmtId="0" fontId="28" fillId="0" borderId="0" xfId="0" applyFont="1" applyAlignment="1">
      <alignment horizontal="right"/>
    </xf>
    <xf numFmtId="41" fontId="24" fillId="2" borderId="2" xfId="0" applyNumberFormat="1" applyFont="1" applyFill="1" applyBorder="1"/>
    <xf numFmtId="41" fontId="24" fillId="2" borderId="4" xfId="0" applyNumberFormat="1" applyFont="1" applyFill="1" applyBorder="1"/>
    <xf numFmtId="0" fontId="27" fillId="0" borderId="0" xfId="0" applyFont="1"/>
    <xf numFmtId="41" fontId="24" fillId="0" borderId="5" xfId="0" applyNumberFormat="1" applyFont="1" applyBorder="1"/>
    <xf numFmtId="0" fontId="23" fillId="0" borderId="3" xfId="0" applyFont="1" applyBorder="1"/>
    <xf numFmtId="0" fontId="22" fillId="0" borderId="0" xfId="0" applyFont="1" applyAlignment="1">
      <alignment horizontal="center" wrapText="1"/>
    </xf>
    <xf numFmtId="164" fontId="22" fillId="0" borderId="0" xfId="0" quotePrefix="1" applyNumberFormat="1" applyFont="1" applyAlignment="1">
      <alignment horizontal="left"/>
    </xf>
    <xf numFmtId="41" fontId="24" fillId="0" borderId="6" xfId="0" applyNumberFormat="1" applyFont="1" applyBorder="1"/>
    <xf numFmtId="0" fontId="22" fillId="0" borderId="3" xfId="0" applyFont="1" applyBorder="1" applyAlignment="1">
      <alignment horizontal="left"/>
    </xf>
    <xf numFmtId="0" fontId="24" fillId="0" borderId="0" xfId="0" applyFont="1" applyAlignment="1">
      <alignment horizontal="left"/>
    </xf>
    <xf numFmtId="41" fontId="24" fillId="0" borderId="0" xfId="0" applyNumberFormat="1" applyFont="1" applyAlignment="1">
      <alignment horizontal="center" wrapText="1"/>
    </xf>
    <xf numFmtId="41" fontId="24" fillId="2" borderId="7" xfId="0" applyNumberFormat="1" applyFont="1" applyFill="1" applyBorder="1"/>
    <xf numFmtId="0" fontId="24" fillId="0" borderId="0" xfId="0" applyFont="1" applyAlignment="1">
      <alignment wrapText="1"/>
    </xf>
    <xf numFmtId="0" fontId="24" fillId="0" borderId="0" xfId="0" applyFont="1" applyAlignment="1">
      <alignment horizontal="center" wrapText="1"/>
    </xf>
    <xf numFmtId="164" fontId="22" fillId="0" borderId="3" xfId="0" quotePrefix="1" applyNumberFormat="1" applyFont="1" applyBorder="1" applyAlignment="1">
      <alignment horizontal="left"/>
    </xf>
    <xf numFmtId="0" fontId="22" fillId="0" borderId="0" xfId="0" applyFont="1" applyAlignment="1">
      <alignment wrapText="1"/>
    </xf>
    <xf numFmtId="41" fontId="22" fillId="0" borderId="0" xfId="0" applyNumberFormat="1" applyFont="1" applyAlignment="1">
      <alignment horizontal="center"/>
    </xf>
    <xf numFmtId="0" fontId="29" fillId="0" borderId="0" xfId="0" applyFont="1" applyAlignment="1">
      <alignment horizontal="left"/>
    </xf>
    <xf numFmtId="41" fontId="18" fillId="0" borderId="5" xfId="1" applyNumberFormat="1" applyFont="1" applyBorder="1" applyAlignment="1" applyProtection="1">
      <alignment horizontal="right"/>
    </xf>
    <xf numFmtId="41" fontId="18" fillId="0" borderId="0" xfId="1" applyNumberFormat="1" applyFont="1" applyAlignment="1" applyProtection="1">
      <alignment horizontal="right"/>
    </xf>
    <xf numFmtId="165" fontId="18" fillId="0" borderId="0" xfId="1" applyNumberFormat="1" applyFont="1" applyProtection="1"/>
    <xf numFmtId="165" fontId="20" fillId="0" borderId="0" xfId="1" applyNumberFormat="1" applyFont="1" applyBorder="1" applyAlignment="1" applyProtection="1">
      <alignment horizontal="centerContinuous"/>
    </xf>
    <xf numFmtId="165" fontId="18" fillId="0" borderId="0" xfId="1" applyNumberFormat="1" applyFont="1" applyBorder="1" applyProtection="1"/>
    <xf numFmtId="165" fontId="20" fillId="0" borderId="0" xfId="1" applyNumberFormat="1" applyFont="1" applyAlignment="1" applyProtection="1">
      <alignment horizontal="centerContinuous" vertical="center"/>
    </xf>
    <xf numFmtId="165" fontId="18" fillId="0" borderId="0" xfId="1" applyNumberFormat="1" applyFont="1" applyAlignment="1" applyProtection="1">
      <alignment vertical="center"/>
    </xf>
    <xf numFmtId="165" fontId="18" fillId="0" borderId="0" xfId="1" applyNumberFormat="1" applyFont="1" applyAlignment="1" applyProtection="1">
      <alignment horizontal="centerContinuous" vertical="center"/>
    </xf>
    <xf numFmtId="165" fontId="18" fillId="0" borderId="0" xfId="1" applyNumberFormat="1" applyFont="1" applyBorder="1" applyAlignment="1" applyProtection="1">
      <alignment horizontal="centerContinuous" vertical="center"/>
    </xf>
    <xf numFmtId="165" fontId="18" fillId="0" borderId="3" xfId="1" applyNumberFormat="1" applyFont="1" applyBorder="1" applyAlignment="1" applyProtection="1">
      <alignment horizontal="centerContinuous" vertical="center"/>
    </xf>
    <xf numFmtId="41" fontId="18" fillId="0" borderId="0" xfId="14" applyNumberFormat="1" applyFont="1" applyAlignment="1">
      <alignment horizontal="right"/>
    </xf>
    <xf numFmtId="165" fontId="18" fillId="2" borderId="2" xfId="1" applyNumberFormat="1" applyFont="1" applyFill="1" applyBorder="1" applyAlignment="1" applyProtection="1">
      <alignment horizontal="right"/>
    </xf>
    <xf numFmtId="41" fontId="18" fillId="0" borderId="3" xfId="1" applyNumberFormat="1" applyFont="1" applyBorder="1" applyAlignment="1" applyProtection="1">
      <alignment horizontal="right"/>
    </xf>
    <xf numFmtId="165" fontId="18" fillId="0" borderId="3" xfId="1" applyNumberFormat="1" applyFont="1" applyBorder="1" applyProtection="1"/>
    <xf numFmtId="165" fontId="18" fillId="0" borderId="0" xfId="1" applyNumberFormat="1" applyFont="1" applyFill="1" applyProtection="1"/>
    <xf numFmtId="165" fontId="18" fillId="0" borderId="10" xfId="1" applyNumberFormat="1" applyFont="1" applyBorder="1" applyProtection="1"/>
    <xf numFmtId="165" fontId="18" fillId="0" borderId="0" xfId="1" quotePrefix="1" applyNumberFormat="1" applyFont="1" applyBorder="1" applyAlignment="1" applyProtection="1">
      <alignment horizontal="right"/>
    </xf>
    <xf numFmtId="165" fontId="18" fillId="0" borderId="12" xfId="1" applyNumberFormat="1" applyFont="1" applyBorder="1" applyProtection="1"/>
    <xf numFmtId="0" fontId="25" fillId="0" borderId="0" xfId="0" applyFont="1" applyAlignment="1">
      <alignment horizontal="left" vertical="top" wrapText="1"/>
    </xf>
    <xf numFmtId="0" fontId="23" fillId="0" borderId="0" xfId="0" applyFont="1" applyAlignment="1">
      <alignment horizontal="left" vertical="top" wrapText="1"/>
    </xf>
    <xf numFmtId="165" fontId="18" fillId="0" borderId="0" xfId="1" applyNumberFormat="1" applyFont="1" applyFill="1" applyBorder="1" applyProtection="1"/>
    <xf numFmtId="165" fontId="20" fillId="0" borderId="0" xfId="1" applyNumberFormat="1" applyFont="1" applyFill="1" applyAlignment="1" applyProtection="1">
      <alignment horizontal="centerContinuous" vertical="center"/>
    </xf>
    <xf numFmtId="0" fontId="23" fillId="0" borderId="0" xfId="0" applyFont="1" applyAlignment="1">
      <alignment horizontal="center" wrapText="1"/>
    </xf>
    <xf numFmtId="165" fontId="23" fillId="0" borderId="2" xfId="1" applyNumberFormat="1" applyFont="1" applyFill="1" applyBorder="1" applyProtection="1"/>
    <xf numFmtId="0" fontId="23" fillId="0" borderId="2" xfId="0" applyFont="1" applyBorder="1" applyAlignment="1">
      <alignment horizontal="center"/>
    </xf>
    <xf numFmtId="41" fontId="23" fillId="0" borderId="0" xfId="0" applyNumberFormat="1" applyFont="1"/>
    <xf numFmtId="0" fontId="23" fillId="0" borderId="0" xfId="0" applyFont="1" applyAlignment="1">
      <alignment wrapText="1"/>
    </xf>
    <xf numFmtId="0" fontId="25" fillId="0" borderId="0" xfId="0" applyFont="1" applyAlignment="1">
      <alignment horizontal="center" wrapText="1"/>
    </xf>
    <xf numFmtId="43" fontId="23" fillId="0" borderId="0" xfId="1" applyFont="1" applyFill="1" applyBorder="1" applyAlignment="1" applyProtection="1">
      <alignment wrapText="1"/>
    </xf>
    <xf numFmtId="41" fontId="24" fillId="0" borderId="0" xfId="0" applyNumberFormat="1" applyFont="1" applyAlignment="1">
      <alignment horizontal="center"/>
    </xf>
    <xf numFmtId="41" fontId="23" fillId="0" borderId="2" xfId="1" applyNumberFormat="1" applyFont="1" applyFill="1" applyBorder="1" applyProtection="1"/>
    <xf numFmtId="41" fontId="23" fillId="0" borderId="6" xfId="1" applyNumberFormat="1" applyFont="1" applyBorder="1" applyProtection="1"/>
    <xf numFmtId="41" fontId="23" fillId="0" borderId="2" xfId="1" applyNumberFormat="1" applyFont="1" applyBorder="1" applyProtection="1"/>
    <xf numFmtId="41" fontId="23" fillId="0" borderId="8" xfId="1" applyNumberFormat="1" applyFont="1" applyBorder="1" applyProtection="1"/>
    <xf numFmtId="0" fontId="18" fillId="2" borderId="2" xfId="15" applyFont="1" applyFill="1" applyBorder="1" applyAlignment="1" applyProtection="1">
      <alignment vertical="top" wrapText="1"/>
      <protection locked="0"/>
    </xf>
    <xf numFmtId="0" fontId="0" fillId="0" borderId="0" xfId="0" applyAlignment="1">
      <alignment wrapText="1"/>
    </xf>
    <xf numFmtId="0" fontId="25" fillId="0" borderId="0" xfId="0" applyFont="1" applyAlignment="1">
      <alignment horizontal="left" wrapText="1"/>
    </xf>
    <xf numFmtId="0" fontId="25" fillId="0" borderId="0" xfId="0" applyFont="1" applyAlignment="1">
      <alignment horizontal="left"/>
    </xf>
    <xf numFmtId="0" fontId="13" fillId="0" borderId="0" xfId="0" applyFont="1"/>
    <xf numFmtId="41" fontId="24" fillId="0" borderId="2" xfId="0" applyNumberFormat="1" applyFont="1" applyBorder="1"/>
    <xf numFmtId="41" fontId="18" fillId="0" borderId="2" xfId="1" applyNumberFormat="1" applyFont="1" applyFill="1" applyBorder="1" applyAlignment="1" applyProtection="1">
      <alignment horizontal="right"/>
    </xf>
    <xf numFmtId="41" fontId="18" fillId="0" borderId="0" xfId="1" applyNumberFormat="1" applyFont="1" applyFill="1" applyBorder="1" applyAlignment="1" applyProtection="1">
      <alignment horizontal="right"/>
    </xf>
    <xf numFmtId="165" fontId="23" fillId="0" borderId="0" xfId="1" applyNumberFormat="1" applyFont="1" applyFill="1" applyBorder="1" applyAlignment="1" applyProtection="1">
      <alignment wrapText="1"/>
    </xf>
    <xf numFmtId="0" fontId="23" fillId="0" borderId="0" xfId="0" applyFont="1" applyAlignment="1">
      <alignment horizontal="left"/>
    </xf>
    <xf numFmtId="0" fontId="23" fillId="0" borderId="0" xfId="0" applyFont="1" applyAlignment="1">
      <alignment vertical="top"/>
    </xf>
    <xf numFmtId="0" fontId="23" fillId="0" borderId="0" xfId="0" applyFont="1" applyAlignment="1">
      <alignment horizontal="right"/>
    </xf>
    <xf numFmtId="0" fontId="25" fillId="4" borderId="2" xfId="0" applyFont="1" applyFill="1" applyBorder="1" applyAlignment="1">
      <alignment horizontal="center"/>
    </xf>
    <xf numFmtId="0" fontId="51" fillId="0" borderId="0" xfId="0" applyFont="1"/>
    <xf numFmtId="37" fontId="23" fillId="0" borderId="0" xfId="0" applyNumberFormat="1" applyFont="1"/>
    <xf numFmtId="0" fontId="42" fillId="0" borderId="0" xfId="0" applyFont="1" applyAlignment="1">
      <alignment horizontal="left"/>
    </xf>
    <xf numFmtId="37" fontId="25" fillId="0" borderId="0" xfId="0" applyNumberFormat="1" applyFont="1" applyAlignment="1">
      <alignment horizontal="center" wrapText="1"/>
    </xf>
    <xf numFmtId="0" fontId="25" fillId="0" borderId="3" xfId="0" applyFont="1" applyBorder="1" applyAlignment="1">
      <alignment horizontal="center" wrapText="1"/>
    </xf>
    <xf numFmtId="0" fontId="25" fillId="0" borderId="0" xfId="30" applyNumberFormat="1" applyFont="1"/>
    <xf numFmtId="41" fontId="23" fillId="2" borderId="2" xfId="1" applyNumberFormat="1" applyFont="1" applyFill="1" applyBorder="1" applyProtection="1">
      <protection locked="0"/>
    </xf>
    <xf numFmtId="41" fontId="23" fillId="0" borderId="0" xfId="1" applyNumberFormat="1" applyFont="1" applyFill="1" applyBorder="1" applyProtection="1"/>
    <xf numFmtId="165" fontId="23" fillId="0" borderId="0" xfId="1" applyNumberFormat="1" applyFont="1" applyAlignment="1" applyProtection="1">
      <alignment horizontal="center"/>
    </xf>
    <xf numFmtId="49" fontId="25" fillId="0" borderId="0" xfId="30" applyFont="1"/>
    <xf numFmtId="0" fontId="23" fillId="0" borderId="6" xfId="0" applyFont="1" applyBorder="1"/>
    <xf numFmtId="41" fontId="23" fillId="0" borderId="0" xfId="0" applyNumberFormat="1" applyFont="1" applyAlignment="1">
      <alignment horizontal="right"/>
    </xf>
    <xf numFmtId="0" fontId="18" fillId="0" borderId="0" xfId="14" applyFont="1" applyAlignment="1">
      <alignment horizontal="right"/>
    </xf>
    <xf numFmtId="41" fontId="23" fillId="0" borderId="2" xfId="1" applyNumberFormat="1" applyFont="1" applyFill="1" applyBorder="1" applyAlignment="1" applyProtection="1">
      <alignment horizontal="right"/>
    </xf>
    <xf numFmtId="41" fontId="18" fillId="0" borderId="5" xfId="1" applyNumberFormat="1" applyFont="1" applyFill="1" applyBorder="1" applyAlignment="1" applyProtection="1">
      <alignment horizontal="right"/>
    </xf>
    <xf numFmtId="41" fontId="18" fillId="0" borderId="0" xfId="1" applyNumberFormat="1" applyFont="1" applyBorder="1" applyAlignment="1" applyProtection="1">
      <alignment horizontal="right"/>
    </xf>
    <xf numFmtId="41" fontId="21" fillId="0" borderId="0" xfId="1" applyNumberFormat="1" applyFont="1" applyBorder="1" applyAlignment="1" applyProtection="1">
      <alignment horizontal="right"/>
    </xf>
    <xf numFmtId="41" fontId="18" fillId="0" borderId="0" xfId="1" applyNumberFormat="1" applyFont="1" applyProtection="1"/>
    <xf numFmtId="41" fontId="21" fillId="0" borderId="0" xfId="1" applyNumberFormat="1" applyFont="1" applyAlignment="1" applyProtection="1">
      <alignment horizontal="right"/>
    </xf>
    <xf numFmtId="41" fontId="18" fillId="0" borderId="8" xfId="1" applyNumberFormat="1" applyFont="1" applyBorder="1" applyAlignment="1" applyProtection="1">
      <alignment horizontal="right"/>
    </xf>
    <xf numFmtId="41" fontId="18" fillId="0" borderId="0" xfId="1" applyNumberFormat="1" applyFont="1" applyFill="1" applyAlignment="1" applyProtection="1">
      <alignment horizontal="right"/>
    </xf>
    <xf numFmtId="41" fontId="18" fillId="0" borderId="3" xfId="1" applyNumberFormat="1" applyFont="1" applyFill="1" applyBorder="1" applyAlignment="1" applyProtection="1">
      <alignment horizontal="right"/>
    </xf>
    <xf numFmtId="41" fontId="18" fillId="0" borderId="0" xfId="1" applyNumberFormat="1" applyFont="1" applyFill="1" applyProtection="1"/>
    <xf numFmtId="41" fontId="18" fillId="0" borderId="0" xfId="1" applyNumberFormat="1" applyFont="1" applyBorder="1" applyProtection="1"/>
    <xf numFmtId="41" fontId="18" fillId="0" borderId="8" xfId="1" applyNumberFormat="1" applyFont="1" applyFill="1" applyBorder="1" applyAlignment="1" applyProtection="1">
      <alignment horizontal="right"/>
    </xf>
    <xf numFmtId="165" fontId="18" fillId="0" borderId="0" xfId="1" applyNumberFormat="1" applyFont="1" applyAlignment="1" applyProtection="1">
      <alignment horizontal="right"/>
    </xf>
    <xf numFmtId="165" fontId="18" fillId="0" borderId="0" xfId="1" applyNumberFormat="1" applyFont="1" applyFill="1" applyAlignment="1" applyProtection="1">
      <alignment horizontal="right"/>
    </xf>
    <xf numFmtId="165" fontId="18" fillId="0" borderId="0" xfId="1" applyNumberFormat="1" applyFont="1" applyAlignment="1" applyProtection="1">
      <alignment horizontal="center" wrapText="1"/>
    </xf>
    <xf numFmtId="165" fontId="18" fillId="0" borderId="0" xfId="1" applyNumberFormat="1" applyFont="1" applyFill="1" applyBorder="1" applyAlignment="1" applyProtection="1">
      <alignment horizontal="center"/>
    </xf>
    <xf numFmtId="0" fontId="18" fillId="2" borderId="2" xfId="0" applyFont="1" applyFill="1" applyBorder="1" applyAlignment="1" applyProtection="1">
      <alignment horizontal="right" wrapText="1"/>
      <protection locked="0"/>
    </xf>
    <xf numFmtId="166" fontId="18" fillId="0" borderId="0" xfId="1" quotePrefix="1" applyNumberFormat="1" applyFont="1" applyBorder="1" applyAlignment="1" applyProtection="1">
      <alignment horizontal="center" vertical="center"/>
    </xf>
    <xf numFmtId="3" fontId="18" fillId="0" borderId="0" xfId="1" applyNumberFormat="1" applyFont="1" applyFill="1" applyBorder="1" applyProtection="1"/>
    <xf numFmtId="41" fontId="23" fillId="0" borderId="6" xfId="1" applyNumberFormat="1" applyFont="1" applyBorder="1" applyAlignment="1" applyProtection="1">
      <alignment horizontal="right"/>
    </xf>
    <xf numFmtId="41" fontId="23" fillId="0" borderId="2" xfId="0" applyNumberFormat="1" applyFont="1" applyBorder="1"/>
    <xf numFmtId="0" fontId="23" fillId="2" borderId="2" xfId="0" applyFont="1" applyFill="1" applyBorder="1" applyAlignment="1" applyProtection="1">
      <alignment horizontal="left" wrapText="1"/>
      <protection locked="0"/>
    </xf>
    <xf numFmtId="165" fontId="20" fillId="0" borderId="0" xfId="1" applyNumberFormat="1" applyFont="1" applyAlignment="1" applyProtection="1">
      <alignment horizontal="right"/>
    </xf>
    <xf numFmtId="41" fontId="22" fillId="0" borderId="3" xfId="0" applyNumberFormat="1" applyFont="1" applyBorder="1" applyAlignment="1">
      <alignment horizontal="center" wrapText="1"/>
    </xf>
    <xf numFmtId="0" fontId="24" fillId="0" borderId="2" xfId="0" applyFont="1" applyBorder="1" applyAlignment="1">
      <alignment wrapText="1"/>
    </xf>
    <xf numFmtId="0" fontId="0" fillId="0" borderId="14" xfId="0" applyBorder="1"/>
    <xf numFmtId="0" fontId="24" fillId="0" borderId="14" xfId="0" applyFont="1" applyBorder="1"/>
    <xf numFmtId="0" fontId="0" fillId="0" borderId="0" xfId="0" applyAlignment="1">
      <alignment horizontal="center" wrapText="1"/>
    </xf>
    <xf numFmtId="165" fontId="24" fillId="2" borderId="2" xfId="1" applyNumberFormat="1" applyFont="1" applyFill="1" applyBorder="1" applyProtection="1"/>
    <xf numFmtId="41" fontId="23" fillId="0" borderId="6" xfId="1" applyNumberFormat="1" applyFont="1" applyFill="1" applyBorder="1" applyAlignment="1" applyProtection="1">
      <alignment horizontal="right"/>
    </xf>
    <xf numFmtId="0" fontId="37" fillId="0" borderId="0" xfId="0" applyFont="1"/>
    <xf numFmtId="41" fontId="23" fillId="0" borderId="0" xfId="1" applyNumberFormat="1" applyFont="1" applyBorder="1" applyProtection="1"/>
    <xf numFmtId="0" fontId="0" fillId="0" borderId="2" xfId="0" applyBorder="1" applyAlignment="1">
      <alignment horizontal="center" wrapText="1"/>
    </xf>
    <xf numFmtId="0" fontId="24" fillId="0" borderId="2" xfId="0" applyFont="1" applyBorder="1" applyAlignment="1">
      <alignment horizontal="center" wrapText="1"/>
    </xf>
    <xf numFmtId="0" fontId="24" fillId="0" borderId="2" xfId="0" applyFont="1" applyBorder="1"/>
    <xf numFmtId="41" fontId="23" fillId="2" borderId="2" xfId="1" applyNumberFormat="1" applyFont="1" applyFill="1" applyBorder="1" applyAlignment="1" applyProtection="1">
      <alignment horizontal="right"/>
      <protection locked="0"/>
    </xf>
    <xf numFmtId="0" fontId="23" fillId="0" borderId="2" xfId="0" applyFont="1" applyBorder="1"/>
    <xf numFmtId="0" fontId="23" fillId="0" borderId="2" xfId="0" applyFont="1" applyBorder="1" applyAlignment="1">
      <alignment horizontal="center" wrapText="1"/>
    </xf>
    <xf numFmtId="0" fontId="23" fillId="0" borderId="0" xfId="9" applyFont="1"/>
    <xf numFmtId="41" fontId="23" fillId="0" borderId="5" xfId="1" applyNumberFormat="1" applyFont="1" applyFill="1" applyBorder="1" applyAlignment="1" applyProtection="1">
      <alignment horizontal="right"/>
    </xf>
    <xf numFmtId="41" fontId="23" fillId="2" borderId="7" xfId="1" applyNumberFormat="1" applyFont="1" applyFill="1" applyBorder="1" applyAlignment="1" applyProtection="1">
      <alignment horizontal="right"/>
      <protection locked="0"/>
    </xf>
    <xf numFmtId="165" fontId="24" fillId="0" borderId="0" xfId="1" applyNumberFormat="1" applyFont="1" applyFill="1" applyBorder="1" applyAlignment="1" applyProtection="1">
      <alignment horizontal="center" wrapText="1"/>
    </xf>
    <xf numFmtId="41" fontId="23" fillId="0" borderId="5" xfId="1" applyNumberFormat="1" applyFont="1" applyBorder="1" applyAlignment="1" applyProtection="1">
      <alignment horizontal="right"/>
    </xf>
    <xf numFmtId="0" fontId="23" fillId="2" borderId="2" xfId="15" applyFont="1" applyFill="1" applyBorder="1" applyProtection="1">
      <protection locked="0"/>
    </xf>
    <xf numFmtId="41" fontId="23" fillId="2" borderId="2" xfId="15" applyNumberFormat="1" applyFont="1" applyFill="1" applyBorder="1" applyProtection="1">
      <protection locked="0"/>
    </xf>
    <xf numFmtId="165" fontId="24" fillId="0" borderId="0" xfId="1" applyNumberFormat="1" applyFont="1" applyAlignment="1" applyProtection="1">
      <alignment horizontal="centerContinuous" vertical="center"/>
    </xf>
    <xf numFmtId="0" fontId="24" fillId="2" borderId="2" xfId="15" applyFont="1" applyFill="1" applyBorder="1" applyAlignment="1" applyProtection="1">
      <alignment vertical="top" wrapText="1"/>
      <protection locked="0"/>
    </xf>
    <xf numFmtId="0" fontId="24" fillId="2" borderId="2" xfId="15" applyFont="1" applyFill="1" applyBorder="1" applyProtection="1">
      <protection locked="0"/>
    </xf>
    <xf numFmtId="0" fontId="23" fillId="2" borderId="2" xfId="0" applyFont="1" applyFill="1" applyBorder="1" applyAlignment="1" applyProtection="1">
      <alignment horizontal="left" vertical="center" wrapText="1"/>
      <protection locked="0"/>
    </xf>
    <xf numFmtId="41" fontId="23" fillId="2" borderId="2" xfId="0" applyNumberFormat="1" applyFont="1" applyFill="1" applyBorder="1" applyProtection="1">
      <protection locked="0"/>
    </xf>
    <xf numFmtId="41" fontId="23" fillId="2" borderId="4" xfId="0" applyNumberFormat="1" applyFont="1" applyFill="1" applyBorder="1" applyProtection="1">
      <protection locked="0"/>
    </xf>
    <xf numFmtId="0" fontId="45" fillId="0" borderId="0" xfId="0" applyFont="1"/>
    <xf numFmtId="41" fontId="50" fillId="0" borderId="2" xfId="1" applyNumberFormat="1" applyFont="1" applyBorder="1" applyAlignment="1" applyProtection="1">
      <alignment wrapText="1"/>
    </xf>
    <xf numFmtId="41" fontId="0" fillId="0" borderId="2" xfId="0" applyNumberFormat="1" applyBorder="1"/>
    <xf numFmtId="41" fontId="38" fillId="0" borderId="2" xfId="0" applyNumberFormat="1" applyFont="1" applyBorder="1"/>
    <xf numFmtId="41" fontId="62" fillId="0" borderId="0" xfId="0" applyNumberFormat="1" applyFont="1"/>
    <xf numFmtId="41" fontId="64" fillId="0" borderId="0" xfId="1" applyNumberFormat="1" applyFont="1" applyBorder="1" applyAlignment="1" applyProtection="1">
      <alignment horizontal="right"/>
    </xf>
    <xf numFmtId="0" fontId="62" fillId="0" borderId="0" xfId="0" applyFont="1" applyAlignment="1">
      <alignment horizontal="right"/>
    </xf>
    <xf numFmtId="165" fontId="0" fillId="0" borderId="0" xfId="1" applyNumberFormat="1" applyFont="1" applyFill="1" applyBorder="1" applyAlignment="1" applyProtection="1">
      <alignment horizontal="center" wrapText="1"/>
    </xf>
    <xf numFmtId="43" fontId="24" fillId="0" borderId="0" xfId="1" applyFont="1" applyFill="1" applyBorder="1" applyAlignment="1" applyProtection="1">
      <alignment horizontal="center" wrapText="1"/>
    </xf>
    <xf numFmtId="0" fontId="0" fillId="0" borderId="0" xfId="0" applyAlignment="1">
      <alignment horizontal="center"/>
    </xf>
    <xf numFmtId="0" fontId="0" fillId="0" borderId="2" xfId="0" applyBorder="1" applyAlignment="1">
      <alignment horizontal="center"/>
    </xf>
    <xf numFmtId="0" fontId="24" fillId="0" borderId="2" xfId="0" applyFont="1" applyBorder="1" applyAlignment="1">
      <alignment horizontal="center"/>
    </xf>
    <xf numFmtId="165" fontId="23" fillId="0" borderId="0" xfId="1" applyNumberFormat="1" applyFont="1" applyFill="1" applyBorder="1" applyAlignment="1" applyProtection="1">
      <alignment horizontal="right"/>
    </xf>
    <xf numFmtId="41" fontId="18" fillId="2" borderId="2" xfId="1" applyNumberFormat="1" applyFont="1" applyFill="1" applyBorder="1" applyProtection="1">
      <protection locked="0"/>
    </xf>
    <xf numFmtId="41" fontId="18" fillId="2" borderId="2" xfId="14" applyNumberFormat="1" applyFont="1" applyFill="1" applyBorder="1" applyProtection="1">
      <protection locked="0"/>
    </xf>
    <xf numFmtId="41" fontId="50" fillId="2" borderId="7" xfId="0" applyNumberFormat="1" applyFont="1" applyFill="1" applyBorder="1" applyProtection="1">
      <protection locked="0"/>
    </xf>
    <xf numFmtId="165" fontId="18" fillId="0" borderId="0" xfId="1" applyNumberFormat="1" applyFont="1" applyBorder="1" applyAlignment="1" applyProtection="1">
      <alignment horizontal="right"/>
    </xf>
    <xf numFmtId="165" fontId="24" fillId="0" borderId="0" xfId="1" applyNumberFormat="1" applyFont="1" applyFill="1" applyProtection="1"/>
    <xf numFmtId="0" fontId="66" fillId="0" borderId="0" xfId="0" applyFont="1"/>
    <xf numFmtId="41" fontId="23" fillId="2" borderId="2" xfId="1" applyNumberFormat="1" applyFont="1" applyFill="1" applyBorder="1" applyProtection="1"/>
    <xf numFmtId="41" fontId="18" fillId="0" borderId="0" xfId="1" applyNumberFormat="1" applyFont="1" applyFill="1" applyBorder="1" applyProtection="1"/>
    <xf numFmtId="38" fontId="42" fillId="2" borderId="2" xfId="15" applyNumberFormat="1" applyFont="1" applyFill="1" applyBorder="1" applyAlignment="1" applyProtection="1">
      <alignment horizontal="left"/>
      <protection locked="0"/>
    </xf>
    <xf numFmtId="183" fontId="42" fillId="2" borderId="2" xfId="15" applyNumberFormat="1" applyFont="1" applyFill="1" applyBorder="1" applyAlignment="1" applyProtection="1">
      <alignment horizontal="left"/>
      <protection locked="0"/>
    </xf>
    <xf numFmtId="38" fontId="73" fillId="2" borderId="2" xfId="15" applyNumberFormat="1" applyFont="1" applyFill="1" applyBorder="1" applyAlignment="1" applyProtection="1">
      <alignment horizontal="left"/>
      <protection locked="0"/>
    </xf>
    <xf numFmtId="0" fontId="66" fillId="2" borderId="2" xfId="0" applyFont="1" applyFill="1" applyBorder="1" applyAlignment="1" applyProtection="1">
      <alignment vertical="top" wrapText="1"/>
      <protection locked="0"/>
    </xf>
    <xf numFmtId="41" fontId="66" fillId="2" borderId="2" xfId="0" applyNumberFormat="1" applyFont="1" applyFill="1" applyBorder="1" applyAlignment="1" applyProtection="1">
      <alignment horizontal="right" wrapText="1"/>
      <protection locked="0"/>
    </xf>
    <xf numFmtId="0" fontId="66" fillId="2" borderId="2" xfId="0" applyFont="1" applyFill="1" applyBorder="1" applyAlignment="1" applyProtection="1">
      <alignment horizontal="left" vertical="top" wrapText="1"/>
      <protection locked="0"/>
    </xf>
    <xf numFmtId="41" fontId="66" fillId="0" borderId="6" xfId="1" applyNumberFormat="1" applyFont="1" applyFill="1" applyBorder="1" applyAlignment="1" applyProtection="1">
      <alignment horizontal="right"/>
    </xf>
    <xf numFmtId="41" fontId="66" fillId="0" borderId="0" xfId="1" applyNumberFormat="1" applyFont="1" applyFill="1" applyBorder="1" applyAlignment="1" applyProtection="1">
      <alignment horizontal="right"/>
    </xf>
    <xf numFmtId="0" fontId="25" fillId="0" borderId="0" xfId="0" applyFont="1" applyAlignment="1">
      <alignment horizontal="left" vertical="top"/>
    </xf>
    <xf numFmtId="41" fontId="23" fillId="0" borderId="0" xfId="1" applyNumberFormat="1" applyFont="1" applyFill="1" applyBorder="1" applyAlignment="1" applyProtection="1">
      <alignment horizontal="right"/>
    </xf>
    <xf numFmtId="169" fontId="42" fillId="2" borderId="2" xfId="15" applyNumberFormat="1" applyFont="1" applyFill="1" applyBorder="1" applyAlignment="1" applyProtection="1">
      <alignment horizontal="left"/>
      <protection locked="0"/>
    </xf>
    <xf numFmtId="169" fontId="23" fillId="2" borderId="2" xfId="0" applyNumberFormat="1" applyFont="1" applyFill="1" applyBorder="1" applyProtection="1">
      <protection locked="0"/>
    </xf>
    <xf numFmtId="169" fontId="23" fillId="2" borderId="2" xfId="0" applyNumberFormat="1" applyFont="1" applyFill="1" applyBorder="1" applyAlignment="1" applyProtection="1">
      <alignment horizontal="center"/>
      <protection locked="0"/>
    </xf>
    <xf numFmtId="181" fontId="23" fillId="2" borderId="2" xfId="15" applyNumberFormat="1" applyFont="1" applyFill="1" applyBorder="1" applyProtection="1">
      <protection locked="0"/>
    </xf>
    <xf numFmtId="42" fontId="62" fillId="0" borderId="0" xfId="1" applyNumberFormat="1" applyFont="1" applyFill="1" applyBorder="1" applyAlignment="1" applyProtection="1">
      <alignment horizontal="right"/>
    </xf>
    <xf numFmtId="0" fontId="23" fillId="0" borderId="3" xfId="0" applyFont="1" applyBorder="1" applyAlignment="1">
      <alignment horizontal="center" wrapText="1"/>
    </xf>
    <xf numFmtId="37" fontId="25" fillId="0" borderId="3" xfId="0" applyNumberFormat="1" applyFont="1" applyBorder="1" applyAlignment="1">
      <alignment horizontal="center" wrapText="1"/>
    </xf>
    <xf numFmtId="41" fontId="23" fillId="0" borderId="6" xfId="0" applyNumberFormat="1" applyFont="1" applyBorder="1" applyAlignment="1">
      <alignment horizontal="right"/>
    </xf>
    <xf numFmtId="41" fontId="23" fillId="0" borderId="16" xfId="0" applyNumberFormat="1" applyFont="1" applyBorder="1" applyAlignment="1">
      <alignment horizontal="right"/>
    </xf>
    <xf numFmtId="0" fontId="23" fillId="0" borderId="3" xfId="0" applyFont="1" applyBorder="1" applyAlignment="1">
      <alignment horizontal="left"/>
    </xf>
    <xf numFmtId="10" fontId="24" fillId="0" borderId="0" xfId="29" applyNumberFormat="1" applyFont="1" applyAlignment="1" applyProtection="1">
      <alignment horizontal="right"/>
    </xf>
    <xf numFmtId="10" fontId="24" fillId="0" borderId="5" xfId="29" applyNumberFormat="1" applyFont="1" applyBorder="1" applyAlignment="1" applyProtection="1">
      <alignment horizontal="right"/>
    </xf>
    <xf numFmtId="10" fontId="24" fillId="0" borderId="0" xfId="29" applyNumberFormat="1" applyFont="1" applyBorder="1" applyAlignment="1" applyProtection="1">
      <alignment horizontal="right"/>
    </xf>
    <xf numFmtId="41" fontId="24" fillId="2" borderId="2" xfId="1" applyNumberFormat="1" applyFont="1" applyFill="1" applyBorder="1" applyAlignment="1" applyProtection="1">
      <alignment horizontal="right"/>
      <protection locked="0"/>
    </xf>
    <xf numFmtId="0" fontId="25" fillId="0" borderId="0" xfId="0" applyFont="1" applyAlignment="1">
      <alignment horizontal="center"/>
    </xf>
    <xf numFmtId="0" fontId="25" fillId="0" borderId="2" xfId="0" applyFont="1" applyBorder="1" applyAlignment="1">
      <alignment horizontal="center"/>
    </xf>
    <xf numFmtId="0" fontId="23" fillId="0" borderId="0" xfId="0" applyFont="1" applyAlignment="1">
      <alignment horizontal="center"/>
    </xf>
    <xf numFmtId="165" fontId="24" fillId="0" borderId="0" xfId="1" applyNumberFormat="1" applyFont="1" applyFill="1" applyBorder="1" applyProtection="1"/>
    <xf numFmtId="165" fontId="23" fillId="0" borderId="0" xfId="1" applyNumberFormat="1" applyFont="1" applyFill="1" applyBorder="1" applyAlignment="1" applyProtection="1">
      <alignment horizontal="center"/>
    </xf>
    <xf numFmtId="49" fontId="18" fillId="2" borderId="2" xfId="1" applyNumberFormat="1" applyFont="1" applyFill="1" applyBorder="1" applyAlignment="1" applyProtection="1">
      <alignment horizontal="right" wrapText="1"/>
      <protection locked="0"/>
    </xf>
    <xf numFmtId="0" fontId="25" fillId="0" borderId="3" xfId="0" applyFont="1" applyBorder="1"/>
    <xf numFmtId="0" fontId="45" fillId="0" borderId="2" xfId="0" applyFont="1" applyBorder="1"/>
    <xf numFmtId="165" fontId="23" fillId="2" borderId="2" xfId="1" applyNumberFormat="1" applyFont="1" applyFill="1" applyBorder="1" applyAlignment="1" applyProtection="1">
      <alignment horizontal="center" wrapText="1"/>
    </xf>
    <xf numFmtId="43" fontId="23" fillId="2" borderId="2" xfId="1" applyFont="1" applyFill="1" applyBorder="1" applyAlignment="1" applyProtection="1">
      <alignment horizontal="center" wrapText="1"/>
    </xf>
    <xf numFmtId="41" fontId="23" fillId="2" borderId="2" xfId="0" applyNumberFormat="1" applyFont="1" applyFill="1" applyBorder="1" applyAlignment="1">
      <alignment horizontal="center" wrapText="1"/>
    </xf>
    <xf numFmtId="165" fontId="13" fillId="2" borderId="2" xfId="1" applyNumberFormat="1" applyFont="1" applyFill="1" applyBorder="1" applyAlignment="1" applyProtection="1">
      <alignment horizontal="center" wrapText="1"/>
    </xf>
    <xf numFmtId="41" fontId="13" fillId="0" borderId="2" xfId="0" applyNumberFormat="1" applyFont="1" applyBorder="1"/>
    <xf numFmtId="41" fontId="45" fillId="0" borderId="2" xfId="0" applyNumberFormat="1" applyFont="1" applyBorder="1"/>
    <xf numFmtId="0" fontId="80" fillId="0" borderId="0" xfId="0" applyFont="1"/>
    <xf numFmtId="41" fontId="24" fillId="2" borderId="2" xfId="1" applyNumberFormat="1" applyFont="1" applyFill="1" applyBorder="1" applyAlignment="1" applyProtection="1">
      <alignment horizontal="right"/>
    </xf>
    <xf numFmtId="41" fontId="24" fillId="0" borderId="0" xfId="1" applyNumberFormat="1" applyFont="1" applyFill="1" applyBorder="1" applyAlignment="1" applyProtection="1">
      <alignment horizontal="right"/>
    </xf>
    <xf numFmtId="41" fontId="24" fillId="0" borderId="3" xfId="1" applyNumberFormat="1" applyFont="1" applyFill="1" applyBorder="1" applyAlignment="1" applyProtection="1">
      <alignment horizontal="right"/>
    </xf>
    <xf numFmtId="41" fontId="24" fillId="0" borderId="5" xfId="1" applyNumberFormat="1" applyFont="1" applyFill="1" applyBorder="1" applyAlignment="1" applyProtection="1">
      <alignment horizontal="right"/>
    </xf>
    <xf numFmtId="41" fontId="24" fillId="0" borderId="0" xfId="1" applyNumberFormat="1" applyFont="1" applyFill="1" applyProtection="1"/>
    <xf numFmtId="41" fontId="24" fillId="0" borderId="8" xfId="1" applyNumberFormat="1" applyFont="1" applyFill="1" applyBorder="1" applyAlignment="1" applyProtection="1">
      <alignment horizontal="right"/>
    </xf>
    <xf numFmtId="41" fontId="66" fillId="2" borderId="2" xfId="0" applyNumberFormat="1" applyFont="1" applyFill="1" applyBorder="1" applyAlignment="1" applyProtection="1">
      <alignment horizontal="right" vertical="top" wrapText="1"/>
      <protection locked="0"/>
    </xf>
    <xf numFmtId="0" fontId="24" fillId="2" borderId="2" xfId="0" applyFont="1" applyFill="1" applyBorder="1" applyAlignment="1" applyProtection="1">
      <alignment wrapText="1"/>
      <protection locked="0"/>
    </xf>
    <xf numFmtId="41" fontId="24" fillId="2" borderId="4" xfId="0" applyNumberFormat="1" applyFont="1" applyFill="1" applyBorder="1" applyProtection="1">
      <protection locked="0"/>
    </xf>
    <xf numFmtId="43" fontId="13" fillId="0" borderId="0" xfId="1" applyFont="1" applyAlignment="1" applyProtection="1">
      <alignment horizontal="right"/>
    </xf>
    <xf numFmtId="0" fontId="13" fillId="0" borderId="0" xfId="0" applyFont="1" applyAlignment="1">
      <alignment horizontal="right"/>
    </xf>
    <xf numFmtId="0" fontId="24" fillId="0" borderId="0" xfId="0" applyFont="1" applyProtection="1">
      <protection locked="0"/>
    </xf>
    <xf numFmtId="0" fontId="47" fillId="0" borderId="0" xfId="0" applyFont="1" applyAlignment="1" applyProtection="1">
      <alignment horizontal="center"/>
      <protection locked="0"/>
    </xf>
    <xf numFmtId="0" fontId="0" fillId="6" borderId="0" xfId="0" applyFill="1"/>
    <xf numFmtId="0" fontId="24" fillId="6" borderId="0" xfId="0" applyFont="1" applyFill="1"/>
    <xf numFmtId="165" fontId="13" fillId="0" borderId="2" xfId="1" applyNumberFormat="1" applyFont="1" applyFill="1" applyBorder="1" applyAlignment="1" applyProtection="1">
      <alignment horizontal="center" wrapText="1"/>
    </xf>
    <xf numFmtId="165" fontId="23" fillId="0" borderId="2" xfId="1" applyNumberFormat="1" applyFont="1" applyFill="1" applyBorder="1" applyAlignment="1" applyProtection="1">
      <alignment horizontal="center" wrapText="1"/>
    </xf>
    <xf numFmtId="41" fontId="24" fillId="7" borderId="2" xfId="0" applyNumberFormat="1" applyFont="1" applyFill="1" applyBorder="1"/>
    <xf numFmtId="0" fontId="26" fillId="0" borderId="0" xfId="0" applyFont="1" applyAlignment="1">
      <alignment horizontal="center"/>
    </xf>
    <xf numFmtId="165" fontId="23" fillId="0" borderId="0" xfId="1" applyNumberFormat="1" applyFont="1" applyFill="1" applyBorder="1" applyProtection="1"/>
    <xf numFmtId="0" fontId="24" fillId="8" borderId="0" xfId="0" applyFont="1" applyFill="1"/>
    <xf numFmtId="0" fontId="27" fillId="8" borderId="0" xfId="0" applyFont="1" applyFill="1" applyAlignment="1">
      <alignment horizontal="left"/>
    </xf>
    <xf numFmtId="41" fontId="24" fillId="8" borderId="0" xfId="0" applyNumberFormat="1" applyFont="1" applyFill="1"/>
    <xf numFmtId="0" fontId="22" fillId="8" borderId="0" xfId="0" applyFont="1" applyFill="1" applyAlignment="1">
      <alignment horizontal="center"/>
    </xf>
    <xf numFmtId="0" fontId="24" fillId="8" borderId="0" xfId="0" applyFont="1" applyFill="1" applyProtection="1">
      <protection locked="0"/>
    </xf>
    <xf numFmtId="41" fontId="23" fillId="0" borderId="0" xfId="0" applyNumberFormat="1" applyFont="1" applyAlignment="1">
      <alignment horizontal="center" wrapText="1"/>
    </xf>
    <xf numFmtId="165" fontId="23" fillId="0" borderId="0" xfId="1" applyNumberFormat="1" applyFont="1" applyFill="1" applyBorder="1" applyAlignment="1" applyProtection="1">
      <alignment horizontal="center" wrapText="1"/>
    </xf>
    <xf numFmtId="41" fontId="24" fillId="2" borderId="15" xfId="0" applyNumberFormat="1" applyFont="1" applyFill="1" applyBorder="1" applyProtection="1">
      <protection locked="0"/>
    </xf>
    <xf numFmtId="41" fontId="24" fillId="2" borderId="5" xfId="0" applyNumberFormat="1" applyFont="1" applyFill="1" applyBorder="1" applyProtection="1">
      <protection locked="0"/>
    </xf>
    <xf numFmtId="41" fontId="24" fillId="0" borderId="0" xfId="0" applyNumberFormat="1" applyFont="1" applyProtection="1">
      <protection locked="0"/>
    </xf>
    <xf numFmtId="41" fontId="24" fillId="7" borderId="2" xfId="0" applyNumberFormat="1" applyFont="1" applyFill="1" applyBorder="1" applyProtection="1">
      <protection locked="0"/>
    </xf>
    <xf numFmtId="3" fontId="22" fillId="0" borderId="0" xfId="1" applyNumberFormat="1" applyFont="1" applyBorder="1" applyAlignment="1" applyProtection="1">
      <alignment horizontal="center" wrapText="1"/>
    </xf>
    <xf numFmtId="0" fontId="23" fillId="2" borderId="2" xfId="0" applyFont="1" applyFill="1" applyBorder="1" applyAlignment="1" applyProtection="1">
      <alignment horizontal="center" vertical="center" wrapText="1"/>
      <protection locked="0"/>
    </xf>
    <xf numFmtId="165" fontId="18" fillId="0" borderId="0" xfId="1" applyNumberFormat="1" applyFont="1" applyAlignment="1" applyProtection="1">
      <alignment horizontal="center" vertical="center"/>
    </xf>
    <xf numFmtId="165" fontId="18" fillId="0" borderId="0" xfId="1" applyNumberFormat="1" applyFont="1" applyFill="1" applyBorder="1" applyAlignment="1" applyProtection="1"/>
    <xf numFmtId="41" fontId="23" fillId="2" borderId="2" xfId="1" applyNumberFormat="1" applyFont="1" applyFill="1" applyBorder="1" applyAlignment="1" applyProtection="1">
      <alignment horizontal="right"/>
    </xf>
    <xf numFmtId="0" fontId="23" fillId="7" borderId="2" xfId="0" applyFont="1" applyFill="1" applyBorder="1" applyAlignment="1" applyProtection="1">
      <alignment vertical="top" wrapText="1"/>
      <protection locked="0"/>
    </xf>
    <xf numFmtId="0" fontId="24" fillId="2" borderId="2" xfId="12" applyFont="1" applyFill="1" applyBorder="1" applyAlignment="1" applyProtection="1">
      <alignment horizontal="center" vertical="center" wrapText="1"/>
      <protection locked="0"/>
    </xf>
    <xf numFmtId="165" fontId="18" fillId="2" borderId="2" xfId="1" applyNumberFormat="1" applyFont="1" applyFill="1" applyBorder="1" applyAlignment="1" applyProtection="1">
      <alignment horizontal="center"/>
      <protection locked="0"/>
    </xf>
    <xf numFmtId="165" fontId="23" fillId="7" borderId="2" xfId="1" applyNumberFormat="1" applyFont="1" applyFill="1" applyBorder="1" applyAlignment="1" applyProtection="1">
      <alignment horizontal="center"/>
      <protection locked="0"/>
    </xf>
    <xf numFmtId="165" fontId="15" fillId="0" borderId="0" xfId="1" applyNumberFormat="1" applyFont="1" applyProtection="1"/>
    <xf numFmtId="10" fontId="23" fillId="0" borderId="0" xfId="29" applyNumberFormat="1" applyFont="1" applyFill="1" applyBorder="1" applyAlignment="1" applyProtection="1">
      <alignment horizontal="left"/>
    </xf>
    <xf numFmtId="165" fontId="15" fillId="2" borderId="2" xfId="1" applyNumberFormat="1" applyFont="1" applyFill="1" applyBorder="1" applyAlignment="1" applyProtection="1">
      <alignment horizontal="center"/>
      <protection locked="0"/>
    </xf>
    <xf numFmtId="0" fontId="22" fillId="2" borderId="2" xfId="0" applyFont="1" applyFill="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16" xfId="0" applyFont="1" applyBorder="1" applyAlignment="1" applyProtection="1">
      <alignment horizontal="left" wrapText="1"/>
      <protection locked="0"/>
    </xf>
    <xf numFmtId="0" fontId="22" fillId="0" borderId="0" xfId="0" applyFont="1" applyAlignment="1" applyProtection="1">
      <alignment horizontal="left" wrapText="1"/>
      <protection locked="0"/>
    </xf>
    <xf numFmtId="10" fontId="24" fillId="0" borderId="2" xfId="29" applyNumberFormat="1" applyFont="1" applyBorder="1" applyAlignment="1" applyProtection="1">
      <alignment horizontal="center"/>
    </xf>
    <xf numFmtId="0" fontId="13" fillId="0" borderId="0" xfId="0" applyFont="1" applyAlignment="1" applyProtection="1">
      <alignment horizontal="left" wrapText="1"/>
      <protection locked="0"/>
    </xf>
    <xf numFmtId="0" fontId="13" fillId="0" borderId="3" xfId="0" applyFont="1" applyBorder="1" applyAlignment="1" applyProtection="1">
      <alignment horizontal="left" wrapText="1"/>
      <protection locked="0"/>
    </xf>
    <xf numFmtId="0" fontId="13" fillId="0" borderId="16" xfId="0" applyFont="1" applyBorder="1" applyAlignment="1" applyProtection="1">
      <alignment horizontal="left" wrapText="1"/>
      <protection locked="0"/>
    </xf>
    <xf numFmtId="0" fontId="13" fillId="0" borderId="5" xfId="0" applyFont="1" applyBorder="1" applyAlignment="1" applyProtection="1">
      <alignment horizontal="left" wrapText="1"/>
      <protection locked="0"/>
    </xf>
    <xf numFmtId="0" fontId="66" fillId="2" borderId="2"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right" wrapText="1"/>
    </xf>
    <xf numFmtId="41" fontId="18" fillId="0" borderId="0" xfId="14" quotePrefix="1" applyNumberFormat="1" applyFont="1" applyAlignment="1">
      <alignment horizontal="right"/>
    </xf>
    <xf numFmtId="0" fontId="18" fillId="0" borderId="0" xfId="14" quotePrefix="1" applyFont="1" applyAlignment="1">
      <alignment horizontal="right"/>
    </xf>
    <xf numFmtId="41" fontId="66" fillId="2" borderId="2" xfId="0" applyNumberFormat="1" applyFont="1" applyFill="1" applyBorder="1" applyAlignment="1" applyProtection="1">
      <alignment horizontal="center" vertical="center" wrapText="1"/>
      <protection locked="0"/>
    </xf>
    <xf numFmtId="10" fontId="24" fillId="0" borderId="2" xfId="29" applyNumberFormat="1" applyFont="1" applyFill="1" applyBorder="1" applyAlignment="1" applyProtection="1">
      <alignment horizontal="center"/>
    </xf>
    <xf numFmtId="41" fontId="66" fillId="2" borderId="13" xfId="0" applyNumberFormat="1" applyFont="1" applyFill="1" applyBorder="1" applyAlignment="1" applyProtection="1">
      <alignment horizontal="center" vertical="center" wrapText="1"/>
      <protection locked="0"/>
    </xf>
    <xf numFmtId="0" fontId="23" fillId="0" borderId="0" xfId="43" applyFont="1"/>
    <xf numFmtId="0" fontId="66" fillId="2" borderId="2" xfId="12" applyFont="1" applyFill="1" applyBorder="1" applyAlignment="1" applyProtection="1">
      <alignment vertical="top" wrapText="1"/>
      <protection locked="0"/>
    </xf>
    <xf numFmtId="0" fontId="66" fillId="2" borderId="4" xfId="0" applyFont="1" applyFill="1" applyBorder="1" applyAlignment="1" applyProtection="1">
      <alignment horizontal="center" vertical="center" wrapText="1"/>
      <protection locked="0"/>
    </xf>
    <xf numFmtId="0" fontId="66" fillId="2" borderId="2" xfId="32" applyFont="1" applyFill="1" applyBorder="1" applyAlignment="1" applyProtection="1">
      <alignment horizontal="center" vertical="center"/>
      <protection locked="0"/>
    </xf>
    <xf numFmtId="41" fontId="23" fillId="2" borderId="2" xfId="12" applyNumberFormat="1" applyFont="1" applyFill="1" applyBorder="1" applyAlignment="1" applyProtection="1">
      <alignment vertical="top"/>
      <protection locked="0"/>
    </xf>
    <xf numFmtId="0" fontId="23" fillId="0" borderId="12" xfId="9" applyFont="1" applyBorder="1" applyAlignment="1">
      <alignment wrapText="1"/>
    </xf>
    <xf numFmtId="0" fontId="66" fillId="2" borderId="2" xfId="0" applyFont="1" applyFill="1" applyBorder="1" applyAlignment="1" applyProtection="1">
      <alignment horizontal="center" vertical="top" wrapText="1"/>
      <protection locked="0"/>
    </xf>
    <xf numFmtId="41" fontId="66" fillId="2" borderId="2" xfId="12" applyNumberFormat="1" applyFont="1" applyFill="1" applyBorder="1" applyAlignment="1" applyProtection="1">
      <alignment vertical="top"/>
      <protection locked="0"/>
    </xf>
    <xf numFmtId="41" fontId="66" fillId="0" borderId="2" xfId="53" applyNumberFormat="1" applyFont="1" applyFill="1" applyBorder="1" applyAlignment="1" applyProtection="1">
      <alignment vertical="top"/>
    </xf>
    <xf numFmtId="0" fontId="23" fillId="2" borderId="2" xfId="15" applyFont="1" applyFill="1" applyBorder="1" applyAlignment="1" applyProtection="1">
      <alignment horizontal="center" vertical="top" wrapText="1"/>
      <protection locked="0"/>
    </xf>
    <xf numFmtId="0" fontId="23" fillId="2" borderId="2" xfId="15" applyFont="1" applyFill="1" applyBorder="1" applyAlignment="1" applyProtection="1">
      <alignment horizontal="center"/>
      <protection locked="0"/>
    </xf>
    <xf numFmtId="0" fontId="24" fillId="2" borderId="2" xfId="15" applyFont="1" applyFill="1" applyBorder="1" applyAlignment="1" applyProtection="1">
      <alignment horizontal="center"/>
      <protection locked="0"/>
    </xf>
    <xf numFmtId="0" fontId="66" fillId="7" borderId="2" xfId="12" applyFont="1" applyFill="1" applyBorder="1" applyAlignment="1" applyProtection="1">
      <alignment horizontal="left" vertical="top" wrapText="1"/>
      <protection locked="0"/>
    </xf>
    <xf numFmtId="0" fontId="23" fillId="2" borderId="2" xfId="15" applyFont="1" applyFill="1" applyBorder="1" applyAlignment="1" applyProtection="1">
      <alignment wrapText="1"/>
      <protection locked="0"/>
    </xf>
    <xf numFmtId="0" fontId="24" fillId="2" borderId="2" xfId="15" applyFont="1" applyFill="1" applyBorder="1" applyAlignment="1" applyProtection="1">
      <alignment horizontal="center" vertical="top" wrapText="1"/>
      <protection locked="0"/>
    </xf>
    <xf numFmtId="0" fontId="18" fillId="2" borderId="2" xfId="15" applyFont="1" applyFill="1" applyBorder="1" applyAlignment="1" applyProtection="1">
      <alignment horizontal="center" vertical="top" wrapText="1"/>
      <protection locked="0"/>
    </xf>
    <xf numFmtId="165" fontId="15" fillId="0" borderId="0" xfId="1" applyNumberFormat="1" applyFont="1" applyAlignment="1" applyProtection="1">
      <alignment horizontal="right"/>
    </xf>
    <xf numFmtId="165" fontId="15" fillId="0" borderId="0" xfId="1" applyNumberFormat="1" applyFont="1" applyAlignment="1" applyProtection="1">
      <alignment horizontal="center" wrapText="1"/>
    </xf>
    <xf numFmtId="37" fontId="15" fillId="0" borderId="17" xfId="1" applyNumberFormat="1" applyFont="1" applyFill="1" applyBorder="1" applyProtection="1"/>
    <xf numFmtId="0" fontId="23" fillId="2" borderId="7" xfId="15" applyFont="1" applyFill="1" applyBorder="1" applyProtection="1">
      <protection locked="0"/>
    </xf>
    <xf numFmtId="0" fontId="23" fillId="0" borderId="0" xfId="9" applyFont="1" applyAlignment="1">
      <alignment horizontal="center"/>
    </xf>
    <xf numFmtId="0" fontId="23" fillId="0" borderId="0" xfId="32" applyFont="1"/>
    <xf numFmtId="42" fontId="23" fillId="0" borderId="6" xfId="1" applyNumberFormat="1" applyFont="1" applyFill="1" applyBorder="1" applyProtection="1"/>
    <xf numFmtId="167" fontId="23" fillId="0" borderId="0" xfId="0" applyNumberFormat="1" applyFont="1" applyAlignment="1">
      <alignment horizontal="left"/>
    </xf>
    <xf numFmtId="41" fontId="50" fillId="0" borderId="4" xfId="1" applyNumberFormat="1" applyFont="1" applyFill="1" applyBorder="1" applyProtection="1"/>
    <xf numFmtId="41" fontId="50" fillId="0" borderId="0" xfId="1" applyNumberFormat="1" applyFont="1" applyFill="1" applyBorder="1" applyProtection="1"/>
    <xf numFmtId="41" fontId="50" fillId="0" borderId="2" xfId="1" applyNumberFormat="1" applyFont="1" applyFill="1" applyBorder="1" applyProtection="1"/>
    <xf numFmtId="41" fontId="50" fillId="2" borderId="2" xfId="1" applyNumberFormat="1" applyFont="1" applyFill="1" applyBorder="1" applyProtection="1">
      <protection locked="0"/>
    </xf>
    <xf numFmtId="41" fontId="13" fillId="0" borderId="0" xfId="0" applyNumberFormat="1" applyFont="1" applyAlignment="1">
      <alignment wrapText="1"/>
    </xf>
    <xf numFmtId="41" fontId="50" fillId="10" borderId="2" xfId="1" applyNumberFormat="1" applyFont="1" applyFill="1" applyBorder="1" applyProtection="1"/>
    <xf numFmtId="41" fontId="23" fillId="0" borderId="2" xfId="0" applyNumberFormat="1" applyFont="1" applyBorder="1" applyAlignment="1">
      <alignment wrapText="1"/>
    </xf>
    <xf numFmtId="0" fontId="23" fillId="0" borderId="0" xfId="0" applyFont="1" applyAlignment="1">
      <alignment horizontal="right" vertical="top" wrapText="1"/>
    </xf>
    <xf numFmtId="42" fontId="50" fillId="0" borderId="0" xfId="1" applyNumberFormat="1" applyFont="1" applyFill="1" applyBorder="1" applyProtection="1"/>
    <xf numFmtId="42" fontId="50" fillId="0" borderId="8" xfId="1" quotePrefix="1" applyNumberFormat="1" applyFont="1" applyFill="1" applyBorder="1" applyProtection="1"/>
    <xf numFmtId="41" fontId="62" fillId="0" borderId="0" xfId="1" applyNumberFormat="1" applyFont="1" applyFill="1" applyBorder="1" applyProtection="1"/>
    <xf numFmtId="0" fontId="23" fillId="2" borderId="7" xfId="0" applyFont="1" applyFill="1" applyBorder="1" applyAlignment="1" applyProtection="1">
      <alignment horizontal="center"/>
      <protection locked="0"/>
    </xf>
    <xf numFmtId="0" fontId="23" fillId="2" borderId="7" xfId="0" applyFont="1" applyFill="1" applyBorder="1" applyProtection="1">
      <protection locked="0"/>
    </xf>
    <xf numFmtId="0" fontId="23" fillId="0" borderId="7" xfId="0" applyFont="1" applyBorder="1"/>
    <xf numFmtId="0" fontId="23" fillId="2" borderId="2" xfId="32" applyFont="1" applyFill="1" applyBorder="1" applyAlignment="1" applyProtection="1">
      <alignment wrapText="1"/>
      <protection locked="0"/>
    </xf>
    <xf numFmtId="42" fontId="23" fillId="0" borderId="6" xfId="1" applyNumberFormat="1" applyFont="1" applyFill="1" applyBorder="1" applyAlignment="1" applyProtection="1">
      <alignment horizontal="right"/>
    </xf>
    <xf numFmtId="0" fontId="25" fillId="0" borderId="0" xfId="0" applyFont="1" applyAlignment="1">
      <alignment horizontal="right"/>
    </xf>
    <xf numFmtId="42" fontId="23" fillId="0" borderId="0" xfId="1" applyNumberFormat="1" applyFont="1" applyFill="1" applyBorder="1" applyProtection="1"/>
    <xf numFmtId="0" fontId="23" fillId="2" borderId="2" xfId="32" applyFont="1" applyFill="1" applyBorder="1" applyAlignment="1" applyProtection="1">
      <alignment horizontal="center"/>
      <protection locked="0"/>
    </xf>
    <xf numFmtId="42" fontId="50" fillId="0" borderId="2" xfId="1" applyNumberFormat="1" applyFont="1" applyFill="1" applyBorder="1" applyProtection="1"/>
    <xf numFmtId="0" fontId="25" fillId="4" borderId="2" xfId="0" quotePrefix="1" applyFont="1" applyFill="1" applyBorder="1" applyAlignment="1">
      <alignment horizontal="center"/>
    </xf>
    <xf numFmtId="0" fontId="62" fillId="0" borderId="0" xfId="11" applyFont="1" applyAlignment="1">
      <alignment horizontal="right"/>
    </xf>
    <xf numFmtId="41" fontId="62" fillId="0" borderId="0" xfId="11" quotePrefix="1" applyNumberFormat="1" applyFont="1" applyAlignment="1">
      <alignment horizontal="left"/>
    </xf>
    <xf numFmtId="0" fontId="25" fillId="0" borderId="0" xfId="0" quotePrefix="1" applyFont="1" applyAlignment="1">
      <alignment horizontal="center"/>
    </xf>
    <xf numFmtId="42" fontId="50" fillId="2" borderId="2" xfId="1" applyNumberFormat="1" applyFont="1" applyFill="1" applyBorder="1" applyProtection="1">
      <protection locked="0"/>
    </xf>
    <xf numFmtId="0" fontId="23" fillId="2" borderId="2" xfId="0" applyFont="1" applyFill="1" applyBorder="1" applyAlignment="1" applyProtection="1">
      <alignment horizontal="center" wrapText="1"/>
      <protection locked="0"/>
    </xf>
    <xf numFmtId="0" fontId="25" fillId="2" borderId="2" xfId="0" applyFont="1" applyFill="1" applyBorder="1" applyAlignment="1" applyProtection="1">
      <alignment horizontal="left" wrapText="1"/>
      <protection locked="0"/>
    </xf>
    <xf numFmtId="0" fontId="25" fillId="0" borderId="0" xfId="0" applyFont="1" applyAlignment="1">
      <alignment horizontal="center" vertical="top" wrapText="1"/>
    </xf>
    <xf numFmtId="0" fontId="23" fillId="7" borderId="7" xfId="0" applyFont="1" applyFill="1" applyBorder="1" applyAlignment="1" applyProtection="1">
      <alignment wrapText="1"/>
      <protection locked="0"/>
    </xf>
    <xf numFmtId="41" fontId="23" fillId="7" borderId="2" xfId="1" applyNumberFormat="1" applyFont="1" applyFill="1" applyBorder="1" applyAlignment="1" applyProtection="1">
      <alignment vertical="top"/>
      <protection locked="0"/>
    </xf>
    <xf numFmtId="0" fontId="25" fillId="0" borderId="0" xfId="0" applyFont="1" applyAlignment="1">
      <alignment vertical="top"/>
    </xf>
    <xf numFmtId="41" fontId="50" fillId="2" borderId="7" xfId="1" applyNumberFormat="1" applyFont="1" applyFill="1" applyBorder="1" applyProtection="1">
      <protection locked="0"/>
    </xf>
    <xf numFmtId="0" fontId="23" fillId="2" borderId="7" xfId="32" applyFont="1" applyFill="1" applyBorder="1" applyAlignment="1" applyProtection="1">
      <alignment wrapText="1"/>
      <protection locked="0"/>
    </xf>
    <xf numFmtId="0" fontId="23" fillId="0" borderId="2" xfId="32" applyFont="1" applyBorder="1" applyAlignment="1">
      <alignment horizontal="center"/>
    </xf>
    <xf numFmtId="0" fontId="23" fillId="0" borderId="0" xfId="0" applyFont="1" applyAlignment="1">
      <alignment horizontal="right" indent="1"/>
    </xf>
    <xf numFmtId="0" fontId="23" fillId="2" borderId="7" xfId="32" applyFont="1" applyFill="1" applyBorder="1" applyAlignment="1" applyProtection="1">
      <alignment horizontal="center"/>
      <protection locked="0"/>
    </xf>
    <xf numFmtId="41" fontId="23" fillId="7" borderId="7" xfId="1" applyNumberFormat="1" applyFont="1" applyFill="1" applyBorder="1" applyAlignment="1" applyProtection="1">
      <alignment vertical="top"/>
      <protection locked="0"/>
    </xf>
    <xf numFmtId="42" fontId="23" fillId="0" borderId="6" xfId="0" applyNumberFormat="1" applyFont="1" applyBorder="1"/>
    <xf numFmtId="0" fontId="23" fillId="0" borderId="0" xfId="0" applyFont="1" applyAlignment="1">
      <alignment horizontal="right" vertical="top" indent="1"/>
    </xf>
    <xf numFmtId="0" fontId="117" fillId="0" borderId="0" xfId="144" applyFont="1"/>
    <xf numFmtId="38" fontId="25" fillId="0" borderId="0" xfId="15" applyNumberFormat="1" applyFont="1" applyAlignment="1">
      <alignment horizontal="left"/>
    </xf>
    <xf numFmtId="38" fontId="25" fillId="0" borderId="3" xfId="15" applyNumberFormat="1" applyFont="1" applyBorder="1" applyAlignment="1">
      <alignment horizontal="left"/>
    </xf>
    <xf numFmtId="0" fontId="115" fillId="0" borderId="0" xfId="9" applyFont="1"/>
    <xf numFmtId="0" fontId="25" fillId="0" borderId="20" xfId="9" applyFont="1" applyBorder="1"/>
    <xf numFmtId="0" fontId="25" fillId="0" borderId="21" xfId="9" applyFont="1" applyBorder="1"/>
    <xf numFmtId="0" fontId="25" fillId="0" borderId="21" xfId="9" applyFont="1" applyBorder="1" applyAlignment="1">
      <alignment horizontal="center" wrapText="1"/>
    </xf>
    <xf numFmtId="0" fontId="23" fillId="0" borderId="2" xfId="9" applyFont="1" applyBorder="1" applyAlignment="1">
      <alignment horizontal="center"/>
    </xf>
    <xf numFmtId="0" fontId="23" fillId="0" borderId="2" xfId="9" applyFont="1" applyBorder="1" applyAlignment="1">
      <alignment wrapText="1"/>
    </xf>
    <xf numFmtId="0" fontId="23" fillId="0" borderId="13" xfId="9" applyFont="1" applyBorder="1" applyAlignment="1">
      <alignment wrapText="1"/>
    </xf>
    <xf numFmtId="0" fontId="23" fillId="2" borderId="13" xfId="9" applyFont="1" applyFill="1" applyBorder="1" applyAlignment="1" applyProtection="1">
      <alignment horizontal="center" vertical="center" wrapText="1"/>
      <protection locked="0"/>
    </xf>
    <xf numFmtId="0" fontId="23" fillId="0" borderId="7" xfId="9" applyFont="1" applyBorder="1" applyAlignment="1">
      <alignment wrapText="1"/>
    </xf>
    <xf numFmtId="0" fontId="51" fillId="0" borderId="0" xfId="9" applyFont="1"/>
    <xf numFmtId="0" fontId="23" fillId="0" borderId="0" xfId="9" applyFont="1" applyAlignment="1">
      <alignment horizontal="left"/>
    </xf>
    <xf numFmtId="0" fontId="23" fillId="0" borderId="0" xfId="9" applyFont="1" applyAlignment="1">
      <alignment horizontal="left" wrapText="1"/>
    </xf>
    <xf numFmtId="0" fontId="23" fillId="2" borderId="2" xfId="9" applyFont="1" applyFill="1" applyBorder="1" applyAlignment="1" applyProtection="1">
      <alignment horizontal="center" wrapText="1"/>
      <protection locked="0"/>
    </xf>
    <xf numFmtId="0" fontId="66" fillId="0" borderId="0" xfId="146" applyFont="1"/>
    <xf numFmtId="0" fontId="42" fillId="0" borderId="0" xfId="146" applyFont="1" applyAlignment="1">
      <alignment horizontal="center"/>
    </xf>
    <xf numFmtId="0" fontId="70" fillId="0" borderId="9" xfId="146" applyFont="1" applyBorder="1" applyAlignment="1">
      <alignment horizontal="center"/>
    </xf>
    <xf numFmtId="0" fontId="70" fillId="0" borderId="17" xfId="146" applyFont="1" applyBorder="1" applyAlignment="1">
      <alignment horizontal="center"/>
    </xf>
    <xf numFmtId="0" fontId="66" fillId="0" borderId="18" xfId="146" applyFont="1" applyBorder="1"/>
    <xf numFmtId="0" fontId="66" fillId="0" borderId="16" xfId="146" applyFont="1" applyBorder="1"/>
    <xf numFmtId="0" fontId="66" fillId="0" borderId="19" xfId="146" applyFont="1" applyBorder="1"/>
    <xf numFmtId="0" fontId="66" fillId="0" borderId="4" xfId="146" applyFont="1" applyBorder="1"/>
    <xf numFmtId="0" fontId="66" fillId="0" borderId="12" xfId="146" applyFont="1" applyBorder="1"/>
    <xf numFmtId="0" fontId="119" fillId="0" borderId="0" xfId="42" applyFont="1" applyAlignment="1">
      <alignment horizontal="center" wrapText="1"/>
    </xf>
    <xf numFmtId="0" fontId="42" fillId="0" borderId="13" xfId="32" applyFont="1" applyBorder="1"/>
    <xf numFmtId="0" fontId="42" fillId="0" borderId="2" xfId="146" applyFont="1" applyBorder="1" applyAlignment="1">
      <alignment horizontal="center" wrapText="1"/>
    </xf>
    <xf numFmtId="49" fontId="42" fillId="0" borderId="11" xfId="146" applyNumberFormat="1" applyFont="1" applyBorder="1" applyAlignment="1">
      <alignment horizontal="center" wrapText="1"/>
    </xf>
    <xf numFmtId="49" fontId="42" fillId="0" borderId="7" xfId="146" applyNumberFormat="1" applyFont="1" applyBorder="1" applyAlignment="1">
      <alignment horizontal="center" wrapText="1"/>
    </xf>
    <xf numFmtId="0" fontId="42" fillId="0" borderId="2" xfId="146" applyFont="1" applyBorder="1" applyAlignment="1">
      <alignment horizontal="center"/>
    </xf>
    <xf numFmtId="0" fontId="42" fillId="0" borderId="7" xfId="146" applyFont="1" applyBorder="1" applyAlignment="1">
      <alignment horizontal="center"/>
    </xf>
    <xf numFmtId="0" fontId="42" fillId="0" borderId="11" xfId="146" applyFont="1" applyBorder="1" applyAlignment="1">
      <alignment horizontal="center"/>
    </xf>
    <xf numFmtId="0" fontId="69" fillId="0" borderId="12" xfId="146" applyFont="1" applyBorder="1" applyAlignment="1">
      <alignment horizontal="center" wrapText="1"/>
    </xf>
    <xf numFmtId="0" fontId="42" fillId="0" borderId="7" xfId="146" applyFont="1" applyBorder="1" applyAlignment="1">
      <alignment horizontal="center" wrapText="1"/>
    </xf>
    <xf numFmtId="0" fontId="42" fillId="0" borderId="2" xfId="89" applyFont="1" applyBorder="1" applyAlignment="1">
      <alignment horizontal="center" wrapText="1"/>
    </xf>
    <xf numFmtId="0" fontId="69" fillId="0" borderId="3" xfId="42" applyFont="1" applyBorder="1" applyAlignment="1">
      <alignment horizontal="center" wrapText="1"/>
    </xf>
    <xf numFmtId="0" fontId="66" fillId="0" borderId="0" xfId="146" applyFont="1" applyAlignment="1">
      <alignment horizontal="left"/>
    </xf>
    <xf numFmtId="37" fontId="66" fillId="0" borderId="0" xfId="146" applyNumberFormat="1" applyFont="1"/>
    <xf numFmtId="0" fontId="66" fillId="2" borderId="7" xfId="146" applyFont="1" applyFill="1" applyBorder="1" applyAlignment="1" applyProtection="1">
      <alignment wrapText="1"/>
      <protection locked="0"/>
    </xf>
    <xf numFmtId="41" fontId="66" fillId="0" borderId="0" xfId="146" applyNumberFormat="1" applyFont="1"/>
    <xf numFmtId="41" fontId="66" fillId="0" borderId="9" xfId="146" applyNumberFormat="1" applyFont="1" applyBorder="1"/>
    <xf numFmtId="41" fontId="66" fillId="2" borderId="2" xfId="146" applyNumberFormat="1" applyFont="1" applyFill="1" applyBorder="1" applyProtection="1">
      <protection locked="0"/>
    </xf>
    <xf numFmtId="41" fontId="66" fillId="0" borderId="0" xfId="148" quotePrefix="1" applyNumberFormat="1" applyFont="1" applyProtection="1"/>
    <xf numFmtId="41" fontId="114" fillId="0" borderId="0" xfId="146" applyNumberFormat="1" applyFont="1"/>
    <xf numFmtId="41" fontId="66" fillId="2" borderId="2" xfId="43" applyNumberFormat="1" applyFont="1" applyFill="1" applyBorder="1" applyProtection="1">
      <protection locked="0"/>
    </xf>
    <xf numFmtId="0" fontId="66" fillId="2" borderId="2" xfId="146" applyFont="1" applyFill="1" applyBorder="1" applyAlignment="1" applyProtection="1">
      <alignment wrapText="1"/>
      <protection locked="0"/>
    </xf>
    <xf numFmtId="41" fontId="66" fillId="2" borderId="2" xfId="146" applyNumberFormat="1" applyFont="1" applyFill="1" applyBorder="1" applyAlignment="1" applyProtection="1">
      <alignment wrapText="1"/>
      <protection locked="0"/>
    </xf>
    <xf numFmtId="41" fontId="66" fillId="2" borderId="7" xfId="146" applyNumberFormat="1" applyFont="1" applyFill="1" applyBorder="1" applyAlignment="1" applyProtection="1">
      <alignment horizontal="right"/>
      <protection locked="0"/>
    </xf>
    <xf numFmtId="41" fontId="66" fillId="0" borderId="0" xfId="148" applyNumberFormat="1" applyFont="1" applyProtection="1"/>
    <xf numFmtId="41" fontId="66" fillId="0" borderId="0" xfId="43" applyNumberFormat="1" applyFont="1"/>
    <xf numFmtId="41" fontId="66" fillId="0" borderId="10" xfId="146" applyNumberFormat="1" applyFont="1" applyBorder="1"/>
    <xf numFmtId="49" fontId="66" fillId="0" borderId="0" xfId="146" applyNumberFormat="1" applyFont="1"/>
    <xf numFmtId="41" fontId="120" fillId="0" borderId="0" xfId="146" applyNumberFormat="1" applyFont="1"/>
    <xf numFmtId="0" fontId="66" fillId="0" borderId="0" xfId="146" applyFont="1" applyAlignment="1">
      <alignment wrapText="1"/>
    </xf>
    <xf numFmtId="49" fontId="66" fillId="0" borderId="0" xfId="146" applyNumberFormat="1" applyFont="1" applyAlignment="1">
      <alignment wrapText="1"/>
    </xf>
    <xf numFmtId="37" fontId="42" fillId="0" borderId="0" xfId="146" applyNumberFormat="1" applyFont="1"/>
    <xf numFmtId="0" fontId="42" fillId="0" borderId="0" xfId="146" applyFont="1"/>
    <xf numFmtId="37" fontId="25" fillId="0" borderId="0" xfId="32" applyNumberFormat="1" applyFont="1"/>
    <xf numFmtId="49" fontId="23" fillId="0" borderId="0" xfId="32" applyNumberFormat="1" applyFont="1"/>
    <xf numFmtId="0" fontId="117" fillId="0" borderId="0" xfId="200" applyFont="1"/>
    <xf numFmtId="0" fontId="118" fillId="0" borderId="11" xfId="200" applyFont="1" applyBorder="1" applyAlignment="1">
      <alignment horizontal="centerContinuous"/>
    </xf>
    <xf numFmtId="0" fontId="118" fillId="0" borderId="3" xfId="200" applyFont="1" applyBorder="1" applyAlignment="1">
      <alignment horizontal="centerContinuous"/>
    </xf>
    <xf numFmtId="0" fontId="42" fillId="0" borderId="15" xfId="146" applyFont="1" applyBorder="1" applyAlignment="1">
      <alignment horizontal="left"/>
    </xf>
    <xf numFmtId="0" fontId="42" fillId="0" borderId="5" xfId="146" applyFont="1" applyBorder="1"/>
    <xf numFmtId="0" fontId="42" fillId="0" borderId="5" xfId="32" applyFont="1" applyBorder="1"/>
    <xf numFmtId="0" fontId="42" fillId="0" borderId="3" xfId="146" applyFont="1" applyBorder="1" applyAlignment="1">
      <alignment horizontal="center"/>
    </xf>
    <xf numFmtId="41" fontId="66" fillId="2" borderId="7" xfId="201" applyNumberFormat="1" applyFont="1" applyFill="1" applyBorder="1" applyAlignment="1" applyProtection="1">
      <alignment horizontal="right"/>
      <protection locked="0"/>
    </xf>
    <xf numFmtId="0" fontId="114" fillId="0" borderId="0" xfId="200" applyFont="1" applyAlignment="1">
      <alignment horizontal="center"/>
    </xf>
    <xf numFmtId="0" fontId="66" fillId="0" borderId="3" xfId="146" applyFont="1" applyBorder="1" applyAlignment="1">
      <alignment wrapText="1"/>
    </xf>
    <xf numFmtId="0" fontId="66" fillId="0" borderId="3" xfId="201" applyNumberFormat="1" applyFont="1" applyFill="1" applyBorder="1" applyAlignment="1" applyProtection="1">
      <alignment horizontal="right"/>
    </xf>
    <xf numFmtId="0" fontId="66" fillId="0" borderId="5" xfId="146" applyFont="1" applyBorder="1"/>
    <xf numFmtId="0" fontId="66" fillId="0" borderId="0" xfId="148" quotePrefix="1" applyNumberFormat="1" applyFont="1" applyFill="1" applyBorder="1" applyProtection="1"/>
    <xf numFmtId="0" fontId="114" fillId="0" borderId="0" xfId="146" applyFont="1"/>
    <xf numFmtId="0" fontId="66" fillId="0" borderId="5" xfId="43" applyFont="1" applyBorder="1"/>
    <xf numFmtId="0" fontId="66" fillId="0" borderId="3" xfId="146" applyFont="1" applyBorder="1"/>
    <xf numFmtId="0" fontId="66" fillId="0" borderId="2" xfId="146" applyFont="1" applyBorder="1"/>
    <xf numFmtId="0" fontId="66" fillId="0" borderId="3" xfId="43" applyFont="1" applyBorder="1"/>
    <xf numFmtId="41" fontId="66" fillId="0" borderId="9" xfId="146" applyNumberFormat="1" applyFont="1" applyBorder="1" applyAlignment="1">
      <alignment wrapText="1"/>
    </xf>
    <xf numFmtId="41" fontId="66" fillId="0" borderId="0" xfId="146" applyNumberFormat="1" applyFont="1" applyAlignment="1">
      <alignment wrapText="1"/>
    </xf>
    <xf numFmtId="41" fontId="66" fillId="0" borderId="10" xfId="146" applyNumberFormat="1" applyFont="1" applyBorder="1" applyAlignment="1">
      <alignment wrapText="1"/>
    </xf>
    <xf numFmtId="0" fontId="66" fillId="0" borderId="0" xfId="201" applyNumberFormat="1" applyFont="1" applyFill="1" applyBorder="1" applyAlignment="1" applyProtection="1">
      <alignment horizontal="right"/>
    </xf>
    <xf numFmtId="37" fontId="66" fillId="0" borderId="10" xfId="146" applyNumberFormat="1" applyFont="1" applyBorder="1"/>
    <xf numFmtId="0" fontId="118" fillId="0" borderId="0" xfId="200" applyFont="1"/>
    <xf numFmtId="0" fontId="23" fillId="0" borderId="0" xfId="0" applyFont="1" applyAlignment="1">
      <alignment horizontal="right" vertical="top"/>
    </xf>
    <xf numFmtId="41" fontId="23" fillId="0" borderId="2" xfId="1" quotePrefix="1" applyNumberFormat="1" applyFont="1" applyFill="1" applyBorder="1" applyAlignment="1" applyProtection="1">
      <alignment horizontal="right"/>
    </xf>
    <xf numFmtId="0" fontId="25" fillId="0" borderId="2" xfId="9" applyFont="1" applyBorder="1" applyAlignment="1">
      <alignment horizontal="center"/>
    </xf>
    <xf numFmtId="0" fontId="124" fillId="12" borderId="24" xfId="202" applyAlignment="1" applyProtection="1">
      <alignment horizontal="center"/>
    </xf>
    <xf numFmtId="49" fontId="91" fillId="11" borderId="23" xfId="169" applyNumberFormat="1" applyFont="1" applyFill="1" applyBorder="1" applyAlignment="1">
      <alignment horizontal="center"/>
    </xf>
    <xf numFmtId="49" fontId="91" fillId="11" borderId="23" xfId="169" applyNumberFormat="1" applyFont="1" applyFill="1" applyBorder="1"/>
    <xf numFmtId="41" fontId="23" fillId="0" borderId="5" xfId="1" applyNumberFormat="1" applyFont="1" applyFill="1" applyBorder="1" applyProtection="1"/>
    <xf numFmtId="0" fontId="66" fillId="2" borderId="13" xfId="0" applyFont="1" applyFill="1" applyBorder="1" applyAlignment="1" applyProtection="1">
      <alignment vertical="top" wrapText="1"/>
      <protection locked="0"/>
    </xf>
    <xf numFmtId="0" fontId="18" fillId="2" borderId="2" xfId="14" applyFont="1" applyFill="1" applyBorder="1" applyAlignment="1" applyProtection="1">
      <alignment horizontal="center" wrapText="1"/>
      <protection locked="0"/>
    </xf>
    <xf numFmtId="0" fontId="66" fillId="2" borderId="2" xfId="0" applyFont="1" applyFill="1" applyBorder="1" applyAlignment="1" applyProtection="1">
      <alignment vertical="center" wrapText="1"/>
      <protection locked="0"/>
    </xf>
    <xf numFmtId="0" fontId="66" fillId="2" borderId="2" xfId="0" applyFont="1" applyFill="1" applyBorder="1" applyAlignment="1" applyProtection="1">
      <alignment horizontal="left" vertical="center" wrapText="1"/>
      <protection locked="0"/>
    </xf>
    <xf numFmtId="0" fontId="24" fillId="0" borderId="3" xfId="0" applyFont="1" applyBorder="1" applyAlignment="1">
      <alignment horizontal="center" wrapText="1"/>
    </xf>
    <xf numFmtId="41" fontId="15" fillId="2" borderId="2" xfId="1" applyNumberFormat="1" applyFont="1" applyFill="1" applyBorder="1" applyProtection="1">
      <protection locked="0"/>
    </xf>
    <xf numFmtId="165" fontId="15" fillId="0" borderId="0" xfId="1" applyNumberFormat="1" applyFont="1" applyFill="1" applyAlignment="1" applyProtection="1">
      <alignment horizontal="right"/>
    </xf>
    <xf numFmtId="165" fontId="18" fillId="0" borderId="0" xfId="1" quotePrefix="1" applyNumberFormat="1" applyFont="1" applyFill="1" applyBorder="1" applyAlignment="1" applyProtection="1">
      <alignment horizontal="right"/>
    </xf>
    <xf numFmtId="0" fontId="25" fillId="13" borderId="3" xfId="0" applyFont="1" applyFill="1" applyBorder="1" applyAlignment="1">
      <alignment horizontal="center" wrapText="1"/>
    </xf>
    <xf numFmtId="0" fontId="23" fillId="13" borderId="3" xfId="0" applyFont="1" applyFill="1" applyBorder="1" applyAlignment="1">
      <alignment horizontal="center" wrapText="1"/>
    </xf>
    <xf numFmtId="0" fontId="22" fillId="13" borderId="3" xfId="0" applyFont="1" applyFill="1" applyBorder="1" applyAlignment="1">
      <alignment horizontal="center" wrapText="1"/>
    </xf>
    <xf numFmtId="0" fontId="24" fillId="13" borderId="3" xfId="0" applyFont="1" applyFill="1" applyBorder="1" applyAlignment="1">
      <alignment horizontal="center" wrapText="1"/>
    </xf>
    <xf numFmtId="41" fontId="126" fillId="0" borderId="0" xfId="1" applyNumberFormat="1" applyFont="1" applyFill="1" applyBorder="1" applyAlignment="1" applyProtection="1">
      <alignment horizontal="right"/>
    </xf>
    <xf numFmtId="0" fontId="66" fillId="2" borderId="2" xfId="0" applyFont="1" applyFill="1" applyBorder="1" applyAlignment="1" applyProtection="1">
      <alignment horizontal="center" vertical="center"/>
      <protection locked="0"/>
    </xf>
    <xf numFmtId="41" fontId="15" fillId="0" borderId="0" xfId="1" applyNumberFormat="1" applyFont="1" applyBorder="1" applyAlignment="1" applyProtection="1">
      <alignment horizontal="right"/>
    </xf>
    <xf numFmtId="0" fontId="70" fillId="10" borderId="0" xfId="146" applyFont="1" applyFill="1" applyAlignment="1">
      <alignment horizontal="center"/>
    </xf>
    <xf numFmtId="0" fontId="23" fillId="10" borderId="0" xfId="0" applyFont="1" applyFill="1"/>
    <xf numFmtId="49" fontId="25" fillId="10" borderId="0" xfId="30" applyFont="1" applyFill="1"/>
    <xf numFmtId="49" fontId="42" fillId="0" borderId="3" xfId="146" applyNumberFormat="1" applyFont="1" applyBorder="1" applyAlignment="1" applyProtection="1">
      <alignment horizontal="center" wrapText="1"/>
      <protection locked="0"/>
    </xf>
    <xf numFmtId="0" fontId="117" fillId="0" borderId="0" xfId="200" applyFont="1" applyProtection="1">
      <protection locked="0"/>
    </xf>
    <xf numFmtId="0" fontId="66" fillId="0" borderId="0" xfId="146" applyFont="1" applyProtection="1">
      <protection locked="0"/>
    </xf>
    <xf numFmtId="0" fontId="69" fillId="0" borderId="12" xfId="146" applyFont="1" applyBorder="1" applyAlignment="1" applyProtection="1">
      <alignment horizontal="center" wrapText="1"/>
      <protection locked="0"/>
    </xf>
    <xf numFmtId="41" fontId="114" fillId="0" borderId="0" xfId="146" applyNumberFormat="1" applyFont="1" applyProtection="1">
      <protection locked="0"/>
    </xf>
    <xf numFmtId="0" fontId="114" fillId="0" borderId="0" xfId="146" applyFont="1" applyProtection="1">
      <protection locked="0"/>
    </xf>
    <xf numFmtId="41" fontId="120" fillId="0" borderId="0" xfId="146" applyNumberFormat="1" applyFont="1" applyProtection="1">
      <protection locked="0"/>
    </xf>
    <xf numFmtId="0" fontId="118" fillId="0" borderId="0" xfId="200" applyFont="1" applyProtection="1">
      <protection locked="0"/>
    </xf>
    <xf numFmtId="0" fontId="23" fillId="0" borderId="0" xfId="0" applyFont="1" applyProtection="1">
      <protection locked="0"/>
    </xf>
    <xf numFmtId="0" fontId="66" fillId="2" borderId="7" xfId="0" applyFont="1" applyFill="1" applyBorder="1" applyAlignment="1" applyProtection="1">
      <alignment horizontal="center" vertical="center" wrapText="1"/>
      <protection locked="0"/>
    </xf>
    <xf numFmtId="0" fontId="66" fillId="2" borderId="2" xfId="32" applyFont="1" applyFill="1" applyBorder="1" applyAlignment="1" applyProtection="1">
      <alignment horizontal="left" vertical="center" wrapText="1"/>
      <protection locked="0"/>
    </xf>
    <xf numFmtId="41" fontId="23" fillId="0" borderId="7" xfId="1" quotePrefix="1" applyNumberFormat="1" applyFont="1" applyFill="1" applyBorder="1" applyAlignment="1" applyProtection="1">
      <alignment horizontal="right"/>
    </xf>
    <xf numFmtId="41" fontId="23" fillId="0" borderId="0" xfId="1" quotePrefix="1" applyNumberFormat="1" applyFont="1" applyFill="1" applyBorder="1" applyAlignment="1" applyProtection="1">
      <alignment horizontal="right"/>
    </xf>
    <xf numFmtId="49" fontId="15" fillId="0" borderId="0" xfId="1" applyNumberFormat="1" applyFont="1" applyFill="1" applyBorder="1" applyAlignment="1" applyProtection="1">
      <alignment horizontal="right" wrapText="1"/>
    </xf>
    <xf numFmtId="41" fontId="123" fillId="0" borderId="0" xfId="1" applyNumberFormat="1" applyFont="1" applyFill="1" applyBorder="1" applyAlignment="1" applyProtection="1">
      <alignment horizontal="right"/>
    </xf>
    <xf numFmtId="0" fontId="128" fillId="0" borderId="0" xfId="0" applyFont="1"/>
    <xf numFmtId="0" fontId="129" fillId="0" borderId="0" xfId="0" applyFont="1"/>
    <xf numFmtId="0" fontId="130" fillId="0" borderId="0" xfId="0" applyFont="1"/>
    <xf numFmtId="0" fontId="128" fillId="0" borderId="0" xfId="0" applyFont="1" applyAlignment="1">
      <alignment horizontal="right"/>
    </xf>
    <xf numFmtId="0" fontId="128" fillId="0" borderId="0" xfId="0" applyFont="1" applyAlignment="1">
      <alignment horizontal="right" wrapText="1"/>
    </xf>
    <xf numFmtId="0" fontId="131" fillId="13" borderId="3" xfId="0" applyFont="1" applyFill="1" applyBorder="1" applyAlignment="1">
      <alignment horizontal="center" wrapText="1"/>
    </xf>
    <xf numFmtId="0" fontId="131" fillId="0" borderId="3" xfId="0" applyFont="1" applyBorder="1" applyAlignment="1">
      <alignment horizontal="center" wrapText="1"/>
    </xf>
    <xf numFmtId="0" fontId="129" fillId="13" borderId="3" xfId="0" applyFont="1" applyFill="1" applyBorder="1" applyAlignment="1">
      <alignment horizontal="center" wrapText="1"/>
    </xf>
    <xf numFmtId="41" fontId="131" fillId="0" borderId="3" xfId="0" applyNumberFormat="1" applyFont="1" applyBorder="1" applyAlignment="1">
      <alignment horizontal="center" wrapText="1"/>
    </xf>
    <xf numFmtId="0" fontId="130" fillId="13" borderId="3" xfId="0" applyFont="1" applyFill="1" applyBorder="1" applyAlignment="1">
      <alignment horizontal="center" wrapText="1"/>
    </xf>
    <xf numFmtId="0" fontId="129" fillId="0" borderId="3" xfId="0" applyFont="1" applyBorder="1"/>
    <xf numFmtId="41" fontId="132" fillId="0" borderId="0" xfId="14" applyNumberFormat="1" applyFont="1" applyAlignment="1">
      <alignment horizontal="right"/>
    </xf>
    <xf numFmtId="0" fontId="132" fillId="0" borderId="0" xfId="14" applyFont="1" applyAlignment="1">
      <alignment horizontal="right"/>
    </xf>
    <xf numFmtId="41" fontId="129" fillId="2" borderId="2" xfId="1" applyNumberFormat="1" applyFont="1" applyFill="1" applyBorder="1" applyAlignment="1" applyProtection="1">
      <alignment horizontal="right"/>
    </xf>
    <xf numFmtId="165" fontId="129" fillId="2" borderId="2" xfId="1" applyNumberFormat="1" applyFont="1" applyFill="1" applyBorder="1" applyProtection="1"/>
    <xf numFmtId="165" fontId="129" fillId="0" borderId="0" xfId="1" applyNumberFormat="1" applyFont="1" applyFill="1" applyBorder="1" applyProtection="1"/>
    <xf numFmtId="41" fontId="129" fillId="0" borderId="0" xfId="0" applyNumberFormat="1" applyFont="1"/>
    <xf numFmtId="41" fontId="129" fillId="0" borderId="0" xfId="1" applyNumberFormat="1" applyFont="1" applyFill="1" applyBorder="1" applyAlignment="1" applyProtection="1">
      <alignment horizontal="right"/>
    </xf>
    <xf numFmtId="41" fontId="129" fillId="0" borderId="3" xfId="1" applyNumberFormat="1" applyFont="1" applyFill="1" applyBorder="1" applyAlignment="1" applyProtection="1">
      <alignment horizontal="right"/>
    </xf>
    <xf numFmtId="165" fontId="129" fillId="0" borderId="0" xfId="1" applyNumberFormat="1" applyFont="1" applyFill="1" applyProtection="1"/>
    <xf numFmtId="41" fontId="129" fillId="0" borderId="5" xfId="1" applyNumberFormat="1" applyFont="1" applyFill="1" applyBorder="1" applyAlignment="1" applyProtection="1">
      <alignment horizontal="right"/>
    </xf>
    <xf numFmtId="41" fontId="132" fillId="0" borderId="0" xfId="14" quotePrefix="1" applyNumberFormat="1" applyFont="1" applyAlignment="1">
      <alignment horizontal="right"/>
    </xf>
    <xf numFmtId="0" fontId="132" fillId="0" borderId="0" xfId="14" quotePrefix="1" applyFont="1" applyAlignment="1">
      <alignment horizontal="right"/>
    </xf>
    <xf numFmtId="41" fontId="129" fillId="0" borderId="0" xfId="1" applyNumberFormat="1" applyFont="1" applyFill="1" applyProtection="1"/>
    <xf numFmtId="41" fontId="129" fillId="0" borderId="8" xfId="1" applyNumberFormat="1" applyFont="1" applyFill="1" applyBorder="1" applyAlignment="1" applyProtection="1">
      <alignment horizontal="right"/>
    </xf>
    <xf numFmtId="0" fontId="129" fillId="0" borderId="0" xfId="0" applyFont="1" applyAlignment="1">
      <alignment horizontal="right"/>
    </xf>
    <xf numFmtId="0" fontId="15" fillId="0" borderId="0" xfId="14" applyAlignment="1">
      <alignment horizontal="right"/>
    </xf>
    <xf numFmtId="0" fontId="134" fillId="0" borderId="0" xfId="0" applyFont="1"/>
    <xf numFmtId="0" fontId="135" fillId="0" borderId="0" xfId="0" applyFont="1" applyAlignment="1">
      <alignment horizontal="right"/>
    </xf>
    <xf numFmtId="0" fontId="136" fillId="0" borderId="0" xfId="0" applyFont="1" applyAlignment="1">
      <alignment horizontal="right"/>
    </xf>
    <xf numFmtId="165" fontId="135" fillId="0" borderId="0" xfId="1" applyNumberFormat="1" applyFont="1" applyFill="1" applyProtection="1"/>
    <xf numFmtId="0" fontId="135" fillId="0" borderId="0" xfId="0" applyFont="1"/>
    <xf numFmtId="0" fontId="134" fillId="0" borderId="0" xfId="0" applyFont="1" applyAlignment="1">
      <alignment horizontal="right"/>
    </xf>
    <xf numFmtId="0" fontId="137" fillId="13" borderId="3" xfId="0" applyFont="1" applyFill="1" applyBorder="1" applyAlignment="1">
      <alignment horizontal="center" wrapText="1"/>
    </xf>
    <xf numFmtId="0" fontId="137" fillId="0" borderId="0" xfId="0" applyFont="1" applyAlignment="1">
      <alignment horizontal="center" wrapText="1"/>
    </xf>
    <xf numFmtId="0" fontId="136" fillId="13" borderId="3" xfId="0" applyFont="1" applyFill="1" applyBorder="1" applyAlignment="1">
      <alignment horizontal="center" wrapText="1"/>
    </xf>
    <xf numFmtId="165" fontId="135" fillId="2" borderId="2" xfId="1" applyNumberFormat="1" applyFont="1" applyFill="1" applyBorder="1" applyProtection="1"/>
    <xf numFmtId="165" fontId="135" fillId="0" borderId="0" xfId="1" applyNumberFormat="1" applyFont="1" applyFill="1" applyBorder="1" applyProtection="1"/>
    <xf numFmtId="41" fontId="135" fillId="0" borderId="0" xfId="0" applyNumberFormat="1" applyFont="1"/>
    <xf numFmtId="0" fontId="136" fillId="0" borderId="0" xfId="0" applyFont="1"/>
    <xf numFmtId="0" fontId="134" fillId="0" borderId="0" xfId="0" applyFont="1" applyAlignment="1">
      <alignment vertical="top"/>
    </xf>
    <xf numFmtId="0" fontId="134" fillId="0" borderId="2" xfId="0" applyFont="1" applyBorder="1" applyAlignment="1">
      <alignment vertical="top"/>
    </xf>
    <xf numFmtId="0" fontId="134" fillId="0" borderId="0" xfId="0" applyFont="1" applyAlignment="1">
      <alignment vertical="top" wrapText="1"/>
    </xf>
    <xf numFmtId="41" fontId="24" fillId="0" borderId="3" xfId="1" applyNumberFormat="1" applyFont="1" applyFill="1" applyBorder="1" applyProtection="1"/>
    <xf numFmtId="41" fontId="24" fillId="0" borderId="5" xfId="1" applyNumberFormat="1" applyFont="1" applyFill="1" applyBorder="1" applyProtection="1"/>
    <xf numFmtId="165" fontId="24" fillId="0" borderId="5" xfId="1" applyNumberFormat="1" applyFont="1" applyFill="1" applyBorder="1" applyProtection="1"/>
    <xf numFmtId="165" fontId="135" fillId="0" borderId="0" xfId="0" applyNumberFormat="1" applyFont="1"/>
    <xf numFmtId="165" fontId="18" fillId="0" borderId="3" xfId="1" applyNumberFormat="1" applyFont="1" applyFill="1" applyBorder="1" applyAlignment="1" applyProtection="1"/>
    <xf numFmtId="0" fontId="18" fillId="9" borderId="0" xfId="14" quotePrefix="1" applyFont="1" applyFill="1" applyAlignment="1">
      <alignment horizontal="right"/>
    </xf>
    <xf numFmtId="0" fontId="15" fillId="9" borderId="0" xfId="14" applyFill="1" applyAlignment="1">
      <alignment horizontal="right"/>
    </xf>
    <xf numFmtId="0" fontId="18" fillId="9" borderId="0" xfId="14" applyFont="1" applyFill="1" applyAlignment="1">
      <alignment horizontal="right"/>
    </xf>
    <xf numFmtId="0" fontId="15" fillId="9" borderId="0" xfId="14" quotePrefix="1" applyFill="1" applyAlignment="1">
      <alignment horizontal="right"/>
    </xf>
    <xf numFmtId="165" fontId="15" fillId="0" borderId="3" xfId="1" applyNumberFormat="1" applyFont="1" applyFill="1" applyBorder="1" applyAlignment="1" applyProtection="1"/>
    <xf numFmtId="49" fontId="91" fillId="11" borderId="25" xfId="169" applyNumberFormat="1" applyFont="1" applyFill="1" applyBorder="1" applyAlignment="1">
      <alignment horizontal="center"/>
    </xf>
    <xf numFmtId="49" fontId="91" fillId="11" borderId="26" xfId="169" applyNumberFormat="1" applyFont="1" applyFill="1" applyBorder="1" applyAlignment="1">
      <alignment horizontal="center"/>
    </xf>
    <xf numFmtId="49" fontId="91" fillId="11" borderId="27" xfId="169" applyNumberFormat="1" applyFont="1" applyFill="1" applyBorder="1"/>
    <xf numFmtId="0" fontId="0" fillId="0" borderId="28" xfId="0" applyBorder="1" applyAlignment="1">
      <alignment horizontal="left"/>
    </xf>
    <xf numFmtId="0" fontId="0" fillId="0" borderId="0" xfId="0" quotePrefix="1"/>
    <xf numFmtId="0" fontId="0" fillId="0" borderId="29" xfId="0" applyBorder="1"/>
    <xf numFmtId="0" fontId="0" fillId="0" borderId="30" xfId="0" applyBorder="1" applyAlignment="1">
      <alignment horizontal="left"/>
    </xf>
    <xf numFmtId="0" fontId="0" fillId="0" borderId="31" xfId="0" applyBorder="1" applyAlignment="1">
      <alignment horizontal="left"/>
    </xf>
    <xf numFmtId="0" fontId="15" fillId="2" borderId="2" xfId="15" applyFill="1" applyBorder="1" applyAlignment="1" applyProtection="1">
      <alignment vertical="top" wrapText="1"/>
      <protection locked="0"/>
    </xf>
    <xf numFmtId="3" fontId="23" fillId="2" borderId="2" xfId="1" applyNumberFormat="1" applyFont="1" applyFill="1" applyBorder="1" applyAlignment="1" applyProtection="1">
      <alignment wrapText="1"/>
      <protection locked="0"/>
    </xf>
    <xf numFmtId="41" fontId="140" fillId="0" borderId="0" xfId="0" applyNumberFormat="1" applyFont="1"/>
    <xf numFmtId="0" fontId="140" fillId="0" borderId="0" xfId="0" applyFont="1"/>
    <xf numFmtId="165" fontId="141" fillId="0" borderId="0" xfId="0" applyNumberFormat="1" applyFont="1"/>
    <xf numFmtId="9" fontId="23" fillId="0" borderId="0" xfId="29" applyFont="1" applyBorder="1" applyAlignment="1" applyProtection="1">
      <alignment horizontal="left"/>
    </xf>
    <xf numFmtId="9" fontId="25" fillId="0" borderId="0" xfId="29" applyFont="1" applyFill="1" applyBorder="1" applyProtection="1"/>
    <xf numFmtId="9" fontId="23" fillId="0" borderId="0" xfId="29" applyFont="1" applyFill="1" applyBorder="1" applyProtection="1"/>
    <xf numFmtId="9" fontId="24" fillId="0" borderId="0" xfId="29" applyFont="1" applyFill="1" applyBorder="1" applyProtection="1"/>
    <xf numFmtId="9" fontId="24" fillId="0" borderId="0" xfId="29" applyFont="1" applyFill="1" applyBorder="1" applyAlignment="1" applyProtection="1">
      <alignment horizontal="left" vertical="top" wrapText="1"/>
    </xf>
    <xf numFmtId="9" fontId="0" fillId="0" borderId="0" xfId="29" applyFont="1" applyProtection="1"/>
    <xf numFmtId="9" fontId="24" fillId="0" borderId="0" xfId="29" applyFont="1" applyBorder="1" applyAlignment="1" applyProtection="1">
      <alignment horizontal="center"/>
    </xf>
    <xf numFmtId="9" fontId="23" fillId="0" borderId="0" xfId="29" applyFont="1" applyProtection="1"/>
    <xf numFmtId="9" fontId="24" fillId="0" borderId="3" xfId="29" applyFont="1" applyBorder="1" applyProtection="1"/>
    <xf numFmtId="9" fontId="24" fillId="0" borderId="0" xfId="29" applyFont="1" applyProtection="1"/>
    <xf numFmtId="9" fontId="24" fillId="0" borderId="0" xfId="29" applyFont="1" applyBorder="1" applyProtection="1"/>
    <xf numFmtId="165" fontId="23" fillId="0" borderId="0" xfId="1" applyNumberFormat="1" applyFont="1" applyBorder="1" applyAlignment="1" applyProtection="1">
      <alignment horizontal="left"/>
    </xf>
    <xf numFmtId="165" fontId="25" fillId="0" borderId="0" xfId="1" applyNumberFormat="1" applyFont="1" applyFill="1" applyBorder="1" applyProtection="1"/>
    <xf numFmtId="165" fontId="22" fillId="0" borderId="0" xfId="1" applyNumberFormat="1" applyFont="1" applyFill="1" applyBorder="1" applyAlignment="1" applyProtection="1">
      <alignment horizontal="left" wrapText="1"/>
    </xf>
    <xf numFmtId="165" fontId="24" fillId="0" borderId="0" xfId="1" applyNumberFormat="1" applyFont="1" applyFill="1" applyBorder="1" applyAlignment="1" applyProtection="1">
      <alignment horizontal="left" vertical="top" wrapText="1"/>
    </xf>
    <xf numFmtId="165" fontId="0" fillId="0" borderId="0" xfId="1" applyNumberFormat="1" applyFont="1" applyProtection="1"/>
    <xf numFmtId="165" fontId="24" fillId="0" borderId="0" xfId="1" applyNumberFormat="1" applyFont="1" applyBorder="1" applyAlignment="1" applyProtection="1">
      <alignment horizontal="center"/>
    </xf>
    <xf numFmtId="165" fontId="23" fillId="0" borderId="0" xfId="1" applyNumberFormat="1" applyFont="1" applyProtection="1"/>
    <xf numFmtId="165" fontId="24" fillId="0" borderId="3" xfId="1" applyNumberFormat="1" applyFont="1" applyBorder="1" applyProtection="1"/>
    <xf numFmtId="165" fontId="24" fillId="0" borderId="0" xfId="1" applyNumberFormat="1" applyFont="1" applyProtection="1"/>
    <xf numFmtId="165" fontId="24" fillId="0" borderId="0" xfId="1" applyNumberFormat="1" applyFont="1" applyBorder="1" applyProtection="1"/>
    <xf numFmtId="9" fontId="24" fillId="0" borderId="0" xfId="29" applyFont="1" applyFill="1" applyBorder="1" applyAlignment="1" applyProtection="1">
      <alignment horizontal="right"/>
    </xf>
    <xf numFmtId="0" fontId="23" fillId="2" borderId="2" xfId="0" applyFont="1" applyFill="1" applyBorder="1" applyAlignment="1" applyProtection="1">
      <alignment horizontal="center" vertical="center"/>
      <protection locked="0"/>
    </xf>
    <xf numFmtId="0" fontId="23" fillId="2" borderId="2" xfId="32" applyFont="1" applyFill="1" applyBorder="1" applyAlignment="1" applyProtection="1">
      <alignment horizontal="center" vertical="center"/>
      <protection locked="0"/>
    </xf>
    <xf numFmtId="0" fontId="23" fillId="2" borderId="2" xfId="12" applyFont="1" applyFill="1" applyBorder="1" applyAlignment="1" applyProtection="1">
      <alignment horizontal="left" vertical="top" wrapText="1"/>
      <protection locked="0"/>
    </xf>
    <xf numFmtId="0" fontId="0" fillId="0" borderId="14" xfId="0" quotePrefix="1" applyBorder="1" applyAlignment="1">
      <alignment horizontal="left"/>
    </xf>
    <xf numFmtId="0" fontId="23" fillId="7" borderId="2" xfId="0" applyFont="1" applyFill="1" applyBorder="1" applyAlignment="1" applyProtection="1">
      <alignment wrapText="1"/>
      <protection locked="0"/>
    </xf>
    <xf numFmtId="0" fontId="23" fillId="0" borderId="2" xfId="0" applyFont="1" applyBorder="1" applyProtection="1">
      <protection locked="0"/>
    </xf>
    <xf numFmtId="0" fontId="24" fillId="0" borderId="0" xfId="0" applyFont="1" applyAlignment="1">
      <alignment horizontal="left" vertical="top" wrapText="1"/>
    </xf>
    <xf numFmtId="0" fontId="25" fillId="0" borderId="15" xfId="0" applyFont="1" applyBorder="1"/>
    <xf numFmtId="0" fontId="23" fillId="0" borderId="13" xfId="0" applyFont="1" applyBorder="1"/>
    <xf numFmtId="0" fontId="25" fillId="0" borderId="2" xfId="0" applyFont="1" applyBorder="1"/>
    <xf numFmtId="169" fontId="23" fillId="0" borderId="0" xfId="0" applyNumberFormat="1" applyFont="1"/>
    <xf numFmtId="49" fontId="22" fillId="0" borderId="0" xfId="0" applyNumberFormat="1" applyFont="1" applyAlignment="1">
      <alignment horizontal="left" wrapText="1"/>
    </xf>
    <xf numFmtId="0" fontId="24" fillId="0" borderId="22" xfId="0" applyFont="1" applyBorder="1" applyAlignment="1">
      <alignment horizontal="left" vertical="top" wrapText="1"/>
    </xf>
    <xf numFmtId="0" fontId="24" fillId="0" borderId="14" xfId="0" applyFont="1" applyBorder="1" applyAlignment="1">
      <alignment horizontal="left" vertical="top" wrapText="1"/>
    </xf>
    <xf numFmtId="0" fontId="27" fillId="0" borderId="3" xfId="0" applyFont="1" applyBorder="1" applyAlignment="1">
      <alignment horizontal="left"/>
    </xf>
    <xf numFmtId="0" fontId="22" fillId="0" borderId="3" xfId="0" applyFont="1" applyBorder="1" applyAlignment="1">
      <alignment horizontal="center"/>
    </xf>
    <xf numFmtId="41" fontId="22" fillId="0" borderId="0" xfId="0" applyNumberFormat="1" applyFont="1" applyAlignment="1">
      <alignment horizontal="center" wrapText="1"/>
    </xf>
    <xf numFmtId="0" fontId="47" fillId="2" borderId="2" xfId="0" applyFont="1" applyFill="1" applyBorder="1" applyAlignment="1">
      <alignment horizontal="center"/>
    </xf>
    <xf numFmtId="0" fontId="37" fillId="0" borderId="2" xfId="0" applyFont="1" applyBorder="1"/>
    <xf numFmtId="0" fontId="24" fillId="2" borderId="2" xfId="0" applyFont="1" applyFill="1" applyBorder="1" applyAlignment="1">
      <alignment wrapText="1"/>
    </xf>
    <xf numFmtId="0" fontId="24" fillId="0" borderId="16" xfId="0" applyFont="1" applyBorder="1"/>
    <xf numFmtId="0" fontId="47" fillId="0" borderId="0" xfId="0" applyFont="1" applyAlignment="1">
      <alignment horizontal="center"/>
    </xf>
    <xf numFmtId="0" fontId="98" fillId="0" borderId="0" xfId="0" applyFont="1"/>
    <xf numFmtId="0" fontId="24" fillId="8" borderId="0" xfId="0" applyFont="1" applyFill="1" applyAlignment="1">
      <alignment horizontal="right"/>
    </xf>
    <xf numFmtId="0" fontId="24" fillId="0" borderId="3" xfId="0" applyFont="1" applyBorder="1" applyAlignment="1">
      <alignment horizontal="right"/>
    </xf>
    <xf numFmtId="0" fontId="26" fillId="0" borderId="0" xfId="0" applyFont="1" applyAlignment="1">
      <alignment horizontal="right"/>
    </xf>
    <xf numFmtId="0" fontId="24" fillId="2" borderId="2" xfId="0" applyFont="1" applyFill="1" applyBorder="1"/>
    <xf numFmtId="0" fontId="88" fillId="0" borderId="0" xfId="0" applyFont="1" applyAlignment="1">
      <alignment horizontal="right"/>
    </xf>
    <xf numFmtId="0" fontId="88" fillId="0" borderId="0" xfId="0" quotePrefix="1" applyFont="1" applyAlignment="1">
      <alignment horizontal="right"/>
    </xf>
    <xf numFmtId="0" fontId="47" fillId="0" borderId="0" xfId="0" applyFont="1" applyAlignment="1">
      <alignment horizontal="right"/>
    </xf>
    <xf numFmtId="41" fontId="47" fillId="0" borderId="0" xfId="0" applyNumberFormat="1" applyFont="1"/>
    <xf numFmtId="0" fontId="32" fillId="0" borderId="3" xfId="0" applyFont="1" applyBorder="1" applyAlignment="1">
      <alignment horizontal="center"/>
    </xf>
    <xf numFmtId="0" fontId="32" fillId="0" borderId="0" xfId="0" applyFont="1" applyAlignment="1">
      <alignment horizontal="center" wrapText="1"/>
    </xf>
    <xf numFmtId="41" fontId="24" fillId="0" borderId="4" xfId="0" applyNumberFormat="1" applyFont="1" applyBorder="1"/>
    <xf numFmtId="0" fontId="99" fillId="0" borderId="0" xfId="0" applyFont="1" applyAlignment="1">
      <alignment horizontal="left"/>
    </xf>
    <xf numFmtId="41" fontId="24" fillId="0" borderId="7" xfId="0" applyNumberFormat="1" applyFont="1" applyBorder="1"/>
    <xf numFmtId="41" fontId="24" fillId="7" borderId="7" xfId="0" applyNumberFormat="1" applyFont="1" applyFill="1" applyBorder="1"/>
    <xf numFmtId="41" fontId="24" fillId="0" borderId="6" xfId="0" applyNumberFormat="1" applyFont="1" applyBorder="1" applyAlignment="1">
      <alignment wrapText="1"/>
    </xf>
    <xf numFmtId="41" fontId="24" fillId="0" borderId="3" xfId="0" applyNumberFormat="1" applyFont="1" applyBorder="1"/>
    <xf numFmtId="41" fontId="22" fillId="0" borderId="3" xfId="0" applyNumberFormat="1" applyFont="1" applyBorder="1" applyAlignment="1">
      <alignment horizontal="center"/>
    </xf>
    <xf numFmtId="41" fontId="24" fillId="0" borderId="16" xfId="0" applyNumberFormat="1" applyFont="1" applyBorder="1"/>
    <xf numFmtId="41" fontId="24" fillId="0" borderId="8" xfId="0" applyNumberFormat="1" applyFont="1" applyBorder="1"/>
    <xf numFmtId="0" fontId="24" fillId="0" borderId="0" xfId="0" applyFont="1" applyAlignment="1">
      <alignment horizontal="right" wrapText="1"/>
    </xf>
    <xf numFmtId="0" fontId="27" fillId="0" borderId="0" xfId="0" applyFont="1" applyAlignment="1">
      <alignment horizontal="right"/>
    </xf>
    <xf numFmtId="0" fontId="98" fillId="0" borderId="0" xfId="0" applyFont="1" applyAlignment="1">
      <alignment horizontal="left"/>
    </xf>
    <xf numFmtId="41" fontId="24" fillId="10" borderId="2" xfId="0" applyNumberFormat="1" applyFont="1" applyFill="1" applyBorder="1"/>
    <xf numFmtId="0" fontId="32" fillId="0" borderId="18" xfId="0" applyFont="1" applyBorder="1"/>
    <xf numFmtId="0" fontId="23" fillId="0" borderId="19" xfId="0" applyFont="1" applyBorder="1"/>
    <xf numFmtId="0" fontId="24" fillId="0" borderId="9" xfId="0" applyFont="1" applyBorder="1"/>
    <xf numFmtId="0" fontId="23" fillId="0" borderId="10" xfId="0" applyFont="1" applyBorder="1"/>
    <xf numFmtId="0" fontId="24" fillId="0" borderId="11" xfId="0" applyFont="1" applyBorder="1"/>
    <xf numFmtId="41" fontId="24" fillId="9" borderId="0" xfId="0" applyNumberFormat="1" applyFont="1" applyFill="1"/>
    <xf numFmtId="0" fontId="13" fillId="0" borderId="0" xfId="0" applyFont="1" applyAlignment="1">
      <alignment horizontal="left" wrapText="1"/>
    </xf>
    <xf numFmtId="0" fontId="23" fillId="0" borderId="0" xfId="0" applyFont="1" applyAlignment="1">
      <alignment horizontal="left" wrapText="1"/>
    </xf>
    <xf numFmtId="41" fontId="23" fillId="0" borderId="0" xfId="0" applyNumberFormat="1" applyFont="1" applyAlignment="1">
      <alignment horizontal="left"/>
    </xf>
    <xf numFmtId="41" fontId="25" fillId="0" borderId="0" xfId="0" applyNumberFormat="1" applyFont="1" applyAlignment="1">
      <alignment horizontal="left"/>
    </xf>
    <xf numFmtId="0" fontId="86" fillId="0" borderId="3" xfId="0" applyFont="1" applyBorder="1" applyAlignment="1">
      <alignment horizontal="center" wrapText="1"/>
    </xf>
    <xf numFmtId="0" fontId="25" fillId="0" borderId="14" xfId="0" applyFont="1" applyBorder="1"/>
    <xf numFmtId="0" fontId="24" fillId="0" borderId="3" xfId="0" applyFont="1" applyBorder="1" applyAlignment="1">
      <alignment horizontal="left" wrapText="1"/>
    </xf>
    <xf numFmtId="41" fontId="24" fillId="0" borderId="2" xfId="0" applyNumberFormat="1" applyFont="1" applyBorder="1" applyAlignment="1">
      <alignment horizontal="center"/>
    </xf>
    <xf numFmtId="165" fontId="0" fillId="0" borderId="0" xfId="0" applyNumberFormat="1"/>
    <xf numFmtId="0" fontId="0" fillId="0" borderId="1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3" fillId="0" borderId="3" xfId="0" applyFont="1" applyBorder="1" applyAlignment="1">
      <alignment horizontal="left" wrapText="1"/>
    </xf>
    <xf numFmtId="0" fontId="13" fillId="0" borderId="16" xfId="0" applyFont="1" applyBorder="1" applyAlignment="1">
      <alignment horizontal="left" wrapText="1"/>
    </xf>
    <xf numFmtId="164" fontId="22" fillId="0" borderId="14" xfId="0" applyNumberFormat="1" applyFont="1" applyBorder="1" applyAlignment="1">
      <alignment horizontal="left"/>
    </xf>
    <xf numFmtId="0" fontId="22" fillId="0" borderId="14" xfId="0" applyFont="1" applyBorder="1"/>
    <xf numFmtId="0" fontId="22" fillId="0" borderId="14" xfId="0" applyFont="1" applyBorder="1" applyAlignment="1">
      <alignment horizontal="left"/>
    </xf>
    <xf numFmtId="0" fontId="0" fillId="0" borderId="16" xfId="0" applyBorder="1"/>
    <xf numFmtId="41" fontId="24" fillId="0" borderId="0" xfId="0" applyNumberFormat="1" applyFont="1" applyAlignment="1">
      <alignment horizontal="left" wrapText="1"/>
    </xf>
    <xf numFmtId="0" fontId="18" fillId="0" borderId="0" xfId="15" applyFont="1"/>
    <xf numFmtId="0" fontId="23" fillId="2" borderId="13" xfId="0" applyFont="1" applyFill="1" applyBorder="1"/>
    <xf numFmtId="183" fontId="23" fillId="2" borderId="13" xfId="0" applyNumberFormat="1" applyFont="1" applyFill="1" applyBorder="1"/>
    <xf numFmtId="0" fontId="51" fillId="0" borderId="13" xfId="0" applyFont="1" applyBorder="1"/>
    <xf numFmtId="169" fontId="23" fillId="2" borderId="13" xfId="0" applyNumberFormat="1" applyFont="1" applyFill="1" applyBorder="1"/>
    <xf numFmtId="38" fontId="18" fillId="0" borderId="0" xfId="15" applyNumberFormat="1" applyFont="1"/>
    <xf numFmtId="164" fontId="25" fillId="0" borderId="0" xfId="0" applyNumberFormat="1" applyFont="1" applyAlignment="1">
      <alignment horizontal="left"/>
    </xf>
    <xf numFmtId="0" fontId="19" fillId="0" borderId="3" xfId="15" applyFont="1" applyBorder="1"/>
    <xf numFmtId="38" fontId="18" fillId="0" borderId="3" xfId="15" applyNumberFormat="1" applyFont="1" applyBorder="1"/>
    <xf numFmtId="0" fontId="18" fillId="0" borderId="3" xfId="15" applyFont="1" applyBorder="1"/>
    <xf numFmtId="0" fontId="20" fillId="0" borderId="0" xfId="15" applyFont="1"/>
    <xf numFmtId="38" fontId="20" fillId="0" borderId="3" xfId="15" applyNumberFormat="1" applyFont="1" applyBorder="1" applyAlignment="1">
      <alignment horizontal="center" wrapText="1"/>
    </xf>
    <xf numFmtId="38" fontId="23" fillId="0" borderId="5" xfId="15" applyNumberFormat="1" applyFont="1" applyBorder="1" applyAlignment="1">
      <alignment horizontal="center" wrapText="1"/>
    </xf>
    <xf numFmtId="0" fontId="25" fillId="0" borderId="0" xfId="15" applyFont="1"/>
    <xf numFmtId="37" fontId="18" fillId="0" borderId="0" xfId="15" applyNumberFormat="1" applyFont="1"/>
    <xf numFmtId="0" fontId="23" fillId="0" borderId="0" xfId="15" applyFont="1" applyAlignment="1">
      <alignment wrapText="1"/>
    </xf>
    <xf numFmtId="0" fontId="18" fillId="0" borderId="0" xfId="15" applyFont="1" applyAlignment="1">
      <alignment wrapText="1"/>
    </xf>
    <xf numFmtId="0" fontId="25" fillId="0" borderId="0" xfId="15" applyFont="1" applyAlignment="1">
      <alignment horizontal="left" wrapText="1"/>
    </xf>
    <xf numFmtId="0" fontId="21" fillId="0" borderId="0" xfId="15" applyFont="1"/>
    <xf numFmtId="0" fontId="23" fillId="0" borderId="0" xfId="15" applyFont="1"/>
    <xf numFmtId="0" fontId="47" fillId="0" borderId="0" xfId="15" applyFont="1" applyAlignment="1">
      <alignment horizontal="right"/>
    </xf>
    <xf numFmtId="41" fontId="47" fillId="0" borderId="0" xfId="15" applyNumberFormat="1" applyFont="1"/>
    <xf numFmtId="41" fontId="23" fillId="0" borderId="2" xfId="15" applyNumberFormat="1" applyFont="1" applyBorder="1"/>
    <xf numFmtId="0" fontId="31" fillId="0" borderId="0" xfId="15" applyFont="1"/>
    <xf numFmtId="41" fontId="18" fillId="0" borderId="0" xfId="15" applyNumberFormat="1" applyFont="1"/>
    <xf numFmtId="41" fontId="23" fillId="0" borderId="0" xfId="15" applyNumberFormat="1" applyFont="1"/>
    <xf numFmtId="0" fontId="71" fillId="0" borderId="0" xfId="15" applyFont="1"/>
    <xf numFmtId="0" fontId="23" fillId="0" borderId="0" xfId="15" applyFont="1" applyAlignment="1">
      <alignment horizontal="center"/>
    </xf>
    <xf numFmtId="0" fontId="23" fillId="0" borderId="2" xfId="15" applyFont="1" applyBorder="1"/>
    <xf numFmtId="41" fontId="23" fillId="0" borderId="6" xfId="15" applyNumberFormat="1" applyFont="1" applyBorder="1" applyAlignment="1">
      <alignment horizontal="right"/>
    </xf>
    <xf numFmtId="38" fontId="20" fillId="0" borderId="0" xfId="15" applyNumberFormat="1" applyFont="1" applyAlignment="1">
      <alignment horizontal="left"/>
    </xf>
    <xf numFmtId="0" fontId="18" fillId="0" borderId="0" xfId="14" applyFont="1"/>
    <xf numFmtId="169" fontId="20" fillId="0" borderId="0" xfId="15" applyNumberFormat="1" applyFont="1" applyAlignment="1">
      <alignment horizontal="left"/>
    </xf>
    <xf numFmtId="0" fontId="22" fillId="0" borderId="0" xfId="0" applyFont="1" applyAlignment="1">
      <alignment horizontal="left" vertical="top"/>
    </xf>
    <xf numFmtId="0" fontId="20" fillId="0" borderId="0" xfId="14" applyFont="1" applyAlignment="1">
      <alignment horizontal="left" vertical="top"/>
    </xf>
    <xf numFmtId="0" fontId="20" fillId="0" borderId="0" xfId="14" applyFont="1" applyAlignment="1">
      <alignment horizontal="centerContinuous"/>
    </xf>
    <xf numFmtId="0" fontId="20" fillId="0" borderId="0" xfId="0" applyFont="1" applyAlignment="1">
      <alignment horizontal="left"/>
    </xf>
    <xf numFmtId="164" fontId="20" fillId="0" borderId="0" xfId="0" applyNumberFormat="1" applyFont="1" applyAlignment="1">
      <alignment horizontal="left"/>
    </xf>
    <xf numFmtId="0" fontId="18" fillId="0" borderId="0" xfId="14" applyFont="1" applyAlignment="1">
      <alignment vertical="center"/>
    </xf>
    <xf numFmtId="0" fontId="20" fillId="0" borderId="0" xfId="14" applyFont="1" applyAlignment="1">
      <alignment horizontal="centerContinuous" vertical="center"/>
    </xf>
    <xf numFmtId="164" fontId="24" fillId="0" borderId="0" xfId="0" applyNumberFormat="1" applyFont="1" applyAlignment="1">
      <alignment horizontal="left"/>
    </xf>
    <xf numFmtId="0" fontId="64" fillId="0" borderId="0" xfId="14" applyFont="1" applyAlignment="1">
      <alignment horizontal="center" vertical="center" wrapText="1"/>
    </xf>
    <xf numFmtId="0" fontId="15" fillId="0" borderId="0" xfId="14"/>
    <xf numFmtId="0" fontId="18" fillId="0" borderId="0" xfId="14" applyFont="1" applyAlignment="1">
      <alignment wrapText="1"/>
    </xf>
    <xf numFmtId="41" fontId="18" fillId="0" borderId="3" xfId="14" applyNumberFormat="1" applyFont="1" applyBorder="1" applyAlignment="1">
      <alignment horizontal="right"/>
    </xf>
    <xf numFmtId="41" fontId="64" fillId="0" borderId="0" xfId="14" applyNumberFormat="1" applyFont="1"/>
    <xf numFmtId="0" fontId="18" fillId="0" borderId="0" xfId="14" applyFont="1" applyAlignment="1">
      <alignment horizontal="left" indent="2"/>
    </xf>
    <xf numFmtId="0" fontId="15" fillId="0" borderId="0" xfId="14" applyAlignment="1">
      <alignment horizontal="left" indent="2"/>
    </xf>
    <xf numFmtId="0" fontId="18" fillId="0" borderId="0" xfId="14" quotePrefix="1" applyFont="1" applyAlignment="1">
      <alignment horizontal="left"/>
    </xf>
    <xf numFmtId="0" fontId="18" fillId="0" borderId="0" xfId="14" applyFont="1" applyAlignment="1">
      <alignment horizontal="left"/>
    </xf>
    <xf numFmtId="0" fontId="18" fillId="0" borderId="0" xfId="14" applyFont="1" applyAlignment="1">
      <alignment horizontal="left" indent="1"/>
    </xf>
    <xf numFmtId="0" fontId="15" fillId="0" borderId="0" xfId="14" applyAlignment="1">
      <alignment horizontal="left" indent="1"/>
    </xf>
    <xf numFmtId="0" fontId="15" fillId="0" borderId="0" xfId="14" applyAlignment="1">
      <alignment horizontal="left"/>
    </xf>
    <xf numFmtId="41" fontId="18" fillId="0" borderId="0" xfId="14" applyNumberFormat="1" applyFont="1"/>
    <xf numFmtId="0" fontId="18" fillId="0" borderId="3" xfId="14" applyFont="1" applyBorder="1"/>
    <xf numFmtId="41" fontId="18" fillId="0" borderId="3" xfId="14" applyNumberFormat="1" applyFont="1" applyBorder="1"/>
    <xf numFmtId="0" fontId="24" fillId="0" borderId="0" xfId="14" applyFont="1"/>
    <xf numFmtId="0" fontId="18" fillId="0" borderId="8" xfId="14" applyFont="1" applyBorder="1"/>
    <xf numFmtId="41" fontId="18" fillId="0" borderId="8" xfId="14" applyNumberFormat="1" applyFont="1" applyBorder="1"/>
    <xf numFmtId="164" fontId="20" fillId="0" borderId="0" xfId="10" applyNumberFormat="1" applyFont="1" applyAlignment="1">
      <alignment horizontal="left"/>
    </xf>
    <xf numFmtId="0" fontId="24" fillId="0" borderId="0" xfId="10" applyFont="1"/>
    <xf numFmtId="0" fontId="15" fillId="0" borderId="0" xfId="14" applyAlignment="1">
      <alignment wrapText="1"/>
    </xf>
    <xf numFmtId="0" fontId="18" fillId="0" borderId="0" xfId="14" applyFont="1" applyAlignment="1">
      <alignment vertical="top" wrapText="1"/>
    </xf>
    <xf numFmtId="0" fontId="23" fillId="0" borderId="0" xfId="17" applyFont="1" applyAlignment="1">
      <alignment vertical="top" wrapText="1"/>
    </xf>
    <xf numFmtId="0" fontId="20" fillId="0" borderId="0" xfId="14" applyFont="1"/>
    <xf numFmtId="0" fontId="23" fillId="0" borderId="3" xfId="17" applyFont="1" applyBorder="1" applyAlignment="1">
      <alignment vertical="top" wrapText="1"/>
    </xf>
    <xf numFmtId="0" fontId="18" fillId="0" borderId="9" xfId="14" applyFont="1" applyBorder="1" applyAlignment="1">
      <alignment wrapText="1"/>
    </xf>
    <xf numFmtId="0" fontId="18" fillId="0" borderId="10" xfId="0" applyFont="1" applyBorder="1"/>
    <xf numFmtId="0" fontId="18" fillId="0" borderId="9" xfId="14" applyFont="1" applyBorder="1"/>
    <xf numFmtId="0" fontId="18" fillId="0" borderId="11" xfId="14" applyFont="1" applyBorder="1"/>
    <xf numFmtId="0" fontId="15" fillId="0" borderId="0" xfId="14" applyAlignment="1">
      <alignment horizontal="center" wrapText="1"/>
    </xf>
    <xf numFmtId="41" fontId="18" fillId="2" borderId="2" xfId="1" applyNumberFormat="1" applyFont="1" applyFill="1" applyBorder="1" applyProtection="1"/>
    <xf numFmtId="0" fontId="54" fillId="0" borderId="0" xfId="14" applyFont="1"/>
    <xf numFmtId="165" fontId="15" fillId="2" borderId="2" xfId="1" applyNumberFormat="1" applyFont="1" applyFill="1" applyBorder="1" applyAlignment="1" applyProtection="1">
      <alignment horizontal="center"/>
    </xf>
    <xf numFmtId="0" fontId="19" fillId="0" borderId="0" xfId="14" applyFont="1"/>
    <xf numFmtId="0" fontId="18" fillId="0" borderId="0" xfId="14" applyFont="1" applyAlignment="1">
      <alignment horizontal="center" wrapText="1"/>
    </xf>
    <xf numFmtId="0" fontId="54" fillId="0" borderId="0" xfId="0" applyFont="1"/>
    <xf numFmtId="41" fontId="18" fillId="2" borderId="2" xfId="14" applyNumberFormat="1" applyFont="1" applyFill="1" applyBorder="1"/>
    <xf numFmtId="0" fontId="22" fillId="0" borderId="2" xfId="0" applyFont="1" applyBorder="1"/>
    <xf numFmtId="182" fontId="23" fillId="0" borderId="0" xfId="0" applyNumberFormat="1" applyFont="1" applyAlignment="1">
      <alignment horizontal="left"/>
    </xf>
    <xf numFmtId="0" fontId="43" fillId="0" borderId="0" xfId="15" applyFont="1"/>
    <xf numFmtId="0" fontId="24" fillId="0" borderId="0" xfId="15" applyFont="1" applyAlignment="1">
      <alignment horizontal="center"/>
    </xf>
    <xf numFmtId="0" fontId="24" fillId="0" borderId="0" xfId="15" applyFont="1"/>
    <xf numFmtId="38" fontId="24" fillId="0" borderId="0" xfId="15" applyNumberFormat="1" applyFont="1"/>
    <xf numFmtId="0" fontId="24" fillId="0" borderId="0" xfId="15" applyFont="1" applyAlignment="1">
      <alignment horizontal="right"/>
    </xf>
    <xf numFmtId="41" fontId="24" fillId="0" borderId="6" xfId="15" applyNumberFormat="1" applyFont="1" applyBorder="1" applyAlignment="1">
      <alignment horizontal="right"/>
    </xf>
    <xf numFmtId="0" fontId="64" fillId="0" borderId="0" xfId="15" applyFont="1" applyAlignment="1">
      <alignment horizontal="right"/>
    </xf>
    <xf numFmtId="41" fontId="64" fillId="0" borderId="0" xfId="15" applyNumberFormat="1" applyFont="1"/>
    <xf numFmtId="0" fontId="59" fillId="0" borderId="0" xfId="15" applyFont="1"/>
    <xf numFmtId="0" fontId="22" fillId="0" borderId="0" xfId="15" applyFont="1"/>
    <xf numFmtId="38" fontId="23" fillId="0" borderId="0" xfId="15" applyNumberFormat="1" applyFont="1"/>
    <xf numFmtId="183" fontId="23" fillId="0" borderId="0" xfId="0" applyNumberFormat="1" applyFont="1" applyAlignment="1">
      <alignment horizontal="left"/>
    </xf>
    <xf numFmtId="0" fontId="78" fillId="0" borderId="0" xfId="0" applyFont="1" applyAlignment="1">
      <alignment horizontal="left"/>
    </xf>
    <xf numFmtId="169" fontId="23" fillId="0" borderId="0" xfId="0" applyNumberFormat="1" applyFont="1" applyAlignment="1">
      <alignment horizontal="left"/>
    </xf>
    <xf numFmtId="0" fontId="20" fillId="0" borderId="0" xfId="14" applyFont="1" applyAlignment="1">
      <alignment horizontal="left" vertical="top" wrapText="1"/>
    </xf>
    <xf numFmtId="164" fontId="51" fillId="0" borderId="0" xfId="0" applyNumberFormat="1" applyFont="1" applyAlignment="1">
      <alignment horizontal="left"/>
    </xf>
    <xf numFmtId="0" fontId="30" fillId="0" borderId="0" xfId="0" applyFont="1" applyAlignment="1">
      <alignment horizontal="center"/>
    </xf>
    <xf numFmtId="0" fontId="62" fillId="0" borderId="0" xfId="0" applyFont="1"/>
    <xf numFmtId="0" fontId="40" fillId="3" borderId="0" xfId="0" applyFont="1" applyFill="1"/>
    <xf numFmtId="0" fontId="23" fillId="3" borderId="0" xfId="0" applyFont="1" applyFill="1"/>
    <xf numFmtId="0" fontId="40" fillId="0" borderId="0" xfId="0" applyFont="1"/>
    <xf numFmtId="0" fontId="107" fillId="0" borderId="0" xfId="0" applyFont="1"/>
    <xf numFmtId="164" fontId="25" fillId="0" borderId="0" xfId="10" applyNumberFormat="1" applyFont="1" applyAlignment="1">
      <alignment horizontal="left" vertical="top"/>
    </xf>
    <xf numFmtId="0" fontId="20" fillId="0" borderId="0" xfId="10" applyFont="1"/>
    <xf numFmtId="0" fontId="23" fillId="0" borderId="0" xfId="10" applyFont="1" applyAlignment="1">
      <alignment horizontal="center" wrapText="1"/>
    </xf>
    <xf numFmtId="0" fontId="13" fillId="0" borderId="0" xfId="10"/>
    <xf numFmtId="0" fontId="23" fillId="0" borderId="0" xfId="14" applyFont="1"/>
    <xf numFmtId="0" fontId="18" fillId="0" borderId="0" xfId="0" applyFont="1" applyAlignment="1">
      <alignment vertical="top" wrapText="1"/>
    </xf>
    <xf numFmtId="0" fontId="20" fillId="0" borderId="3" xfId="0" applyFont="1" applyBorder="1"/>
    <xf numFmtId="0" fontId="123" fillId="0" borderId="0" xfId="0" applyFont="1"/>
    <xf numFmtId="0" fontId="23" fillId="0" borderId="0" xfId="0" quotePrefix="1" applyFont="1" applyAlignment="1">
      <alignment horizontal="right"/>
    </xf>
    <xf numFmtId="0" fontId="64" fillId="0" borderId="0" xfId="0" applyFont="1" applyAlignment="1">
      <alignment horizontal="right"/>
    </xf>
    <xf numFmtId="0" fontId="18" fillId="0" borderId="0" xfId="0" applyFont="1" applyAlignment="1">
      <alignment horizontal="right"/>
    </xf>
    <xf numFmtId="0" fontId="31" fillId="0" borderId="0" xfId="0" applyFont="1"/>
    <xf numFmtId="0" fontId="60" fillId="0" borderId="0" xfId="0" applyFont="1"/>
    <xf numFmtId="0" fontId="61" fillId="0" borderId="0" xfId="0" applyFont="1"/>
    <xf numFmtId="0" fontId="50" fillId="0" borderId="2" xfId="0" applyFont="1" applyBorder="1"/>
    <xf numFmtId="0" fontId="50" fillId="0" borderId="2" xfId="0" applyFont="1" applyBorder="1" applyAlignment="1">
      <alignment wrapText="1"/>
    </xf>
    <xf numFmtId="41" fontId="50" fillId="0" borderId="2" xfId="0" applyNumberFormat="1" applyFont="1" applyBorder="1"/>
    <xf numFmtId="0" fontId="62" fillId="0" borderId="2" xfId="0" applyFont="1" applyBorder="1" applyAlignment="1">
      <alignment horizontal="center" vertical="center"/>
    </xf>
    <xf numFmtId="0" fontId="63" fillId="0" borderId="0" xfId="0" applyFont="1"/>
    <xf numFmtId="0" fontId="50" fillId="0" borderId="0" xfId="0" applyFont="1" applyAlignment="1">
      <alignment horizontal="left" vertical="top" wrapText="1"/>
    </xf>
    <xf numFmtId="0" fontId="23" fillId="0" borderId="0" xfId="32" quotePrefix="1" applyFont="1" applyAlignment="1">
      <alignment horizontal="right"/>
    </xf>
    <xf numFmtId="41" fontId="23" fillId="0" borderId="0" xfId="0" applyNumberFormat="1" applyFont="1" applyAlignment="1">
      <alignment wrapText="1"/>
    </xf>
    <xf numFmtId="0" fontId="18" fillId="0" borderId="3" xfId="0" applyFont="1" applyBorder="1"/>
    <xf numFmtId="0" fontId="20" fillId="0" borderId="16" xfId="0" applyFont="1" applyBorder="1"/>
    <xf numFmtId="0" fontId="23" fillId="0" borderId="16" xfId="0" applyFont="1" applyBorder="1"/>
    <xf numFmtId="41" fontId="123" fillId="0" borderId="0" xfId="0" applyNumberFormat="1" applyFont="1" applyAlignment="1">
      <alignment wrapText="1"/>
    </xf>
    <xf numFmtId="41" fontId="23" fillId="0" borderId="3" xfId="0" applyNumberFormat="1" applyFont="1" applyBorder="1" applyAlignment="1">
      <alignment horizontal="center"/>
    </xf>
    <xf numFmtId="0" fontId="23" fillId="0" borderId="3" xfId="0" applyFont="1" applyBorder="1" applyAlignment="1">
      <alignment horizontal="center"/>
    </xf>
    <xf numFmtId="0" fontId="19" fillId="0" borderId="0" xfId="0" applyFont="1" applyAlignment="1">
      <alignment horizontal="center"/>
    </xf>
    <xf numFmtId="41" fontId="18" fillId="0" borderId="0" xfId="0" applyNumberFormat="1" applyFont="1" applyAlignment="1">
      <alignment horizontal="centerContinuous"/>
    </xf>
    <xf numFmtId="0" fontId="23" fillId="0" borderId="0" xfId="32" applyFont="1" applyAlignment="1">
      <alignment horizontal="right"/>
    </xf>
    <xf numFmtId="0" fontId="23" fillId="0" borderId="2" xfId="0" applyFont="1" applyBorder="1" applyAlignment="1">
      <alignment horizontal="right"/>
    </xf>
    <xf numFmtId="0" fontId="23" fillId="0" borderId="2" xfId="0" applyFont="1" applyBorder="1" applyAlignment="1">
      <alignment horizontal="right" wrapText="1"/>
    </xf>
    <xf numFmtId="0" fontId="23" fillId="0" borderId="15" xfId="0" applyFont="1" applyBorder="1" applyAlignment="1">
      <alignment horizontal="right" wrapText="1"/>
    </xf>
    <xf numFmtId="41" fontId="23" fillId="0" borderId="5" xfId="0" applyNumberFormat="1" applyFont="1" applyBorder="1"/>
    <xf numFmtId="41" fontId="23" fillId="0" borderId="7" xfId="0" applyNumberFormat="1" applyFont="1" applyBorder="1"/>
    <xf numFmtId="41" fontId="23" fillId="0" borderId="16" xfId="0" applyNumberFormat="1" applyFont="1" applyBorder="1"/>
    <xf numFmtId="41" fontId="23" fillId="0" borderId="8" xfId="0" applyNumberFormat="1" applyFont="1" applyBorder="1"/>
    <xf numFmtId="0" fontId="23" fillId="0" borderId="15" xfId="0" applyFont="1" applyBorder="1"/>
    <xf numFmtId="0" fontId="23" fillId="0" borderId="18" xfId="32" applyFont="1" applyBorder="1"/>
    <xf numFmtId="0" fontId="23" fillId="0" borderId="16" xfId="32" applyFont="1" applyBorder="1"/>
    <xf numFmtId="0" fontId="66" fillId="2" borderId="2" xfId="32" applyFont="1" applyFill="1" applyBorder="1" applyAlignment="1">
      <alignment horizontal="center" vertical="center"/>
    </xf>
    <xf numFmtId="10" fontId="23" fillId="0" borderId="0" xfId="32" applyNumberFormat="1" applyFont="1" applyAlignment="1">
      <alignment horizontal="left"/>
    </xf>
    <xf numFmtId="0" fontId="13" fillId="0" borderId="0" xfId="32"/>
    <xf numFmtId="0" fontId="20" fillId="0" borderId="0" xfId="14" applyFont="1" applyAlignment="1">
      <alignment vertical="center"/>
    </xf>
    <xf numFmtId="0" fontId="66" fillId="0" borderId="2" xfId="0" applyFont="1" applyBorder="1" applyAlignment="1">
      <alignment horizontal="center" vertical="center"/>
    </xf>
    <xf numFmtId="0" fontId="23" fillId="0" borderId="0" xfId="0" applyFont="1" applyAlignment="1">
      <alignment horizontal="right" vertical="center" wrapText="1"/>
    </xf>
    <xf numFmtId="38" fontId="15" fillId="0" borderId="0" xfId="32" applyNumberFormat="1" applyFont="1" applyAlignment="1">
      <alignment horizontal="right"/>
    </xf>
    <xf numFmtId="0" fontId="66" fillId="0" borderId="2" xfId="0" applyFont="1" applyBorder="1"/>
    <xf numFmtId="38" fontId="42" fillId="0" borderId="2" xfId="15" applyNumberFormat="1" applyFont="1" applyBorder="1" applyAlignment="1">
      <alignment horizontal="left"/>
    </xf>
    <xf numFmtId="38" fontId="42" fillId="0" borderId="0" xfId="15" applyNumberFormat="1" applyFont="1" applyAlignment="1">
      <alignment horizontal="left"/>
    </xf>
    <xf numFmtId="0" fontId="66" fillId="0" borderId="0" xfId="0" applyFont="1" applyAlignment="1">
      <alignment horizontal="left"/>
    </xf>
    <xf numFmtId="0" fontId="42" fillId="0" borderId="0" xfId="0" applyFont="1"/>
    <xf numFmtId="167" fontId="42" fillId="0" borderId="0" xfId="15" applyNumberFormat="1" applyFont="1" applyAlignment="1">
      <alignment horizontal="left"/>
    </xf>
    <xf numFmtId="167" fontId="66" fillId="0" borderId="0" xfId="0" applyNumberFormat="1" applyFont="1" applyAlignment="1">
      <alignment horizontal="left"/>
    </xf>
    <xf numFmtId="0" fontId="42" fillId="0" borderId="0" xfId="0" applyFont="1" applyAlignment="1">
      <alignment horizontal="left" vertical="top"/>
    </xf>
    <xf numFmtId="0" fontId="42" fillId="0" borderId="0" xfId="14" applyFont="1" applyAlignment="1">
      <alignment horizontal="left" vertical="top" wrapText="1"/>
    </xf>
    <xf numFmtId="0" fontId="66" fillId="0" borderId="0" xfId="0" applyFont="1" applyAlignment="1">
      <alignment horizontal="left" vertical="top" wrapText="1"/>
    </xf>
    <xf numFmtId="0" fontId="66" fillId="0" borderId="0" xfId="14" applyFont="1"/>
    <xf numFmtId="164" fontId="42" fillId="0" borderId="0" xfId="0" applyNumberFormat="1" applyFont="1" applyAlignment="1">
      <alignment horizontal="left"/>
    </xf>
    <xf numFmtId="0" fontId="66" fillId="0" borderId="0" xfId="14" applyFont="1" applyAlignment="1">
      <alignment vertical="center"/>
    </xf>
    <xf numFmtId="0" fontId="66" fillId="0" borderId="0" xfId="0" applyFont="1" applyAlignment="1">
      <alignment vertical="top"/>
    </xf>
    <xf numFmtId="0" fontId="66" fillId="0" borderId="0" xfId="0" applyFont="1" applyAlignment="1">
      <alignment vertical="top" wrapText="1"/>
    </xf>
    <xf numFmtId="0" fontId="66" fillId="0" borderId="2" xfId="0" applyFont="1" applyBorder="1" applyAlignment="1">
      <alignment wrapText="1"/>
    </xf>
    <xf numFmtId="42" fontId="42" fillId="0" borderId="15" xfId="0" applyNumberFormat="1" applyFont="1" applyBorder="1" applyAlignment="1">
      <alignment horizontal="left" vertical="center" wrapText="1"/>
    </xf>
    <xf numFmtId="42" fontId="42" fillId="0" borderId="2" xfId="0" applyNumberFormat="1" applyFont="1" applyBorder="1" applyAlignment="1">
      <alignment horizontal="left" vertical="center" wrapText="1"/>
    </xf>
    <xf numFmtId="0" fontId="42" fillId="0" borderId="2" xfId="0" applyFont="1" applyBorder="1" applyAlignment="1">
      <alignment horizontal="left" vertical="center" wrapText="1"/>
    </xf>
    <xf numFmtId="0" fontId="67" fillId="0" borderId="0" xfId="0" applyFont="1"/>
    <xf numFmtId="0" fontId="42" fillId="0" borderId="0" xfId="0" applyFont="1" applyAlignment="1">
      <alignment horizontal="center" vertical="top" wrapText="1"/>
    </xf>
    <xf numFmtId="0" fontId="42" fillId="0" borderId="0" xfId="0" applyFont="1" applyAlignment="1">
      <alignment vertical="top" wrapText="1"/>
    </xf>
    <xf numFmtId="0" fontId="70" fillId="0" borderId="0" xfId="0" applyFont="1"/>
    <xf numFmtId="0" fontId="66" fillId="2" borderId="2" xfId="0" applyFont="1" applyFill="1" applyBorder="1" applyAlignment="1">
      <alignment horizontal="center" vertical="center" wrapText="1"/>
    </xf>
    <xf numFmtId="0" fontId="66" fillId="0" borderId="4" xfId="0" applyFont="1" applyBorder="1" applyAlignment="1">
      <alignment vertical="top" wrapText="1"/>
    </xf>
    <xf numFmtId="0" fontId="66" fillId="0" borderId="0" xfId="0" applyFont="1" applyAlignment="1">
      <alignment horizontal="center" vertical="top"/>
    </xf>
    <xf numFmtId="0" fontId="66" fillId="0" borderId="2" xfId="0" applyFont="1" applyBorder="1" applyAlignment="1">
      <alignment vertical="top" wrapText="1"/>
    </xf>
    <xf numFmtId="0" fontId="70" fillId="0" borderId="2" xfId="0" applyFont="1" applyBorder="1" applyAlignment="1">
      <alignment vertical="top" wrapText="1"/>
    </xf>
    <xf numFmtId="0" fontId="66" fillId="0" borderId="2" xfId="0" applyFont="1" applyBorder="1" applyAlignment="1">
      <alignment horizontal="center" vertical="top" wrapText="1"/>
    </xf>
    <xf numFmtId="0" fontId="66" fillId="0" borderId="2" xfId="0" applyFont="1" applyBorder="1" applyAlignment="1">
      <alignment horizontal="center" vertical="center" wrapText="1"/>
    </xf>
    <xf numFmtId="0" fontId="66" fillId="0" borderId="2" xfId="0" applyFont="1" applyBorder="1" applyAlignment="1">
      <alignment horizontal="left" wrapText="1"/>
    </xf>
    <xf numFmtId="0" fontId="66" fillId="0" borderId="0" xfId="0" applyFont="1" applyAlignment="1">
      <alignment horizontal="center" vertical="center"/>
    </xf>
    <xf numFmtId="0" fontId="66" fillId="0" borderId="2" xfId="12" applyFont="1" applyBorder="1" applyAlignment="1">
      <alignment vertical="top" wrapText="1"/>
    </xf>
    <xf numFmtId="0" fontId="66" fillId="0" borderId="15" xfId="0" applyFont="1" applyBorder="1"/>
    <xf numFmtId="0" fontId="66" fillId="0" borderId="13" xfId="0" applyFont="1" applyBorder="1" applyAlignment="1">
      <alignment horizontal="right" vertical="top"/>
    </xf>
    <xf numFmtId="0" fontId="66" fillId="0" borderId="7" xfId="0" applyFont="1" applyBorder="1" applyAlignment="1">
      <alignment horizontal="right" vertical="top"/>
    </xf>
    <xf numFmtId="0" fontId="66" fillId="0" borderId="2" xfId="0" applyFont="1" applyBorder="1" applyAlignment="1">
      <alignment horizontal="right" vertical="top"/>
    </xf>
    <xf numFmtId="0" fontId="66" fillId="10" borderId="16" xfId="0" applyFont="1" applyFill="1" applyBorder="1" applyAlignment="1">
      <alignment vertical="top" wrapText="1"/>
    </xf>
    <xf numFmtId="0" fontId="23" fillId="0" borderId="2" xfId="0" applyFont="1" applyBorder="1" applyAlignment="1">
      <alignment horizontal="left" vertical="center" wrapText="1"/>
    </xf>
    <xf numFmtId="0" fontId="23" fillId="2" borderId="2" xfId="0" applyFont="1" applyFill="1" applyBorder="1" applyAlignment="1">
      <alignment horizontal="center" vertical="center" wrapText="1"/>
    </xf>
    <xf numFmtId="0" fontId="66" fillId="10" borderId="0" xfId="0" applyFont="1" applyFill="1" applyAlignment="1">
      <alignment vertical="top" wrapText="1"/>
    </xf>
    <xf numFmtId="41" fontId="66" fillId="0" borderId="2" xfId="0" applyNumberFormat="1" applyFont="1" applyBorder="1" applyAlignment="1">
      <alignment horizontal="center"/>
    </xf>
    <xf numFmtId="41" fontId="66" fillId="0" borderId="0" xfId="0" applyNumberFormat="1" applyFont="1" applyAlignment="1">
      <alignment horizontal="center"/>
    </xf>
    <xf numFmtId="0" fontId="66" fillId="0" borderId="2" xfId="0" applyFont="1" applyBorder="1" applyAlignment="1">
      <alignment horizontal="center" wrapText="1"/>
    </xf>
    <xf numFmtId="0" fontId="66" fillId="0" borderId="0" xfId="0" applyFont="1" applyAlignment="1">
      <alignment horizontal="right" wrapText="1"/>
    </xf>
    <xf numFmtId="41" fontId="66" fillId="10" borderId="2" xfId="0" applyNumberFormat="1" applyFont="1" applyFill="1" applyBorder="1" applyAlignment="1">
      <alignment horizontal="right" wrapText="1"/>
    </xf>
    <xf numFmtId="0" fontId="66" fillId="0" borderId="0" xfId="0" applyFont="1" applyAlignment="1">
      <alignment horizontal="right"/>
    </xf>
    <xf numFmtId="0" fontId="69" fillId="0" borderId="0" xfId="0" applyFont="1" applyAlignment="1">
      <alignment horizontal="right"/>
    </xf>
    <xf numFmtId="41" fontId="69" fillId="0" borderId="0" xfId="0" applyNumberFormat="1" applyFont="1" applyAlignment="1">
      <alignment vertical="top"/>
    </xf>
    <xf numFmtId="0" fontId="42" fillId="0" borderId="2" xfId="16" applyFont="1" applyBorder="1" applyAlignment="1">
      <alignment vertical="top" wrapText="1"/>
    </xf>
    <xf numFmtId="0" fontId="101" fillId="0" borderId="0" xfId="0" applyFont="1"/>
    <xf numFmtId="0" fontId="101" fillId="0" borderId="9" xfId="12" applyFont="1" applyBorder="1" applyAlignment="1">
      <alignment vertical="top" wrapText="1"/>
    </xf>
    <xf numFmtId="0" fontId="101" fillId="0" borderId="0" xfId="16" applyFont="1" applyAlignment="1">
      <alignment vertical="top" wrapText="1"/>
    </xf>
    <xf numFmtId="0" fontId="101" fillId="2" borderId="2" xfId="0" applyFont="1" applyFill="1" applyBorder="1" applyAlignment="1">
      <alignment vertical="top" wrapText="1"/>
    </xf>
    <xf numFmtId="0" fontId="66" fillId="0" borderId="9" xfId="12" applyFont="1" applyBorder="1" applyAlignment="1">
      <alignment vertical="top" wrapText="1"/>
    </xf>
    <xf numFmtId="0" fontId="66" fillId="0" borderId="0" xfId="16" applyFont="1" applyAlignment="1">
      <alignment vertical="top" wrapText="1"/>
    </xf>
    <xf numFmtId="0" fontId="66" fillId="0" borderId="4" xfId="16" applyFont="1" applyBorder="1" applyAlignment="1">
      <alignment vertical="top" wrapText="1"/>
    </xf>
    <xf numFmtId="0" fontId="66" fillId="0" borderId="17" xfId="16" applyFont="1" applyBorder="1" applyAlignment="1">
      <alignment vertical="top" wrapText="1"/>
    </xf>
    <xf numFmtId="0" fontId="66" fillId="0" borderId="7" xfId="16" applyFont="1" applyBorder="1" applyAlignment="1">
      <alignment vertical="top" wrapText="1"/>
    </xf>
    <xf numFmtId="0" fontId="101" fillId="2" borderId="2" xfId="0" applyFont="1" applyFill="1" applyBorder="1" applyAlignment="1">
      <alignment horizontal="center" vertical="center" wrapText="1"/>
    </xf>
    <xf numFmtId="0" fontId="101" fillId="0" borderId="2" xfId="0" applyFont="1" applyBorder="1" applyAlignment="1">
      <alignment horizontal="center" vertical="top"/>
    </xf>
    <xf numFmtId="0" fontId="102" fillId="0" borderId="7" xfId="16" applyFont="1" applyBorder="1" applyAlignment="1">
      <alignment vertical="top" wrapText="1"/>
    </xf>
    <xf numFmtId="0" fontId="102" fillId="0" borderId="2" xfId="16" applyFont="1" applyBorder="1" applyAlignment="1">
      <alignment vertical="top" wrapText="1"/>
    </xf>
    <xf numFmtId="0" fontId="101" fillId="0" borderId="11" xfId="12" applyFont="1" applyBorder="1" applyAlignment="1">
      <alignment vertical="top" wrapText="1"/>
    </xf>
    <xf numFmtId="0" fontId="101" fillId="0" borderId="3" xfId="16" applyFont="1" applyBorder="1" applyAlignment="1">
      <alignment vertical="top" wrapText="1"/>
    </xf>
    <xf numFmtId="0" fontId="101" fillId="0" borderId="18" xfId="12" applyFont="1" applyBorder="1" applyAlignment="1">
      <alignment vertical="top" wrapText="1"/>
    </xf>
    <xf numFmtId="0" fontId="101" fillId="0" borderId="19" xfId="16" applyFont="1" applyBorder="1" applyAlignment="1">
      <alignment vertical="top" wrapText="1"/>
    </xf>
    <xf numFmtId="0" fontId="102" fillId="0" borderId="13" xfId="16" applyFont="1" applyBorder="1" applyAlignment="1">
      <alignment vertical="top" wrapText="1"/>
    </xf>
    <xf numFmtId="0" fontId="101" fillId="0" borderId="2" xfId="16" applyFont="1" applyBorder="1" applyAlignment="1">
      <alignment horizontal="center" vertical="top" wrapText="1"/>
    </xf>
    <xf numFmtId="0" fontId="101" fillId="2" borderId="2" xfId="16" applyFont="1" applyFill="1" applyBorder="1" applyAlignment="1">
      <alignment vertical="top" wrapText="1"/>
    </xf>
    <xf numFmtId="41" fontId="101" fillId="2" borderId="2" xfId="16" applyNumberFormat="1" applyFont="1" applyFill="1" applyBorder="1" applyAlignment="1">
      <alignment vertical="top" wrapText="1"/>
    </xf>
    <xf numFmtId="41" fontId="101" fillId="0" borderId="2" xfId="16" applyNumberFormat="1" applyFont="1" applyBorder="1" applyAlignment="1">
      <alignment vertical="top" wrapText="1"/>
    </xf>
    <xf numFmtId="0" fontId="66" fillId="0" borderId="2" xfId="16" applyFont="1" applyBorder="1" applyAlignment="1">
      <alignment vertical="top" wrapText="1"/>
    </xf>
    <xf numFmtId="0" fontId="66" fillId="0" borderId="11" xfId="12" applyFont="1" applyBorder="1" applyAlignment="1">
      <alignment vertical="top" wrapText="1"/>
    </xf>
    <xf numFmtId="0" fontId="66" fillId="0" borderId="3" xfId="16" applyFont="1" applyBorder="1" applyAlignment="1">
      <alignment vertical="top" wrapText="1"/>
    </xf>
    <xf numFmtId="0" fontId="66" fillId="0" borderId="4" xfId="0" applyFont="1" applyBorder="1" applyAlignment="1">
      <alignment horizontal="center" vertical="center"/>
    </xf>
    <xf numFmtId="0" fontId="66" fillId="0" borderId="13" xfId="0" applyFont="1" applyBorder="1" applyAlignment="1">
      <alignment horizontal="center" vertical="center"/>
    </xf>
    <xf numFmtId="0" fontId="42" fillId="0" borderId="0" xfId="32" applyFont="1"/>
    <xf numFmtId="0" fontId="66" fillId="0" borderId="0" xfId="32" applyFont="1"/>
    <xf numFmtId="0" fontId="42" fillId="0" borderId="11" xfId="32" applyFont="1" applyBorder="1" applyAlignment="1">
      <alignment horizontal="left" wrapText="1"/>
    </xf>
    <xf numFmtId="0" fontId="42" fillId="0" borderId="3" xfId="32" applyFont="1" applyBorder="1" applyAlignment="1">
      <alignment horizontal="left" wrapText="1"/>
    </xf>
    <xf numFmtId="0" fontId="42" fillId="0" borderId="12" xfId="32" applyFont="1" applyBorder="1" applyAlignment="1">
      <alignment horizontal="left" wrapText="1"/>
    </xf>
    <xf numFmtId="0" fontId="66" fillId="0" borderId="2" xfId="32" applyFont="1" applyBorder="1" applyAlignment="1">
      <alignment horizontal="center" vertical="center"/>
    </xf>
    <xf numFmtId="0" fontId="66" fillId="0" borderId="2" xfId="32" applyFont="1" applyBorder="1" applyAlignment="1">
      <alignment vertical="top" wrapText="1"/>
    </xf>
    <xf numFmtId="0" fontId="101" fillId="2" borderId="2" xfId="32" applyFont="1" applyFill="1" applyBorder="1" applyAlignment="1">
      <alignment horizontal="left" vertical="center" wrapText="1"/>
    </xf>
    <xf numFmtId="0" fontId="66" fillId="2" borderId="2" xfId="32" applyFont="1" applyFill="1" applyBorder="1" applyAlignment="1">
      <alignment horizontal="center" vertical="center" wrapText="1"/>
    </xf>
    <xf numFmtId="0" fontId="66" fillId="0" borderId="2" xfId="32" quotePrefix="1" applyFont="1" applyBorder="1" applyAlignment="1">
      <alignment vertical="top" wrapText="1"/>
    </xf>
    <xf numFmtId="0" fontId="13" fillId="7" borderId="2" xfId="0" applyFont="1" applyFill="1" applyBorder="1" applyAlignment="1">
      <alignment wrapText="1"/>
    </xf>
    <xf numFmtId="0" fontId="66" fillId="0" borderId="4" xfId="32" applyFont="1" applyBorder="1" applyAlignment="1">
      <alignment vertical="top" wrapText="1"/>
    </xf>
    <xf numFmtId="0" fontId="66" fillId="0" borderId="13" xfId="12" applyFont="1" applyBorder="1" applyAlignment="1">
      <alignment vertical="top" wrapText="1"/>
    </xf>
    <xf numFmtId="0" fontId="66" fillId="0" borderId="13" xfId="32" applyFont="1" applyBorder="1" applyAlignment="1">
      <alignment vertical="top" wrapText="1"/>
    </xf>
    <xf numFmtId="0" fontId="66" fillId="0" borderId="2" xfId="12" applyFont="1" applyBorder="1" applyAlignment="1">
      <alignment horizontal="left" vertical="top" wrapText="1"/>
    </xf>
    <xf numFmtId="0" fontId="66" fillId="2" borderId="4" xfId="16" applyFont="1" applyFill="1" applyBorder="1" applyAlignment="1">
      <alignment vertical="top" wrapText="1"/>
    </xf>
    <xf numFmtId="3" fontId="66" fillId="2" borderId="2" xfId="16" applyNumberFormat="1" applyFont="1" applyFill="1" applyBorder="1" applyAlignment="1">
      <alignment vertical="top" wrapText="1"/>
    </xf>
    <xf numFmtId="0" fontId="66" fillId="2" borderId="2" xfId="12" applyFont="1" applyFill="1" applyBorder="1" applyAlignment="1">
      <alignment horizontal="left" wrapText="1"/>
    </xf>
    <xf numFmtId="0" fontId="101" fillId="2" borderId="2" xfId="32" applyFont="1" applyFill="1" applyBorder="1" applyAlignment="1">
      <alignment horizontal="center" vertical="center" wrapText="1"/>
    </xf>
    <xf numFmtId="0" fontId="101" fillId="0" borderId="2" xfId="32" applyFont="1" applyBorder="1" applyAlignment="1">
      <alignment horizontal="center" vertical="center"/>
    </xf>
    <xf numFmtId="0" fontId="101" fillId="0" borderId="7" xfId="32" applyFont="1" applyBorder="1" applyAlignment="1">
      <alignment vertical="top" wrapText="1"/>
    </xf>
    <xf numFmtId="0" fontId="106" fillId="0" borderId="0" xfId="0" applyFont="1"/>
    <xf numFmtId="0" fontId="101" fillId="0" borderId="2" xfId="0" applyFont="1" applyBorder="1" applyAlignment="1">
      <alignment vertical="top" wrapText="1"/>
    </xf>
    <xf numFmtId="0" fontId="101" fillId="0" borderId="0" xfId="0" applyFont="1" applyAlignment="1">
      <alignment wrapText="1"/>
    </xf>
    <xf numFmtId="0" fontId="101" fillId="0" borderId="0" xfId="0" applyFont="1" applyAlignment="1">
      <alignment horizontal="center" vertical="top"/>
    </xf>
    <xf numFmtId="0" fontId="101" fillId="0" borderId="0" xfId="0" applyFont="1" applyAlignment="1">
      <alignment vertical="top"/>
    </xf>
    <xf numFmtId="0" fontId="101" fillId="0" borderId="0" xfId="0" applyFont="1" applyAlignment="1">
      <alignment vertical="top" wrapText="1"/>
    </xf>
    <xf numFmtId="0" fontId="70" fillId="0" borderId="0" xfId="32" applyFont="1"/>
    <xf numFmtId="0" fontId="84" fillId="0" borderId="0" xfId="32" applyFont="1"/>
    <xf numFmtId="0" fontId="66" fillId="0" borderId="2" xfId="12" applyFont="1" applyBorder="1" applyAlignment="1">
      <alignment horizontal="center" vertical="center" wrapText="1"/>
    </xf>
    <xf numFmtId="0" fontId="66" fillId="0" borderId="2" xfId="12" applyFont="1" applyBorder="1" applyAlignment="1">
      <alignment horizontal="center" vertical="top" wrapText="1"/>
    </xf>
    <xf numFmtId="41" fontId="66" fillId="0" borderId="18" xfId="12" applyNumberFormat="1" applyFont="1" applyBorder="1" applyAlignment="1">
      <alignment vertical="top" wrapText="1"/>
    </xf>
    <xf numFmtId="0" fontId="67" fillId="0" borderId="7" xfId="12" applyFont="1" applyBorder="1" applyAlignment="1">
      <alignment vertical="top" wrapText="1"/>
    </xf>
    <xf numFmtId="0" fontId="66" fillId="0" borderId="2" xfId="12" applyFont="1" applyBorder="1" applyAlignment="1">
      <alignment horizontal="center" wrapText="1"/>
    </xf>
    <xf numFmtId="0" fontId="66" fillId="0" borderId="4" xfId="12" applyFont="1" applyBorder="1" applyAlignment="1">
      <alignment vertical="top" wrapText="1"/>
    </xf>
    <xf numFmtId="0" fontId="23" fillId="0" borderId="4" xfId="12" applyFont="1" applyBorder="1" applyAlignment="1">
      <alignment vertical="top" wrapText="1"/>
    </xf>
    <xf numFmtId="0" fontId="66" fillId="0" borderId="2" xfId="32" applyFont="1" applyBorder="1" applyAlignment="1">
      <alignment horizontal="center" vertical="top" wrapText="1"/>
    </xf>
    <xf numFmtId="41" fontId="66" fillId="0" borderId="4" xfId="12" applyNumberFormat="1" applyFont="1" applyBorder="1" applyAlignment="1">
      <alignment horizontal="center" wrapText="1"/>
    </xf>
    <xf numFmtId="41" fontId="69" fillId="0" borderId="16" xfId="0" applyNumberFormat="1" applyFont="1" applyBorder="1" applyAlignment="1">
      <alignment vertical="top"/>
    </xf>
    <xf numFmtId="0" fontId="66" fillId="0" borderId="16" xfId="12" applyFont="1" applyBorder="1" applyAlignment="1">
      <alignment vertical="top" wrapText="1"/>
    </xf>
    <xf numFmtId="0" fontId="66" fillId="0" borderId="0" xfId="32" applyFont="1" applyAlignment="1">
      <alignment horizontal="center" vertical="top" wrapText="1"/>
    </xf>
    <xf numFmtId="41" fontId="66" fillId="0" borderId="0" xfId="12" applyNumberFormat="1" applyFont="1" applyAlignment="1">
      <alignment horizontal="center" wrapText="1"/>
    </xf>
    <xf numFmtId="0" fontId="66" fillId="0" borderId="0" xfId="12" applyFont="1" applyAlignment="1">
      <alignment vertical="top" wrapText="1"/>
    </xf>
    <xf numFmtId="0" fontId="66" fillId="0" borderId="13" xfId="12" applyFont="1" applyBorder="1" applyAlignment="1">
      <alignment horizontal="center" vertical="center" wrapText="1"/>
    </xf>
    <xf numFmtId="0" fontId="66" fillId="0" borderId="7" xfId="12" applyFont="1" applyBorder="1" applyAlignment="1">
      <alignment horizontal="center" vertical="top" wrapText="1"/>
    </xf>
    <xf numFmtId="0" fontId="66" fillId="0" borderId="10" xfId="0" applyFont="1" applyBorder="1" applyAlignment="1">
      <alignment horizontal="center" vertical="center" wrapText="1"/>
    </xf>
    <xf numFmtId="0" fontId="66" fillId="0" borderId="10" xfId="32" applyFont="1" applyBorder="1" applyAlignment="1">
      <alignment horizontal="center" vertical="center" wrapText="1"/>
    </xf>
    <xf numFmtId="0" fontId="23" fillId="0" borderId="2" xfId="12" applyFont="1" applyBorder="1" applyAlignment="1">
      <alignment vertical="top" wrapText="1"/>
    </xf>
    <xf numFmtId="0" fontId="25" fillId="10" borderId="2" xfId="12" applyFont="1" applyFill="1" applyBorder="1" applyAlignment="1">
      <alignment vertical="top" wrapText="1"/>
    </xf>
    <xf numFmtId="41" fontId="66" fillId="0" borderId="18" xfId="12" applyNumberFormat="1" applyFont="1" applyBorder="1" applyAlignment="1">
      <alignment horizontal="center" wrapText="1"/>
    </xf>
    <xf numFmtId="0" fontId="108" fillId="0" borderId="3" xfId="0" applyFont="1" applyBorder="1" applyAlignment="1">
      <alignment horizontal="right"/>
    </xf>
    <xf numFmtId="41" fontId="108" fillId="0" borderId="3" xfId="0" applyNumberFormat="1" applyFont="1" applyBorder="1" applyAlignment="1">
      <alignment vertical="top"/>
    </xf>
    <xf numFmtId="0" fontId="101" fillId="0" borderId="3" xfId="12" applyFont="1" applyBorder="1" applyAlignment="1">
      <alignment vertical="top" wrapText="1"/>
    </xf>
    <xf numFmtId="0" fontId="66" fillId="0" borderId="7" xfId="32" applyFont="1" applyBorder="1" applyAlignment="1">
      <alignment horizontal="center" vertical="center"/>
    </xf>
    <xf numFmtId="0" fontId="101" fillId="0" borderId="2" xfId="12" applyFont="1" applyBorder="1" applyAlignment="1">
      <alignment horizontal="center" vertical="center" wrapText="1"/>
    </xf>
    <xf numFmtId="0" fontId="101" fillId="0" borderId="2" xfId="12" applyFont="1" applyBorder="1" applyAlignment="1">
      <alignment vertical="top" wrapText="1"/>
    </xf>
    <xf numFmtId="0" fontId="107" fillId="0" borderId="0" xfId="32" applyFont="1"/>
    <xf numFmtId="0" fontId="101" fillId="0" borderId="2" xfId="12" applyFont="1" applyBorder="1" applyAlignment="1">
      <alignment horizontal="center" wrapText="1"/>
    </xf>
    <xf numFmtId="0" fontId="101" fillId="0" borderId="13" xfId="12" applyFont="1" applyBorder="1" applyAlignment="1">
      <alignment vertical="top" wrapText="1"/>
    </xf>
    <xf numFmtId="41" fontId="107" fillId="2" borderId="2" xfId="1" applyNumberFormat="1" applyFont="1" applyFill="1" applyBorder="1" applyAlignment="1" applyProtection="1">
      <alignment horizontal="right"/>
    </xf>
    <xf numFmtId="0" fontId="101" fillId="0" borderId="16" xfId="32" applyFont="1" applyBorder="1" applyAlignment="1">
      <alignment horizontal="right" vertical="top" wrapText="1"/>
    </xf>
    <xf numFmtId="42" fontId="101" fillId="0" borderId="6" xfId="32" applyNumberFormat="1" applyFont="1" applyBorder="1" applyAlignment="1">
      <alignment vertical="top" wrapText="1"/>
    </xf>
    <xf numFmtId="0" fontId="101" fillId="0" borderId="0" xfId="32" applyFont="1"/>
    <xf numFmtId="0" fontId="110" fillId="0" borderId="0" xfId="32" applyFont="1" applyAlignment="1">
      <alignment wrapText="1"/>
    </xf>
    <xf numFmtId="0" fontId="101" fillId="0" borderId="13" xfId="12" applyFont="1" applyBorder="1" applyAlignment="1">
      <alignment vertical="center" wrapText="1"/>
    </xf>
    <xf numFmtId="0" fontId="111" fillId="0" borderId="2" xfId="32" applyFont="1" applyBorder="1" applyAlignment="1">
      <alignment vertical="top" wrapText="1"/>
    </xf>
    <xf numFmtId="0" fontId="101" fillId="0" borderId="0" xfId="12" applyFont="1" applyAlignment="1">
      <alignment wrapText="1"/>
    </xf>
    <xf numFmtId="0" fontId="101" fillId="0" borderId="0" xfId="12" applyFont="1" applyAlignment="1">
      <alignment vertical="top"/>
    </xf>
    <xf numFmtId="0" fontId="101" fillId="0" borderId="0" xfId="12" applyFont="1" applyAlignment="1">
      <alignment vertical="top" wrapText="1"/>
    </xf>
    <xf numFmtId="0" fontId="101" fillId="0" borderId="4" xfId="32" applyFont="1" applyBorder="1" applyAlignment="1">
      <alignment horizontal="center" vertical="center"/>
    </xf>
    <xf numFmtId="0" fontId="101" fillId="0" borderId="16" xfId="0" applyFont="1" applyBorder="1" applyAlignment="1">
      <alignment wrapText="1"/>
    </xf>
    <xf numFmtId="0" fontId="101" fillId="0" borderId="19" xfId="0" applyFont="1" applyBorder="1"/>
    <xf numFmtId="0" fontId="66" fillId="0" borderId="18" xfId="32" applyFont="1" applyBorder="1" applyAlignment="1">
      <alignment horizontal="center" vertical="center"/>
    </xf>
    <xf numFmtId="0" fontId="66" fillId="0" borderId="5" xfId="12" applyFont="1" applyBorder="1" applyAlignment="1">
      <alignment horizontal="center" vertical="center" wrapText="1"/>
    </xf>
    <xf numFmtId="0" fontId="66" fillId="0" borderId="9" xfId="12" applyFont="1" applyBorder="1" applyAlignment="1">
      <alignment horizontal="center" vertical="top" wrapText="1"/>
    </xf>
    <xf numFmtId="0" fontId="66" fillId="2" borderId="2" xfId="12" applyFont="1" applyFill="1" applyBorder="1" applyAlignment="1">
      <alignment vertical="top" wrapText="1"/>
    </xf>
    <xf numFmtId="0" fontId="23" fillId="0" borderId="0" xfId="33" applyFont="1" applyAlignment="1">
      <alignment horizontal="center" vertical="center"/>
    </xf>
    <xf numFmtId="41" fontId="66" fillId="0" borderId="2" xfId="12" applyNumberFormat="1" applyFont="1" applyBorder="1" applyAlignment="1">
      <alignment vertical="top"/>
    </xf>
    <xf numFmtId="3" fontId="66" fillId="0" borderId="2" xfId="12" applyNumberFormat="1" applyFont="1" applyBorder="1" applyAlignment="1">
      <alignment vertical="top"/>
    </xf>
    <xf numFmtId="0" fontId="66" fillId="0" borderId="0" xfId="33" applyFont="1" applyAlignment="1">
      <alignment horizontal="right" vertical="top"/>
    </xf>
    <xf numFmtId="41" fontId="114" fillId="0" borderId="2" xfId="12" applyNumberFormat="1" applyFont="1" applyBorder="1" applyAlignment="1">
      <alignment vertical="top"/>
    </xf>
    <xf numFmtId="3" fontId="23" fillId="0" borderId="10" xfId="12" applyNumberFormat="1" applyFont="1" applyBorder="1" applyAlignment="1">
      <alignment vertical="top" wrapText="1"/>
    </xf>
    <xf numFmtId="3" fontId="66" fillId="0" borderId="2" xfId="12" applyNumberFormat="1" applyFont="1" applyBorder="1" applyAlignment="1">
      <alignment vertical="top" wrapText="1"/>
    </xf>
    <xf numFmtId="3" fontId="23" fillId="0" borderId="12" xfId="12" applyNumberFormat="1" applyFont="1" applyBorder="1" applyAlignment="1">
      <alignment vertical="top" wrapText="1"/>
    </xf>
    <xf numFmtId="0" fontId="23" fillId="0" borderId="0" xfId="32" applyFont="1" applyAlignment="1">
      <alignment horizontal="center" vertical="center"/>
    </xf>
    <xf numFmtId="0" fontId="23" fillId="0" borderId="19" xfId="12" applyFont="1" applyBorder="1" applyAlignment="1">
      <alignment horizontal="center" vertical="center" wrapText="1"/>
    </xf>
    <xf numFmtId="0" fontId="23" fillId="0" borderId="5" xfId="12" applyFont="1" applyBorder="1" applyAlignment="1">
      <alignment horizontal="center" vertical="center" wrapText="1"/>
    </xf>
    <xf numFmtId="0" fontId="23" fillId="0" borderId="0" xfId="12" applyFont="1" applyAlignment="1">
      <alignment horizontal="center" vertical="top" wrapText="1"/>
    </xf>
    <xf numFmtId="0" fontId="92" fillId="0" borderId="2" xfId="12" applyFont="1" applyBorder="1" applyAlignment="1">
      <alignment horizontal="center" wrapText="1"/>
    </xf>
    <xf numFmtId="41" fontId="123" fillId="0" borderId="2" xfId="12" applyNumberFormat="1" applyFont="1" applyBorder="1" applyAlignment="1">
      <alignment vertical="top"/>
    </xf>
    <xf numFmtId="3" fontId="23" fillId="0" borderId="12" xfId="12" applyNumberFormat="1" applyFont="1" applyBorder="1" applyAlignment="1">
      <alignment vertical="top"/>
    </xf>
    <xf numFmtId="0" fontId="66" fillId="0" borderId="16" xfId="12" applyFont="1" applyBorder="1" applyAlignment="1">
      <alignment horizontal="center" vertical="center" wrapText="1"/>
    </xf>
    <xf numFmtId="0" fontId="67" fillId="0" borderId="12" xfId="12" applyFont="1" applyBorder="1" applyAlignment="1">
      <alignment vertical="top" wrapText="1"/>
    </xf>
    <xf numFmtId="0" fontId="23" fillId="0" borderId="0" xfId="12" applyFont="1" applyAlignment="1">
      <alignment horizontal="center" wrapText="1"/>
    </xf>
    <xf numFmtId="0" fontId="23" fillId="0" borderId="3" xfId="33" applyFont="1" applyBorder="1" applyAlignment="1">
      <alignment horizontal="center" vertical="center"/>
    </xf>
    <xf numFmtId="0" fontId="23" fillId="0" borderId="12" xfId="12" applyFont="1" applyBorder="1" applyAlignment="1">
      <alignment horizontal="center" wrapText="1"/>
    </xf>
    <xf numFmtId="0" fontId="101" fillId="2" borderId="2" xfId="32" applyFont="1" applyFill="1" applyBorder="1" applyAlignment="1">
      <alignment horizontal="center" vertical="center"/>
    </xf>
    <xf numFmtId="0" fontId="107" fillId="0" borderId="0" xfId="12" applyFont="1" applyAlignment="1">
      <alignment horizontal="center" vertical="top" wrapText="1"/>
    </xf>
    <xf numFmtId="0" fontId="107" fillId="0" borderId="0" xfId="12" applyFont="1" applyAlignment="1">
      <alignment horizontal="center" wrapText="1"/>
    </xf>
    <xf numFmtId="0" fontId="107" fillId="0" borderId="0" xfId="33" applyFont="1" applyAlignment="1">
      <alignment horizontal="center" vertical="center"/>
    </xf>
    <xf numFmtId="0" fontId="101" fillId="2" borderId="2" xfId="12" applyFont="1" applyFill="1" applyBorder="1" applyAlignment="1">
      <alignment vertical="top" wrapText="1"/>
    </xf>
    <xf numFmtId="0" fontId="125" fillId="0" borderId="0" xfId="0" applyFont="1"/>
    <xf numFmtId="0" fontId="125" fillId="0" borderId="0" xfId="0" applyFont="1" applyAlignment="1">
      <alignment vertical="top"/>
    </xf>
    <xf numFmtId="0" fontId="66" fillId="10" borderId="2" xfId="12" applyFont="1" applyFill="1" applyBorder="1" applyAlignment="1">
      <alignment vertical="top" wrapText="1"/>
    </xf>
    <xf numFmtId="0" fontId="23" fillId="10" borderId="0" xfId="0" applyFont="1" applyFill="1" applyAlignment="1">
      <alignment vertical="top"/>
    </xf>
    <xf numFmtId="0" fontId="23" fillId="10" borderId="0" xfId="0" applyFont="1" applyFill="1" applyAlignment="1">
      <alignment vertical="top" wrapText="1"/>
    </xf>
    <xf numFmtId="0" fontId="23" fillId="10" borderId="15" xfId="0" applyFont="1" applyFill="1" applyBorder="1" applyAlignment="1">
      <alignment horizontal="center" vertical="center"/>
    </xf>
    <xf numFmtId="0" fontId="121" fillId="10" borderId="2" xfId="0" applyFont="1" applyFill="1" applyBorder="1" applyAlignment="1">
      <alignment vertical="top" wrapText="1"/>
    </xf>
    <xf numFmtId="0" fontId="51" fillId="10" borderId="0" xfId="0" applyFont="1" applyFill="1"/>
    <xf numFmtId="0" fontId="23" fillId="10" borderId="2" xfId="0" applyFont="1" applyFill="1" applyBorder="1" applyAlignment="1">
      <alignment vertical="top" wrapText="1"/>
    </xf>
    <xf numFmtId="0" fontId="125" fillId="0" borderId="0" xfId="0" applyFont="1" applyAlignment="1">
      <alignment vertical="top" wrapText="1"/>
    </xf>
    <xf numFmtId="0" fontId="25" fillId="0" borderId="0" xfId="14" applyFont="1" applyAlignment="1">
      <alignment horizontal="left" vertical="top" wrapText="1"/>
    </xf>
    <xf numFmtId="0" fontId="25" fillId="0" borderId="0" xfId="14" applyFont="1"/>
    <xf numFmtId="0" fontId="25" fillId="0" borderId="0" xfId="14" applyFont="1" applyAlignment="1">
      <alignment vertical="center"/>
    </xf>
    <xf numFmtId="0" fontId="25" fillId="0" borderId="0" xfId="14" applyFont="1" applyAlignment="1">
      <alignment horizontal="centerContinuous" vertical="center"/>
    </xf>
    <xf numFmtId="0" fontId="23" fillId="0" borderId="0" xfId="14" applyFont="1" applyAlignment="1">
      <alignment vertical="center"/>
    </xf>
    <xf numFmtId="164" fontId="23" fillId="0" borderId="0" xfId="0" applyNumberFormat="1" applyFont="1" applyAlignment="1">
      <alignment horizontal="left"/>
    </xf>
    <xf numFmtId="164" fontId="76" fillId="0" borderId="0" xfId="0" applyNumberFormat="1" applyFont="1" applyAlignment="1">
      <alignment horizontal="left"/>
    </xf>
    <xf numFmtId="164" fontId="31" fillId="0" borderId="0" xfId="0" applyNumberFormat="1" applyFont="1" applyAlignment="1">
      <alignment horizontal="left"/>
    </xf>
    <xf numFmtId="164" fontId="148" fillId="0" borderId="3" xfId="0" applyNumberFormat="1" applyFont="1" applyBorder="1" applyAlignment="1">
      <alignment horizontal="left"/>
    </xf>
    <xf numFmtId="164" fontId="23" fillId="0" borderId="3" xfId="0" applyNumberFormat="1" applyFont="1" applyBorder="1" applyAlignment="1">
      <alignment horizontal="left"/>
    </xf>
    <xf numFmtId="0" fontId="23" fillId="0" borderId="3" xfId="14" applyFont="1" applyBorder="1" applyAlignment="1">
      <alignment vertical="center"/>
    </xf>
    <xf numFmtId="0" fontId="25" fillId="0" borderId="3" xfId="14" applyFont="1" applyBorder="1" applyAlignment="1">
      <alignment horizontal="centerContinuous" vertical="center"/>
    </xf>
    <xf numFmtId="0" fontId="18" fillId="0" borderId="0" xfId="14" applyFont="1" applyAlignment="1">
      <alignment horizontal="left" vertical="center"/>
    </xf>
    <xf numFmtId="0" fontId="25" fillId="0" borderId="3" xfId="0" applyFont="1" applyBorder="1" applyAlignment="1">
      <alignment horizontal="left"/>
    </xf>
    <xf numFmtId="0" fontId="25" fillId="0" borderId="3" xfId="0" applyFont="1" applyBorder="1" applyAlignment="1">
      <alignment horizontal="center"/>
    </xf>
    <xf numFmtId="164" fontId="25" fillId="0" borderId="2" xfId="0" applyNumberFormat="1" applyFont="1" applyBorder="1" applyAlignment="1">
      <alignment horizontal="left" vertical="center"/>
    </xf>
    <xf numFmtId="41" fontId="22" fillId="0" borderId="2" xfId="0" applyNumberFormat="1" applyFont="1" applyBorder="1"/>
    <xf numFmtId="41" fontId="22" fillId="0" borderId="0" xfId="0" applyNumberFormat="1" applyFont="1"/>
    <xf numFmtId="0" fontId="25" fillId="0" borderId="2" xfId="0" applyFont="1" applyBorder="1" applyAlignment="1">
      <alignment horizontal="center" wrapText="1"/>
    </xf>
    <xf numFmtId="0" fontId="15" fillId="0" borderId="2" xfId="0" applyFont="1" applyBorder="1" applyAlignment="1">
      <alignment wrapText="1"/>
    </xf>
    <xf numFmtId="0" fontId="18" fillId="0" borderId="2" xfId="0" applyFont="1" applyBorder="1" applyAlignment="1">
      <alignment horizontal="center"/>
    </xf>
    <xf numFmtId="0" fontId="18" fillId="0" borderId="2" xfId="0" applyFont="1" applyBorder="1" applyAlignment="1">
      <alignment wrapText="1"/>
    </xf>
    <xf numFmtId="0" fontId="15" fillId="0" borderId="2" xfId="0" applyFont="1" applyBorder="1"/>
    <xf numFmtId="0" fontId="18" fillId="0" borderId="2" xfId="0" applyFont="1" applyBorder="1"/>
    <xf numFmtId="0" fontId="82" fillId="0" borderId="0" xfId="0" applyFont="1"/>
    <xf numFmtId="0" fontId="15" fillId="0" borderId="2" xfId="32" applyFont="1" applyBorder="1"/>
    <xf numFmtId="0" fontId="15" fillId="0" borderId="2" xfId="32" applyFont="1" applyBorder="1" applyAlignment="1">
      <alignment wrapText="1"/>
    </xf>
    <xf numFmtId="0" fontId="15" fillId="0" borderId="2" xfId="0" applyFont="1" applyBorder="1" applyAlignment="1">
      <alignment horizontal="center"/>
    </xf>
    <xf numFmtId="0" fontId="18" fillId="0" borderId="0" xfId="0" applyFont="1" applyAlignment="1">
      <alignment wrapText="1"/>
    </xf>
    <xf numFmtId="38" fontId="75" fillId="2" borderId="13" xfId="15" applyNumberFormat="1" applyFont="1" applyFill="1" applyBorder="1"/>
    <xf numFmtId="169" fontId="25" fillId="2" borderId="13" xfId="15" applyNumberFormat="1" applyFont="1" applyFill="1" applyBorder="1"/>
    <xf numFmtId="38" fontId="25" fillId="0" borderId="13" xfId="15" applyNumberFormat="1" applyFont="1" applyBorder="1"/>
    <xf numFmtId="0" fontId="25" fillId="0" borderId="0" xfId="15" applyFont="1" applyAlignment="1">
      <alignment horizontal="center" wrapText="1"/>
    </xf>
    <xf numFmtId="0" fontId="25" fillId="0" borderId="0" xfId="15" applyFont="1" applyAlignment="1">
      <alignment horizontal="center"/>
    </xf>
    <xf numFmtId="181" fontId="15" fillId="0" borderId="2" xfId="15" applyNumberFormat="1" applyBorder="1" applyAlignment="1">
      <alignment vertical="top" wrapText="1"/>
    </xf>
    <xf numFmtId="38" fontId="62" fillId="0" borderId="0" xfId="15" applyNumberFormat="1" applyFont="1" applyAlignment="1">
      <alignment horizontal="right"/>
    </xf>
    <xf numFmtId="41" fontId="62" fillId="0" borderId="0" xfId="15" applyNumberFormat="1" applyFont="1" applyAlignment="1">
      <alignment horizontal="right"/>
    </xf>
    <xf numFmtId="41" fontId="18" fillId="0" borderId="0" xfId="15" applyNumberFormat="1" applyFont="1" applyAlignment="1">
      <alignment horizontal="right"/>
    </xf>
    <xf numFmtId="0" fontId="18" fillId="0" borderId="0" xfId="15" applyFont="1" applyAlignment="1">
      <alignment horizontal="center"/>
    </xf>
    <xf numFmtId="0" fontId="25" fillId="0" borderId="3" xfId="15" applyFont="1" applyBorder="1" applyAlignment="1">
      <alignment horizontal="center" wrapText="1"/>
    </xf>
    <xf numFmtId="0" fontId="23" fillId="0" borderId="0" xfId="0" applyFont="1" applyAlignment="1">
      <alignment vertical="top" wrapText="1"/>
    </xf>
    <xf numFmtId="0" fontId="23" fillId="0" borderId="15" xfId="0" applyFont="1" applyBorder="1" applyAlignment="1">
      <alignment vertical="top" wrapText="1"/>
    </xf>
    <xf numFmtId="0" fontId="23" fillId="0" borderId="2" xfId="0" applyFont="1" applyBorder="1" applyAlignment="1">
      <alignment vertical="top" wrapText="1"/>
    </xf>
    <xf numFmtId="41" fontId="23" fillId="0" borderId="13" xfId="0" applyNumberFormat="1" applyFont="1" applyBorder="1"/>
    <xf numFmtId="183" fontId="20" fillId="0" borderId="0" xfId="15" applyNumberFormat="1" applyFont="1" applyAlignment="1">
      <alignment horizontal="left"/>
    </xf>
    <xf numFmtId="38" fontId="65" fillId="0" borderId="0" xfId="15" applyNumberFormat="1" applyFont="1" applyAlignment="1">
      <alignment horizontal="left"/>
    </xf>
    <xf numFmtId="182" fontId="20" fillId="0" borderId="0" xfId="15" applyNumberFormat="1" applyFont="1" applyAlignment="1">
      <alignment horizontal="left"/>
    </xf>
    <xf numFmtId="41" fontId="18" fillId="0" borderId="0" xfId="14" applyNumberFormat="1" applyFont="1" applyAlignment="1">
      <alignment horizontal="right" vertical="center"/>
    </xf>
    <xf numFmtId="0" fontId="18" fillId="0" borderId="0" xfId="14" applyFont="1" applyAlignment="1">
      <alignment horizontal="right" vertical="center"/>
    </xf>
    <xf numFmtId="164" fontId="26" fillId="0" borderId="0" xfId="0" applyNumberFormat="1" applyFont="1" applyAlignment="1">
      <alignment horizontal="left"/>
    </xf>
    <xf numFmtId="164" fontId="24" fillId="0" borderId="3" xfId="0" applyNumberFormat="1" applyFont="1" applyBorder="1" applyAlignment="1">
      <alignment horizontal="left"/>
    </xf>
    <xf numFmtId="0" fontId="18" fillId="0" borderId="3" xfId="14" applyFont="1" applyBorder="1" applyAlignment="1">
      <alignment vertical="center"/>
    </xf>
    <xf numFmtId="0" fontId="20" fillId="0" borderId="3" xfId="14" applyFont="1" applyBorder="1" applyAlignment="1">
      <alignment horizontal="centerContinuous" vertical="center"/>
    </xf>
    <xf numFmtId="41" fontId="18" fillId="0" borderId="3" xfId="14" applyNumberFormat="1" applyFont="1" applyBorder="1" applyAlignment="1">
      <alignment horizontal="right" vertical="center"/>
    </xf>
    <xf numFmtId="0" fontId="18" fillId="0" borderId="3" xfId="14" applyFont="1" applyBorder="1" applyAlignment="1">
      <alignment horizontal="right" vertical="center"/>
    </xf>
    <xf numFmtId="41" fontId="25" fillId="0" borderId="0" xfId="0" applyNumberFormat="1" applyFont="1" applyAlignment="1">
      <alignment horizontal="center" wrapText="1"/>
    </xf>
    <xf numFmtId="0" fontId="39" fillId="0" borderId="0" xfId="0" applyFont="1" applyAlignment="1">
      <alignment horizontal="left"/>
    </xf>
    <xf numFmtId="0" fontId="23" fillId="2" borderId="2" xfId="0" applyFont="1" applyFill="1" applyBorder="1" applyAlignment="1">
      <alignment horizontal="left" wrapText="1"/>
    </xf>
    <xf numFmtId="0" fontId="23" fillId="2" borderId="7" xfId="0" applyFont="1" applyFill="1" applyBorder="1" applyAlignment="1">
      <alignment horizontal="left" wrapText="1"/>
    </xf>
    <xf numFmtId="41" fontId="123" fillId="0" borderId="2" xfId="0" applyNumberFormat="1" applyFont="1" applyBorder="1"/>
    <xf numFmtId="0" fontId="25" fillId="0" borderId="2" xfId="0" applyFont="1" applyBorder="1" applyAlignment="1">
      <alignment wrapText="1"/>
    </xf>
    <xf numFmtId="0" fontId="22" fillId="0" borderId="0" xfId="9" applyFont="1"/>
    <xf numFmtId="0" fontId="22" fillId="0" borderId="0" xfId="12" applyFont="1" applyAlignment="1">
      <alignment horizontal="left" vertical="top"/>
    </xf>
    <xf numFmtId="38" fontId="24" fillId="0" borderId="0" xfId="15" applyNumberFormat="1" applyFont="1" applyAlignment="1">
      <alignment horizontal="left" vertical="top"/>
    </xf>
    <xf numFmtId="0" fontId="23" fillId="0" borderId="0" xfId="13" applyFont="1"/>
    <xf numFmtId="49" fontId="23" fillId="0" borderId="0" xfId="13" applyNumberFormat="1" applyFont="1" applyAlignment="1">
      <alignment horizontal="left" vertical="top" wrapText="1"/>
    </xf>
    <xf numFmtId="0" fontId="25" fillId="0" borderId="0" xfId="9" applyFont="1"/>
    <xf numFmtId="0" fontId="23" fillId="0" borderId="0" xfId="9" applyFont="1" applyAlignment="1">
      <alignment horizontal="center" wrapText="1"/>
    </xf>
    <xf numFmtId="0" fontId="23" fillId="0" borderId="0" xfId="0" applyFont="1" applyAlignment="1">
      <alignment horizontal="center" vertical="top" wrapText="1"/>
    </xf>
    <xf numFmtId="0" fontId="25" fillId="0" borderId="0" xfId="0" applyFont="1" applyAlignment="1">
      <alignment vertical="top" wrapText="1"/>
    </xf>
    <xf numFmtId="0" fontId="23" fillId="0" borderId="10" xfId="9" applyFont="1" applyBorder="1" applyAlignment="1">
      <alignment horizontal="center" wrapText="1"/>
    </xf>
    <xf numFmtId="0" fontId="23" fillId="0" borderId="0" xfId="9" applyFont="1" applyAlignment="1">
      <alignment horizontal="justify" wrapText="1"/>
    </xf>
    <xf numFmtId="0" fontId="25" fillId="0" borderId="0" xfId="9" applyFont="1" applyAlignment="1">
      <alignment horizontal="right"/>
    </xf>
    <xf numFmtId="0" fontId="23" fillId="0" borderId="0" xfId="12" applyFont="1" applyAlignment="1">
      <alignment horizontal="right" vertical="top"/>
    </xf>
    <xf numFmtId="167" fontId="23" fillId="0" borderId="0" xfId="0" applyNumberFormat="1" applyFont="1" applyAlignment="1">
      <alignment horizontal="center"/>
    </xf>
    <xf numFmtId="41" fontId="148" fillId="0" borderId="0" xfId="0" applyNumberFormat="1" applyFont="1"/>
    <xf numFmtId="0" fontId="23" fillId="7" borderId="5" xfId="0" applyFont="1" applyFill="1" applyBorder="1" applyAlignment="1" applyProtection="1">
      <alignment vertical="top" wrapText="1"/>
      <protection locked="0"/>
    </xf>
    <xf numFmtId="0" fontId="23" fillId="0" borderId="2" xfId="0" applyFont="1" applyBorder="1" applyAlignment="1">
      <alignment wrapText="1"/>
    </xf>
    <xf numFmtId="0" fontId="138" fillId="0" borderId="2" xfId="0" applyFont="1" applyBorder="1" applyAlignment="1">
      <alignment vertical="top" wrapText="1"/>
    </xf>
    <xf numFmtId="0" fontId="134" fillId="0" borderId="2" xfId="0" applyFont="1" applyBorder="1" applyAlignment="1">
      <alignment wrapText="1"/>
    </xf>
    <xf numFmtId="0" fontId="134" fillId="0" borderId="2" xfId="0" applyFont="1" applyBorder="1" applyAlignment="1">
      <alignment vertical="top" wrapText="1"/>
    </xf>
    <xf numFmtId="0" fontId="0" fillId="0" borderId="2" xfId="0" applyBorder="1" applyAlignment="1">
      <alignment vertical="top" wrapText="1"/>
    </xf>
    <xf numFmtId="0" fontId="23" fillId="0" borderId="2" xfId="0" applyFont="1" applyBorder="1" applyAlignment="1">
      <alignment vertical="top"/>
    </xf>
    <xf numFmtId="0" fontId="0" fillId="0" borderId="4" xfId="0" applyBorder="1" applyAlignment="1">
      <alignment vertical="top" wrapText="1"/>
    </xf>
    <xf numFmtId="49" fontId="22" fillId="0" borderId="0" xfId="0" applyNumberFormat="1" applyFont="1" applyAlignment="1">
      <alignment horizontal="left"/>
    </xf>
    <xf numFmtId="0" fontId="0" fillId="0" borderId="0" xfId="0" applyAlignment="1">
      <alignment horizontal="left"/>
    </xf>
    <xf numFmtId="0" fontId="22" fillId="0" borderId="0" xfId="0" applyFont="1" applyAlignment="1">
      <alignment wrapText="1"/>
    </xf>
    <xf numFmtId="0" fontId="0" fillId="0" borderId="0" xfId="0" applyAlignment="1">
      <alignment wrapText="1"/>
    </xf>
    <xf numFmtId="0" fontId="0" fillId="0" borderId="13" xfId="0" applyBorder="1" applyAlignment="1">
      <alignment vertical="top" wrapText="1"/>
    </xf>
    <xf numFmtId="0" fontId="24" fillId="0" borderId="0" xfId="0" applyFont="1" applyAlignment="1">
      <alignment horizontal="left" vertical="top" wrapText="1"/>
    </xf>
    <xf numFmtId="0" fontId="56" fillId="0" borderId="0" xfId="8" applyNumberFormat="1" applyFont="1" applyFill="1" applyBorder="1" applyAlignment="1" applyProtection="1">
      <alignment horizontal="left"/>
    </xf>
    <xf numFmtId="0" fontId="57" fillId="0" borderId="0" xfId="0" applyFont="1"/>
    <xf numFmtId="169" fontId="22" fillId="0" borderId="0" xfId="0" applyNumberFormat="1" applyFont="1" applyAlignment="1">
      <alignment horizontal="left"/>
    </xf>
    <xf numFmtId="169" fontId="0" fillId="0" borderId="0" xfId="0" applyNumberFormat="1"/>
    <xf numFmtId="0" fontId="25" fillId="0" borderId="0" xfId="0" applyFont="1" applyAlignment="1">
      <alignment horizontal="left"/>
    </xf>
    <xf numFmtId="0" fontId="22" fillId="0" borderId="0" xfId="0" applyFont="1" applyAlignment="1">
      <alignment horizontal="left"/>
    </xf>
    <xf numFmtId="0" fontId="0" fillId="0" borderId="0" xfId="0"/>
    <xf numFmtId="0" fontId="134" fillId="0" borderId="15" xfId="0" applyFont="1" applyBorder="1" applyAlignment="1">
      <alignment vertical="top" wrapText="1"/>
    </xf>
    <xf numFmtId="0" fontId="134" fillId="0" borderId="5" xfId="0" applyFont="1" applyBorder="1" applyAlignment="1">
      <alignment vertical="top" wrapText="1"/>
    </xf>
    <xf numFmtId="0" fontId="134" fillId="0" borderId="13" xfId="0" applyFont="1" applyBorder="1" applyAlignment="1">
      <alignment vertical="top" wrapText="1"/>
    </xf>
    <xf numFmtId="164" fontId="22" fillId="0" borderId="3" xfId="0" applyNumberFormat="1" applyFont="1" applyBorder="1" applyAlignment="1">
      <alignment horizontal="left"/>
    </xf>
    <xf numFmtId="0" fontId="134" fillId="0" borderId="15" xfId="0" applyFont="1" applyBorder="1" applyAlignment="1">
      <alignment horizontal="left" vertical="top" wrapText="1"/>
    </xf>
    <xf numFmtId="0" fontId="134" fillId="0" borderId="5" xfId="0" applyFont="1" applyBorder="1" applyAlignment="1">
      <alignment horizontal="left" vertical="top" wrapText="1"/>
    </xf>
    <xf numFmtId="0" fontId="134" fillId="0" borderId="13" xfId="0" applyFont="1" applyBorder="1" applyAlignment="1">
      <alignment horizontal="left" vertical="top" wrapText="1"/>
    </xf>
    <xf numFmtId="0" fontId="24" fillId="0" borderId="0" xfId="0" applyFont="1" applyAlignment="1">
      <alignment wrapText="1"/>
    </xf>
    <xf numFmtId="0" fontId="22" fillId="0" borderId="15" xfId="0" applyFont="1" applyBorder="1" applyAlignment="1">
      <alignment wrapText="1"/>
    </xf>
    <xf numFmtId="0" fontId="23" fillId="0" borderId="5" xfId="0" applyFont="1" applyBorder="1" applyAlignment="1">
      <alignment wrapText="1"/>
    </xf>
    <xf numFmtId="0" fontId="23" fillId="0" borderId="13" xfId="0" applyFont="1" applyBorder="1" applyAlignment="1">
      <alignment wrapText="1"/>
    </xf>
    <xf numFmtId="183" fontId="22" fillId="2" borderId="15" xfId="0" applyNumberFormat="1" applyFont="1" applyFill="1" applyBorder="1" applyAlignment="1" applyProtection="1">
      <alignment horizontal="left"/>
      <protection locked="0"/>
    </xf>
    <xf numFmtId="183" fontId="23" fillId="0" borderId="5" xfId="0" applyNumberFormat="1" applyFont="1" applyBorder="1" applyProtection="1">
      <protection locked="0"/>
    </xf>
    <xf numFmtId="183" fontId="23" fillId="0" borderId="13" xfId="0" applyNumberFormat="1" applyFont="1" applyBorder="1" applyProtection="1">
      <protection locked="0"/>
    </xf>
    <xf numFmtId="0" fontId="25" fillId="2" borderId="15" xfId="0" applyFont="1" applyFill="1" applyBorder="1" applyAlignment="1" applyProtection="1">
      <alignment horizontal="left"/>
      <protection locked="0"/>
    </xf>
    <xf numFmtId="0" fontId="25" fillId="2" borderId="5" xfId="0" applyFont="1" applyFill="1" applyBorder="1" applyProtection="1">
      <protection locked="0"/>
    </xf>
    <xf numFmtId="0" fontId="25" fillId="2" borderId="13" xfId="0" applyFont="1" applyFill="1" applyBorder="1" applyProtection="1">
      <protection locked="0"/>
    </xf>
    <xf numFmtId="0" fontId="22" fillId="2" borderId="15" xfId="0" applyFont="1" applyFill="1" applyBorder="1" applyAlignment="1" applyProtection="1">
      <alignment horizontal="left"/>
      <protection locked="0"/>
    </xf>
    <xf numFmtId="0" fontId="23" fillId="0" borderId="5" xfId="0" applyFont="1" applyBorder="1" applyProtection="1">
      <protection locked="0"/>
    </xf>
    <xf numFmtId="0" fontId="23" fillId="0" borderId="13" xfId="0" applyFont="1" applyBorder="1" applyProtection="1">
      <protection locked="0"/>
    </xf>
    <xf numFmtId="0" fontId="22" fillId="0" borderId="15" xfId="0" applyFont="1" applyBorder="1" applyAlignment="1">
      <alignment horizontal="left"/>
    </xf>
    <xf numFmtId="0" fontId="23" fillId="0" borderId="5" xfId="0" applyFont="1" applyBorder="1" applyAlignment="1">
      <alignment horizontal="left"/>
    </xf>
    <xf numFmtId="0" fontId="23" fillId="0" borderId="13" xfId="0" applyFont="1" applyBorder="1" applyAlignment="1">
      <alignment horizontal="left"/>
    </xf>
    <xf numFmtId="49" fontId="22" fillId="0" borderId="2" xfId="0" applyNumberFormat="1" applyFont="1" applyBorder="1" applyAlignment="1">
      <alignment horizontal="left"/>
    </xf>
    <xf numFmtId="0" fontId="14" fillId="2" borderId="15" xfId="8" applyNumberFormat="1" applyFill="1" applyBorder="1" applyAlignment="1" applyProtection="1">
      <alignment horizontal="left"/>
      <protection locked="0"/>
    </xf>
    <xf numFmtId="0" fontId="20" fillId="0" borderId="5" xfId="0" applyFont="1" applyBorder="1" applyProtection="1">
      <protection locked="0"/>
    </xf>
    <xf numFmtId="0" fontId="20" fillId="0" borderId="13" xfId="0" applyFont="1" applyBorder="1" applyProtection="1">
      <protection locked="0"/>
    </xf>
    <xf numFmtId="169" fontId="22" fillId="2" borderId="15" xfId="0" applyNumberFormat="1" applyFont="1" applyFill="1" applyBorder="1" applyAlignment="1" applyProtection="1">
      <alignment horizontal="left"/>
      <protection locked="0"/>
    </xf>
    <xf numFmtId="169" fontId="23" fillId="2" borderId="5" xfId="0" applyNumberFormat="1" applyFont="1" applyFill="1" applyBorder="1" applyProtection="1">
      <protection locked="0"/>
    </xf>
    <xf numFmtId="169" fontId="23" fillId="2" borderId="13" xfId="0" applyNumberFormat="1" applyFont="1" applyFill="1" applyBorder="1" applyProtection="1">
      <protection locked="0"/>
    </xf>
    <xf numFmtId="0" fontId="24" fillId="0" borderId="18" xfId="0" applyFont="1" applyBorder="1" applyAlignment="1">
      <alignment horizontal="left" vertical="top" wrapText="1"/>
    </xf>
    <xf numFmtId="0" fontId="24" fillId="0" borderId="16" xfId="0" applyFont="1" applyBorder="1" applyAlignment="1">
      <alignment horizontal="left" vertical="top" wrapText="1"/>
    </xf>
    <xf numFmtId="0" fontId="23" fillId="0" borderId="19" xfId="0"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3" fillId="0" borderId="3" xfId="0" applyFont="1" applyBorder="1" applyAlignment="1">
      <alignment horizontal="left" vertical="top" wrapText="1"/>
    </xf>
    <xf numFmtId="0" fontId="23" fillId="0" borderId="12" xfId="0" applyFont="1" applyBorder="1" applyAlignment="1">
      <alignment horizontal="left" vertical="top" wrapText="1"/>
    </xf>
    <xf numFmtId="0" fontId="23" fillId="0" borderId="0" xfId="0" applyFont="1" applyAlignment="1">
      <alignment wrapText="1"/>
    </xf>
    <xf numFmtId="0" fontId="27" fillId="0" borderId="0" xfId="0" applyFont="1" applyAlignment="1">
      <alignment horizontal="left" wrapText="1"/>
    </xf>
    <xf numFmtId="0" fontId="0" fillId="0" borderId="10" xfId="0" applyBorder="1" applyAlignment="1">
      <alignment wrapText="1"/>
    </xf>
    <xf numFmtId="0" fontId="24" fillId="0" borderId="0" xfId="0" applyFont="1" applyAlignment="1">
      <alignment horizontal="left" wrapText="1"/>
    </xf>
    <xf numFmtId="0" fontId="27" fillId="0" borderId="10" xfId="0" applyFont="1" applyBorder="1" applyAlignment="1">
      <alignment horizontal="left" wrapText="1"/>
    </xf>
    <xf numFmtId="0" fontId="25" fillId="0" borderId="14" xfId="0" applyFont="1" applyBorder="1" applyAlignment="1">
      <alignment horizontal="left" wrapText="1"/>
    </xf>
    <xf numFmtId="183" fontId="16" fillId="2" borderId="2" xfId="15" applyNumberFormat="1" applyFont="1" applyFill="1" applyBorder="1" applyAlignment="1" applyProtection="1">
      <alignment horizontal="left"/>
      <protection locked="0"/>
    </xf>
    <xf numFmtId="0" fontId="0" fillId="0" borderId="5" xfId="0" applyBorder="1"/>
    <xf numFmtId="0" fontId="0" fillId="0" borderId="13" xfId="0" applyBorder="1"/>
    <xf numFmtId="38" fontId="77" fillId="2" borderId="2" xfId="15" applyNumberFormat="1" applyFont="1" applyFill="1" applyBorder="1" applyAlignment="1" applyProtection="1">
      <alignment horizontal="left"/>
      <protection locked="0"/>
    </xf>
    <xf numFmtId="169" fontId="16" fillId="2" borderId="2" xfId="15" applyNumberFormat="1" applyFont="1" applyFill="1" applyBorder="1" applyAlignment="1" applyProtection="1">
      <alignment horizontal="left"/>
      <protection locked="0"/>
    </xf>
    <xf numFmtId="38" fontId="16" fillId="5" borderId="2" xfId="15" applyNumberFormat="1" applyFont="1" applyFill="1" applyBorder="1" applyAlignment="1">
      <alignment horizontal="left"/>
    </xf>
    <xf numFmtId="38" fontId="16" fillId="2" borderId="2" xfId="15" applyNumberFormat="1" applyFont="1" applyFill="1" applyBorder="1" applyAlignment="1" applyProtection="1">
      <alignment horizontal="left"/>
      <protection locked="0"/>
    </xf>
    <xf numFmtId="0" fontId="23" fillId="2" borderId="18" xfId="0" applyFont="1" applyFill="1" applyBorder="1" applyAlignment="1" applyProtection="1">
      <alignment horizontal="left" vertical="top" wrapText="1"/>
      <protection locked="0"/>
    </xf>
    <xf numFmtId="0" fontId="23" fillId="2" borderId="16" xfId="0" applyFont="1" applyFill="1" applyBorder="1" applyAlignment="1" applyProtection="1">
      <alignment horizontal="left" vertical="top" wrapText="1"/>
      <protection locked="0"/>
    </xf>
    <xf numFmtId="0" fontId="23" fillId="2" borderId="19"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7" borderId="2" xfId="0" applyFont="1" applyFill="1" applyBorder="1" applyAlignment="1" applyProtection="1">
      <alignment horizontal="left" wrapText="1"/>
      <protection locked="0"/>
    </xf>
    <xf numFmtId="0" fontId="23" fillId="0" borderId="2" xfId="0" applyFont="1" applyBorder="1" applyAlignment="1">
      <alignment horizontal="center"/>
    </xf>
    <xf numFmtId="0" fontId="25" fillId="0" borderId="15" xfId="0" applyFont="1" applyBorder="1"/>
    <xf numFmtId="0" fontId="23" fillId="0" borderId="5" xfId="0" applyFont="1" applyBorder="1"/>
    <xf numFmtId="0" fontId="23" fillId="0" borderId="13" xfId="0" applyFont="1" applyBorder="1"/>
    <xf numFmtId="183" fontId="25" fillId="2" borderId="2" xfId="15" applyNumberFormat="1" applyFont="1" applyFill="1" applyBorder="1" applyAlignment="1" applyProtection="1">
      <alignment horizontal="left"/>
      <protection locked="0"/>
    </xf>
    <xf numFmtId="183" fontId="23" fillId="0" borderId="2" xfId="0" applyNumberFormat="1" applyFont="1" applyBorder="1" applyProtection="1">
      <protection locked="0"/>
    </xf>
    <xf numFmtId="38" fontId="75" fillId="2" borderId="2" xfId="15" applyNumberFormat="1" applyFont="1" applyFill="1" applyBorder="1" applyAlignment="1" applyProtection="1">
      <alignment horizontal="left"/>
      <protection locked="0"/>
    </xf>
    <xf numFmtId="0" fontId="75" fillId="0" borderId="2" xfId="0" applyFont="1" applyBorder="1" applyProtection="1">
      <protection locked="0"/>
    </xf>
    <xf numFmtId="169" fontId="25" fillId="2" borderId="2" xfId="15" applyNumberFormat="1" applyFont="1" applyFill="1" applyBorder="1" applyAlignment="1" applyProtection="1">
      <alignment horizontal="left"/>
      <protection locked="0"/>
    </xf>
    <xf numFmtId="169" fontId="23" fillId="0" borderId="2" xfId="0" applyNumberFormat="1" applyFont="1" applyBorder="1" applyProtection="1">
      <protection locked="0"/>
    </xf>
    <xf numFmtId="38" fontId="25" fillId="5" borderId="2" xfId="15" applyNumberFormat="1" applyFont="1" applyFill="1" applyBorder="1" applyAlignment="1">
      <alignment horizontal="left"/>
    </xf>
    <xf numFmtId="0" fontId="23" fillId="5" borderId="2" xfId="0" applyFont="1" applyFill="1" applyBorder="1"/>
    <xf numFmtId="38" fontId="25" fillId="0" borderId="0" xfId="15" applyNumberFormat="1" applyFont="1" applyAlignment="1">
      <alignment horizontal="left" vertical="top"/>
    </xf>
    <xf numFmtId="0" fontId="23" fillId="0" borderId="0" xfId="0" applyFont="1" applyAlignment="1">
      <alignment horizontal="left" vertical="top"/>
    </xf>
    <xf numFmtId="0" fontId="23" fillId="0" borderId="18" xfId="0" applyFont="1" applyBorder="1" applyAlignment="1">
      <alignment horizontal="center" wrapText="1"/>
    </xf>
    <xf numFmtId="0" fontId="23" fillId="0" borderId="19" xfId="0" applyFont="1" applyBorder="1" applyAlignment="1">
      <alignment horizontal="center" wrapText="1"/>
    </xf>
    <xf numFmtId="0" fontId="23" fillId="7" borderId="15" xfId="0" applyFont="1" applyFill="1" applyBorder="1" applyAlignment="1" applyProtection="1">
      <alignment horizontal="left" vertical="top" wrapText="1"/>
      <protection locked="0"/>
    </xf>
    <xf numFmtId="0" fontId="23" fillId="7" borderId="5" xfId="0" applyFont="1" applyFill="1" applyBorder="1" applyAlignment="1" applyProtection="1">
      <alignment horizontal="left" vertical="top" wrapText="1"/>
      <protection locked="0"/>
    </xf>
    <xf numFmtId="0" fontId="23" fillId="7" borderId="13" xfId="0" applyFont="1" applyFill="1" applyBorder="1" applyAlignment="1" applyProtection="1">
      <alignment horizontal="left" vertical="top" wrapText="1"/>
      <protection locked="0"/>
    </xf>
    <xf numFmtId="38" fontId="25" fillId="2" borderId="2" xfId="15" applyNumberFormat="1" applyFont="1" applyFill="1" applyBorder="1" applyAlignment="1" applyProtection="1">
      <alignment horizontal="left"/>
      <protection locked="0"/>
    </xf>
    <xf numFmtId="0" fontId="23" fillId="0" borderId="2" xfId="0" applyFont="1" applyBorder="1" applyProtection="1">
      <protection locked="0"/>
    </xf>
    <xf numFmtId="0" fontId="118" fillId="0" borderId="15" xfId="200" applyFont="1" applyBorder="1" applyAlignment="1">
      <alignment horizontal="center"/>
    </xf>
    <xf numFmtId="0" fontId="118" fillId="0" borderId="5" xfId="200" applyFont="1" applyBorder="1" applyAlignment="1">
      <alignment horizontal="center"/>
    </xf>
    <xf numFmtId="0" fontId="118" fillId="0" borderId="13" xfId="200" applyFont="1" applyBorder="1" applyAlignment="1">
      <alignment horizontal="center"/>
    </xf>
    <xf numFmtId="0" fontId="42" fillId="0" borderId="15" xfId="146" applyFont="1" applyBorder="1" applyAlignment="1">
      <alignment horizontal="center"/>
    </xf>
    <xf numFmtId="0" fontId="42" fillId="0" borderId="5" xfId="146" applyFont="1" applyBorder="1" applyAlignment="1">
      <alignment horizontal="center"/>
    </xf>
    <xf numFmtId="0" fontId="42" fillId="0" borderId="13" xfId="146" applyFont="1" applyBorder="1" applyAlignment="1">
      <alignment horizontal="center"/>
    </xf>
    <xf numFmtId="0" fontId="42" fillId="0" borderId="18" xfId="146" applyFont="1" applyBorder="1" applyAlignment="1">
      <alignment horizontal="center"/>
    </xf>
    <xf numFmtId="0" fontId="42" fillId="0" borderId="19" xfId="146" applyFont="1" applyBorder="1" applyAlignment="1">
      <alignment horizontal="center"/>
    </xf>
    <xf numFmtId="0" fontId="25" fillId="0" borderId="15" xfId="0" applyFont="1" applyBorder="1" applyAlignment="1">
      <alignment horizontal="left"/>
    </xf>
    <xf numFmtId="0" fontId="25" fillId="0" borderId="5" xfId="0" applyFont="1" applyBorder="1" applyAlignment="1">
      <alignment horizontal="left"/>
    </xf>
    <xf numFmtId="0" fontId="25" fillId="10" borderId="2" xfId="0" applyFont="1" applyFill="1" applyBorder="1" applyAlignment="1">
      <alignment horizontal="left" wrapText="1"/>
    </xf>
    <xf numFmtId="49" fontId="25" fillId="0" borderId="2" xfId="0" applyNumberFormat="1" applyFont="1" applyBorder="1" applyAlignment="1" applyProtection="1">
      <alignment horizontal="left"/>
      <protection locked="0"/>
    </xf>
    <xf numFmtId="49" fontId="25" fillId="7" borderId="2" xfId="0" applyNumberFormat="1" applyFont="1" applyFill="1" applyBorder="1" applyAlignment="1" applyProtection="1">
      <alignment horizontal="left"/>
      <protection locked="0"/>
    </xf>
    <xf numFmtId="169" fontId="25" fillId="7" borderId="2" xfId="0" applyNumberFormat="1" applyFont="1" applyFill="1" applyBorder="1" applyAlignment="1" applyProtection="1">
      <alignment horizontal="left"/>
      <protection locked="0"/>
    </xf>
    <xf numFmtId="0" fontId="66" fillId="0" borderId="0" xfId="0" applyFont="1" applyAlignment="1">
      <alignment horizontal="left" wrapText="1"/>
    </xf>
    <xf numFmtId="0" fontId="78" fillId="0" borderId="2" xfId="0" applyFont="1" applyBorder="1" applyProtection="1">
      <protection locked="0"/>
    </xf>
    <xf numFmtId="38" fontId="20" fillId="0" borderId="0" xfId="15" applyNumberFormat="1" applyFont="1" applyAlignment="1">
      <alignment horizontal="left" vertical="top"/>
    </xf>
    <xf numFmtId="38" fontId="25" fillId="5" borderId="15" xfId="15" applyNumberFormat="1" applyFont="1" applyFill="1" applyBorder="1" applyAlignment="1">
      <alignment horizontal="left" wrapText="1"/>
    </xf>
    <xf numFmtId="0" fontId="23" fillId="5" borderId="5" xfId="0" applyFont="1" applyFill="1" applyBorder="1" applyAlignment="1">
      <alignment wrapText="1"/>
    </xf>
    <xf numFmtId="0" fontId="23" fillId="5" borderId="13" xfId="0" applyFont="1" applyFill="1" applyBorder="1" applyAlignment="1">
      <alignment wrapText="1"/>
    </xf>
    <xf numFmtId="0" fontId="25" fillId="0" borderId="2" xfId="0" applyFont="1" applyBorder="1"/>
    <xf numFmtId="0" fontId="23" fillId="0" borderId="2" xfId="0" applyFont="1" applyBorder="1"/>
    <xf numFmtId="38" fontId="25" fillId="5" borderId="15" xfId="15" applyNumberFormat="1" applyFont="1" applyFill="1" applyBorder="1" applyAlignment="1">
      <alignment horizontal="left"/>
    </xf>
    <xf numFmtId="38" fontId="25" fillId="2" borderId="15" xfId="15" applyNumberFormat="1" applyFont="1" applyFill="1" applyBorder="1" applyAlignment="1" applyProtection="1">
      <alignment horizontal="left"/>
      <protection locked="0"/>
    </xf>
    <xf numFmtId="0" fontId="23" fillId="0" borderId="5" xfId="0" applyFont="1" applyBorder="1" applyAlignment="1" applyProtection="1">
      <alignment horizontal="left"/>
      <protection locked="0"/>
    </xf>
    <xf numFmtId="0" fontId="23" fillId="0" borderId="13" xfId="0" applyFont="1" applyBorder="1" applyAlignment="1" applyProtection="1">
      <alignment horizontal="left"/>
      <protection locked="0"/>
    </xf>
    <xf numFmtId="0" fontId="23" fillId="2" borderId="2" xfId="9" applyFont="1" applyFill="1" applyBorder="1" applyAlignment="1" applyProtection="1">
      <alignment wrapText="1"/>
      <protection locked="0"/>
    </xf>
    <xf numFmtId="0" fontId="23" fillId="0" borderId="2" xfId="9" applyFont="1" applyBorder="1" applyAlignment="1" applyProtection="1">
      <alignment wrapText="1"/>
      <protection locked="0"/>
    </xf>
    <xf numFmtId="38" fontId="75" fillId="2" borderId="15" xfId="15" applyNumberFormat="1" applyFont="1" applyFill="1" applyBorder="1" applyAlignment="1" applyProtection="1">
      <alignment horizontal="left"/>
      <protection locked="0"/>
    </xf>
    <xf numFmtId="169" fontId="25" fillId="2" borderId="15" xfId="15" applyNumberFormat="1" applyFont="1" applyFill="1" applyBorder="1" applyAlignment="1" applyProtection="1">
      <alignment horizontal="left"/>
      <protection locked="0"/>
    </xf>
    <xf numFmtId="169" fontId="25" fillId="2" borderId="5" xfId="15" applyNumberFormat="1" applyFont="1" applyFill="1" applyBorder="1" applyAlignment="1" applyProtection="1">
      <alignment horizontal="left"/>
      <protection locked="0"/>
    </xf>
    <xf numFmtId="169" fontId="25" fillId="2" borderId="13" xfId="15" applyNumberFormat="1" applyFont="1" applyFill="1" applyBorder="1" applyAlignment="1" applyProtection="1">
      <alignment horizontal="left"/>
      <protection locked="0"/>
    </xf>
    <xf numFmtId="183" fontId="25" fillId="2" borderId="15" xfId="15" applyNumberFormat="1" applyFont="1" applyFill="1" applyBorder="1" applyAlignment="1" applyProtection="1">
      <alignment horizontal="left"/>
      <protection locked="0"/>
    </xf>
    <xf numFmtId="183" fontId="25" fillId="2" borderId="5" xfId="15" applyNumberFormat="1" applyFont="1" applyFill="1" applyBorder="1" applyAlignment="1" applyProtection="1">
      <alignment horizontal="left"/>
      <protection locked="0"/>
    </xf>
    <xf numFmtId="183" fontId="25" fillId="2" borderId="13" xfId="15" applyNumberFormat="1" applyFont="1" applyFill="1" applyBorder="1" applyAlignment="1" applyProtection="1">
      <alignment horizontal="left"/>
      <protection locked="0"/>
    </xf>
    <xf numFmtId="0" fontId="71" fillId="0" borderId="0" xfId="15" applyFont="1" applyAlignment="1">
      <alignment wrapText="1"/>
    </xf>
    <xf numFmtId="38" fontId="25" fillId="0" borderId="15" xfId="15" applyNumberFormat="1" applyFont="1" applyBorder="1" applyAlignment="1">
      <alignment horizontal="left"/>
    </xf>
    <xf numFmtId="38" fontId="25" fillId="0" borderId="5" xfId="15" applyNumberFormat="1" applyFont="1" applyBorder="1" applyAlignment="1">
      <alignment horizontal="left"/>
    </xf>
    <xf numFmtId="38" fontId="25" fillId="0" borderId="13" xfId="15" applyNumberFormat="1" applyFont="1" applyBorder="1" applyAlignment="1">
      <alignment horizontal="left"/>
    </xf>
    <xf numFmtId="0" fontId="75" fillId="2" borderId="15" xfId="8" applyNumberFormat="1" applyFont="1" applyFill="1" applyBorder="1" applyAlignment="1" applyProtection="1">
      <alignment horizontal="left"/>
      <protection locked="0"/>
    </xf>
    <xf numFmtId="0" fontId="75" fillId="2" borderId="5" xfId="8" applyNumberFormat="1" applyFont="1" applyFill="1" applyBorder="1" applyAlignment="1" applyProtection="1">
      <alignment horizontal="left"/>
      <protection locked="0"/>
    </xf>
    <xf numFmtId="0" fontId="75" fillId="2" borderId="13" xfId="8" applyNumberFormat="1" applyFont="1" applyFill="1" applyBorder="1" applyAlignment="1" applyProtection="1">
      <alignment horizontal="left"/>
      <protection locked="0"/>
    </xf>
    <xf numFmtId="0" fontId="18" fillId="0" borderId="3" xfId="14" applyFont="1" applyBorder="1" applyAlignment="1">
      <alignment wrapText="1"/>
    </xf>
    <xf numFmtId="0" fontId="15" fillId="2" borderId="15" xfId="14" applyFill="1" applyBorder="1" applyAlignment="1" applyProtection="1">
      <alignment vertical="center" wrapText="1"/>
      <protection locked="0"/>
    </xf>
    <xf numFmtId="0" fontId="23" fillId="0" borderId="5" xfId="0" applyFont="1" applyBorder="1" applyAlignment="1" applyProtection="1">
      <alignment vertical="center" wrapText="1"/>
      <protection locked="0"/>
    </xf>
    <xf numFmtId="0" fontId="23" fillId="0" borderId="13" xfId="0" applyFont="1" applyBorder="1" applyAlignment="1" applyProtection="1">
      <alignment vertical="center" wrapText="1"/>
      <protection locked="0"/>
    </xf>
    <xf numFmtId="0" fontId="18" fillId="2" borderId="15" xfId="14" applyFont="1" applyFill="1" applyBorder="1" applyAlignment="1" applyProtection="1">
      <alignment vertical="top" wrapText="1"/>
      <protection locked="0"/>
    </xf>
    <xf numFmtId="0" fontId="18" fillId="2" borderId="5" xfId="14" applyFont="1" applyFill="1" applyBorder="1" applyAlignment="1" applyProtection="1">
      <alignment vertical="top" wrapText="1"/>
      <protection locked="0"/>
    </xf>
    <xf numFmtId="0" fontId="18" fillId="2" borderId="13" xfId="14" applyFont="1" applyFill="1" applyBorder="1" applyAlignment="1" applyProtection="1">
      <alignment vertical="top" wrapText="1"/>
      <protection locked="0"/>
    </xf>
    <xf numFmtId="0" fontId="18" fillId="2" borderId="5" xfId="14" applyFont="1" applyFill="1" applyBorder="1" applyAlignment="1" applyProtection="1">
      <alignment vertical="center" wrapText="1"/>
      <protection locked="0"/>
    </xf>
    <xf numFmtId="0" fontId="18" fillId="2" borderId="13" xfId="14" applyFont="1" applyFill="1" applyBorder="1" applyAlignment="1" applyProtection="1">
      <alignment vertical="center" wrapText="1"/>
      <protection locked="0"/>
    </xf>
    <xf numFmtId="0" fontId="18" fillId="0" borderId="9" xfId="14" applyFont="1" applyBorder="1" applyAlignment="1">
      <alignment wrapText="1"/>
    </xf>
    <xf numFmtId="0" fontId="18" fillId="0" borderId="0" xfId="14" applyFont="1" applyAlignment="1">
      <alignment wrapText="1"/>
    </xf>
    <xf numFmtId="0" fontId="18" fillId="0" borderId="10" xfId="14" applyFont="1" applyBorder="1" applyAlignment="1">
      <alignment wrapText="1"/>
    </xf>
    <xf numFmtId="165" fontId="15" fillId="2" borderId="15" xfId="1" applyNumberFormat="1" applyFont="1" applyFill="1" applyBorder="1" applyAlignment="1" applyProtection="1">
      <alignment horizontal="center" vertical="center"/>
      <protection locked="0"/>
    </xf>
    <xf numFmtId="165" fontId="18" fillId="2" borderId="5" xfId="1" applyNumberFormat="1" applyFont="1" applyFill="1" applyBorder="1" applyAlignment="1" applyProtection="1">
      <alignment horizontal="center" vertical="center"/>
      <protection locked="0"/>
    </xf>
    <xf numFmtId="165" fontId="18" fillId="2" borderId="13" xfId="1" applyNumberFormat="1" applyFont="1" applyFill="1" applyBorder="1" applyAlignment="1" applyProtection="1">
      <alignment horizontal="center" vertical="center"/>
      <protection locked="0"/>
    </xf>
    <xf numFmtId="165" fontId="18" fillId="0" borderId="0" xfId="1" applyNumberFormat="1" applyFont="1" applyFill="1" applyBorder="1" applyAlignment="1" applyProtection="1"/>
    <xf numFmtId="0" fontId="15" fillId="0" borderId="9" xfId="14" applyBorder="1" applyAlignment="1">
      <alignment horizontal="left" wrapText="1"/>
    </xf>
    <xf numFmtId="0" fontId="46" fillId="0" borderId="0" xfId="0" applyFont="1" applyAlignment="1">
      <alignment horizontal="left" wrapText="1"/>
    </xf>
    <xf numFmtId="0" fontId="46" fillId="0" borderId="10" xfId="0" applyFont="1" applyBorder="1" applyAlignment="1">
      <alignment horizontal="left" wrapText="1"/>
    </xf>
    <xf numFmtId="165" fontId="15" fillId="2" borderId="15" xfId="1" applyNumberFormat="1" applyFont="1" applyFill="1" applyBorder="1" applyAlignment="1" applyProtection="1">
      <alignment horizontal="center" vertical="center"/>
    </xf>
    <xf numFmtId="165" fontId="15" fillId="2" borderId="5"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5" fillId="0" borderId="18" xfId="14" applyBorder="1" applyAlignment="1">
      <alignment horizontal="left" wrapText="1"/>
    </xf>
    <xf numFmtId="0" fontId="46" fillId="0" borderId="16" xfId="32" applyFont="1" applyBorder="1" applyAlignment="1">
      <alignment horizontal="left" wrapText="1"/>
    </xf>
    <xf numFmtId="0" fontId="46" fillId="0" borderId="19" xfId="32" applyFont="1" applyBorder="1" applyAlignment="1">
      <alignment horizontal="left" wrapText="1"/>
    </xf>
    <xf numFmtId="0" fontId="13" fillId="0" borderId="0" xfId="32" applyAlignment="1">
      <alignment horizontal="left" wrapText="1"/>
    </xf>
    <xf numFmtId="0" fontId="13" fillId="0" borderId="10" xfId="32" applyBorder="1" applyAlignment="1">
      <alignment horizontal="left" wrapText="1"/>
    </xf>
    <xf numFmtId="0" fontId="20" fillId="0" borderId="15" xfId="0" applyFont="1" applyBorder="1"/>
    <xf numFmtId="0" fontId="20" fillId="0" borderId="5" xfId="0" applyFont="1" applyBorder="1"/>
    <xf numFmtId="0" fontId="20" fillId="0" borderId="13" xfId="0" applyFont="1" applyBorder="1"/>
    <xf numFmtId="38" fontId="20" fillId="2" borderId="15" xfId="15" applyNumberFormat="1" applyFont="1" applyFill="1" applyBorder="1" applyAlignment="1" applyProtection="1">
      <alignment horizontal="left"/>
      <protection locked="0"/>
    </xf>
    <xf numFmtId="38" fontId="20" fillId="2" borderId="5" xfId="15" applyNumberFormat="1" applyFont="1" applyFill="1" applyBorder="1" applyAlignment="1" applyProtection="1">
      <alignment horizontal="left"/>
      <protection locked="0"/>
    </xf>
    <xf numFmtId="38" fontId="20" fillId="2" borderId="13" xfId="15" applyNumberFormat="1" applyFont="1" applyFill="1" applyBorder="1" applyAlignment="1" applyProtection="1">
      <alignment horizontal="left"/>
      <protection locked="0"/>
    </xf>
    <xf numFmtId="183" fontId="20" fillId="2" borderId="15" xfId="15" applyNumberFormat="1" applyFont="1" applyFill="1" applyBorder="1" applyAlignment="1" applyProtection="1">
      <alignment horizontal="left"/>
      <protection locked="0"/>
    </xf>
    <xf numFmtId="183" fontId="20" fillId="2" borderId="5" xfId="15" applyNumberFormat="1" applyFont="1" applyFill="1" applyBorder="1" applyAlignment="1" applyProtection="1">
      <alignment horizontal="left"/>
      <protection locked="0"/>
    </xf>
    <xf numFmtId="183" fontId="20" fillId="2" borderId="13" xfId="15" applyNumberFormat="1" applyFont="1" applyFill="1" applyBorder="1" applyAlignment="1" applyProtection="1">
      <alignment horizontal="left"/>
      <protection locked="0"/>
    </xf>
    <xf numFmtId="165" fontId="18" fillId="0" borderId="0" xfId="1" applyNumberFormat="1" applyFont="1" applyAlignment="1" applyProtection="1">
      <alignment horizontal="center" vertical="center"/>
    </xf>
    <xf numFmtId="169" fontId="20" fillId="2" borderId="15" xfId="15" applyNumberFormat="1" applyFont="1" applyFill="1" applyBorder="1" applyAlignment="1" applyProtection="1">
      <alignment horizontal="left"/>
      <protection locked="0"/>
    </xf>
    <xf numFmtId="169" fontId="20" fillId="2" borderId="5" xfId="15" applyNumberFormat="1" applyFont="1" applyFill="1" applyBorder="1" applyAlignment="1" applyProtection="1">
      <alignment horizontal="left"/>
      <protection locked="0"/>
    </xf>
    <xf numFmtId="169" fontId="20" fillId="2" borderId="13" xfId="15" applyNumberFormat="1" applyFont="1" applyFill="1" applyBorder="1" applyAlignment="1" applyProtection="1">
      <alignment horizontal="left"/>
      <protection locked="0"/>
    </xf>
    <xf numFmtId="38" fontId="20" fillId="0" borderId="15" xfId="15" applyNumberFormat="1" applyFont="1" applyBorder="1" applyAlignment="1">
      <alignment horizontal="left"/>
    </xf>
    <xf numFmtId="38" fontId="20" fillId="0" borderId="5" xfId="15" applyNumberFormat="1" applyFont="1" applyBorder="1" applyAlignment="1">
      <alignment horizontal="left"/>
    </xf>
    <xf numFmtId="38" fontId="20" fillId="0" borderId="13" xfId="15" applyNumberFormat="1" applyFont="1" applyBorder="1" applyAlignment="1">
      <alignment horizontal="left"/>
    </xf>
    <xf numFmtId="0" fontId="64" fillId="0" borderId="0" xfId="14" applyFont="1" applyAlignment="1">
      <alignment horizontal="right" vertical="center"/>
    </xf>
    <xf numFmtId="0" fontId="23" fillId="0" borderId="0" xfId="0" applyFont="1" applyAlignment="1">
      <alignment horizontal="right"/>
    </xf>
    <xf numFmtId="165" fontId="15" fillId="0" borderId="0" xfId="1" quotePrefix="1" applyNumberFormat="1" applyFont="1" applyAlignment="1" applyProtection="1">
      <alignment horizontal="center" vertical="center"/>
    </xf>
    <xf numFmtId="165" fontId="18" fillId="0" borderId="0" xfId="1" quotePrefix="1" applyNumberFormat="1" applyFont="1" applyAlignment="1" applyProtection="1">
      <alignment horizontal="center" vertical="center"/>
    </xf>
    <xf numFmtId="165" fontId="18" fillId="0" borderId="3" xfId="1" applyNumberFormat="1" applyFont="1" applyBorder="1" applyAlignment="1" applyProtection="1">
      <alignment horizontal="center" vertical="center"/>
    </xf>
    <xf numFmtId="166" fontId="15" fillId="0" borderId="3" xfId="1" quotePrefix="1" applyNumberFormat="1" applyFont="1" applyBorder="1" applyAlignment="1" applyProtection="1">
      <alignment horizontal="center" vertical="center"/>
    </xf>
    <xf numFmtId="166" fontId="18" fillId="0" borderId="3" xfId="1" quotePrefix="1" applyNumberFormat="1" applyFont="1" applyBorder="1" applyAlignment="1" applyProtection="1">
      <alignment horizontal="center" vertical="center"/>
    </xf>
    <xf numFmtId="165" fontId="18" fillId="0" borderId="0" xfId="1" applyNumberFormat="1" applyFont="1" applyBorder="1" applyAlignment="1" applyProtection="1">
      <alignment horizontal="center" vertical="center"/>
    </xf>
    <xf numFmtId="38" fontId="65" fillId="2" borderId="15" xfId="15" applyNumberFormat="1" applyFont="1" applyFill="1" applyBorder="1" applyAlignment="1" applyProtection="1">
      <alignment horizontal="left"/>
      <protection locked="0"/>
    </xf>
    <xf numFmtId="38" fontId="65" fillId="2" borderId="5" xfId="15" applyNumberFormat="1" applyFont="1" applyFill="1" applyBorder="1" applyAlignment="1" applyProtection="1">
      <alignment horizontal="left"/>
      <protection locked="0"/>
    </xf>
    <xf numFmtId="38" fontId="65" fillId="2" borderId="13" xfId="15" applyNumberFormat="1" applyFont="1" applyFill="1" applyBorder="1" applyAlignment="1" applyProtection="1">
      <alignment horizontal="left"/>
      <protection locked="0"/>
    </xf>
    <xf numFmtId="0" fontId="24" fillId="0" borderId="0" xfId="15" applyFont="1" applyAlignment="1">
      <alignment horizontal="center"/>
    </xf>
    <xf numFmtId="0" fontId="23" fillId="0" borderId="0" xfId="0" applyFont="1" applyAlignment="1">
      <alignment horizontal="center"/>
    </xf>
    <xf numFmtId="38" fontId="55" fillId="2" borderId="2" xfId="15" applyNumberFormat="1" applyFont="1" applyFill="1" applyBorder="1" applyAlignment="1" applyProtection="1">
      <alignment horizontal="left"/>
      <protection locked="0"/>
    </xf>
    <xf numFmtId="0" fontId="81" fillId="0" borderId="2" xfId="0" applyFont="1" applyBorder="1" applyAlignment="1" applyProtection="1">
      <alignment horizontal="left"/>
      <protection locked="0"/>
    </xf>
    <xf numFmtId="169" fontId="22" fillId="2" borderId="2" xfId="15" applyNumberFormat="1" applyFont="1" applyFill="1" applyBorder="1" applyAlignment="1" applyProtection="1">
      <alignment horizontal="left"/>
      <protection locked="0"/>
    </xf>
    <xf numFmtId="169" fontId="24" fillId="0" borderId="2" xfId="0" applyNumberFormat="1" applyFont="1" applyBorder="1" applyAlignment="1" applyProtection="1">
      <alignment horizontal="left"/>
      <protection locked="0"/>
    </xf>
    <xf numFmtId="38" fontId="22" fillId="0" borderId="2" xfId="15" applyNumberFormat="1" applyFont="1" applyBorder="1" applyAlignment="1">
      <alignment horizontal="left"/>
    </xf>
    <xf numFmtId="0" fontId="24" fillId="0" borderId="2" xfId="0" applyFont="1" applyBorder="1" applyAlignment="1">
      <alignment horizontal="left"/>
    </xf>
    <xf numFmtId="38" fontId="22" fillId="2" borderId="2" xfId="15" applyNumberFormat="1" applyFont="1" applyFill="1" applyBorder="1" applyAlignment="1" applyProtection="1">
      <alignment horizontal="left"/>
      <protection locked="0"/>
    </xf>
    <xf numFmtId="0" fontId="24" fillId="0" borderId="2" xfId="0" applyFont="1" applyBorder="1" applyAlignment="1" applyProtection="1">
      <alignment horizontal="left"/>
      <protection locked="0"/>
    </xf>
    <xf numFmtId="183" fontId="22" fillId="2" borderId="2" xfId="15" applyNumberFormat="1" applyFont="1" applyFill="1" applyBorder="1" applyAlignment="1" applyProtection="1">
      <alignment horizontal="left"/>
      <protection locked="0"/>
    </xf>
    <xf numFmtId="183" fontId="24" fillId="0" borderId="2" xfId="0" applyNumberFormat="1" applyFont="1" applyBorder="1" applyAlignment="1" applyProtection="1">
      <alignment horizontal="left"/>
      <protection locked="0"/>
    </xf>
    <xf numFmtId="0" fontId="24" fillId="0" borderId="3" xfId="15" applyFont="1" applyBorder="1" applyAlignment="1">
      <alignment horizontal="center"/>
    </xf>
    <xf numFmtId="0" fontId="15" fillId="2" borderId="15" xfId="15" applyFill="1" applyBorder="1" applyAlignment="1" applyProtection="1">
      <alignment horizontal="left" wrapText="1"/>
      <protection locked="0"/>
    </xf>
    <xf numFmtId="0" fontId="18" fillId="2" borderId="13" xfId="15" applyFont="1" applyFill="1" applyBorder="1" applyAlignment="1" applyProtection="1">
      <alignment horizontal="left" wrapText="1"/>
      <protection locked="0"/>
    </xf>
    <xf numFmtId="0" fontId="18" fillId="2" borderId="15" xfId="15" applyFont="1" applyFill="1" applyBorder="1" applyAlignment="1" applyProtection="1">
      <alignment horizontal="left" wrapText="1"/>
      <protection locked="0"/>
    </xf>
    <xf numFmtId="0" fontId="23" fillId="2" borderId="15" xfId="0" applyFont="1" applyFill="1" applyBorder="1" applyAlignment="1" applyProtection="1">
      <alignment vertical="center" wrapText="1"/>
      <protection locked="0"/>
    </xf>
    <xf numFmtId="0" fontId="23" fillId="2" borderId="5" xfId="0" applyFont="1" applyFill="1" applyBorder="1" applyAlignment="1" applyProtection="1">
      <alignment vertical="center" wrapText="1"/>
      <protection locked="0"/>
    </xf>
    <xf numFmtId="0" fontId="23" fillId="2" borderId="13" xfId="0" applyFont="1" applyFill="1" applyBorder="1" applyAlignment="1" applyProtection="1">
      <alignment vertical="center" wrapText="1"/>
      <protection locked="0"/>
    </xf>
    <xf numFmtId="0" fontId="13" fillId="2" borderId="15" xfId="14" applyFont="1" applyFill="1" applyBorder="1" applyAlignment="1" applyProtection="1">
      <alignment vertical="top" wrapText="1"/>
      <protection locked="0"/>
    </xf>
    <xf numFmtId="0" fontId="13" fillId="2" borderId="5" xfId="0" applyFont="1" applyFill="1" applyBorder="1" applyAlignment="1" applyProtection="1">
      <alignment vertical="top" wrapText="1"/>
      <protection locked="0"/>
    </xf>
    <xf numFmtId="0" fontId="13" fillId="2" borderId="13" xfId="0" applyFont="1" applyFill="1" applyBorder="1" applyAlignment="1" applyProtection="1">
      <alignment vertical="top" wrapText="1"/>
      <protection locked="0"/>
    </xf>
    <xf numFmtId="0" fontId="23" fillId="0" borderId="15" xfId="0" applyFont="1" applyBorder="1"/>
    <xf numFmtId="169" fontId="23" fillId="2" borderId="15" xfId="0" applyNumberFormat="1" applyFont="1" applyFill="1" applyBorder="1" applyAlignment="1" applyProtection="1">
      <alignment horizontal="left"/>
      <protection locked="0"/>
    </xf>
    <xf numFmtId="169" fontId="23" fillId="2" borderId="13" xfId="0" applyNumberFormat="1" applyFont="1" applyFill="1" applyBorder="1" applyAlignment="1" applyProtection="1">
      <alignment horizontal="left"/>
      <protection locked="0"/>
    </xf>
    <xf numFmtId="10" fontId="23" fillId="2" borderId="15" xfId="29" applyNumberFormat="1" applyFont="1" applyFill="1" applyBorder="1" applyAlignment="1" applyProtection="1">
      <alignment horizontal="left"/>
      <protection locked="0"/>
    </xf>
    <xf numFmtId="10" fontId="23" fillId="2" borderId="13" xfId="29" applyNumberFormat="1" applyFont="1" applyFill="1" applyBorder="1" applyAlignment="1" applyProtection="1">
      <alignment horizontal="left"/>
      <protection locked="0"/>
    </xf>
    <xf numFmtId="0" fontId="23" fillId="0" borderId="0" xfId="0" applyFont="1"/>
    <xf numFmtId="0" fontId="13" fillId="0" borderId="5"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50" fillId="2" borderId="18" xfId="0" applyFont="1" applyFill="1" applyBorder="1" applyAlignment="1" applyProtection="1">
      <alignment horizontal="left" vertical="center" wrapText="1"/>
      <protection locked="0"/>
    </xf>
    <xf numFmtId="0" fontId="50" fillId="2" borderId="16" xfId="0" applyFont="1" applyFill="1" applyBorder="1" applyAlignment="1" applyProtection="1">
      <alignment horizontal="left" vertical="center" wrapText="1"/>
      <protection locked="0"/>
    </xf>
    <xf numFmtId="0" fontId="50" fillId="2" borderId="19" xfId="0" applyFont="1" applyFill="1" applyBorder="1" applyAlignment="1" applyProtection="1">
      <alignment horizontal="left" vertical="center" wrapText="1"/>
      <protection locked="0"/>
    </xf>
    <xf numFmtId="0" fontId="50" fillId="2" borderId="9" xfId="0" applyFont="1" applyFill="1" applyBorder="1" applyAlignment="1" applyProtection="1">
      <alignment horizontal="left" vertical="center" wrapText="1"/>
      <protection locked="0"/>
    </xf>
    <xf numFmtId="0" fontId="50" fillId="2" borderId="0" xfId="0" applyFont="1" applyFill="1" applyAlignment="1" applyProtection="1">
      <alignment horizontal="left" vertical="center" wrapText="1"/>
      <protection locked="0"/>
    </xf>
    <xf numFmtId="0" fontId="50" fillId="2" borderId="10" xfId="0" applyFont="1" applyFill="1" applyBorder="1" applyAlignment="1" applyProtection="1">
      <alignment horizontal="left" vertical="center" wrapText="1"/>
      <protection locked="0"/>
    </xf>
    <xf numFmtId="0" fontId="50" fillId="2" borderId="11" xfId="0" applyFont="1" applyFill="1" applyBorder="1" applyAlignment="1" applyProtection="1">
      <alignment horizontal="left" vertical="center" wrapText="1"/>
      <protection locked="0"/>
    </xf>
    <xf numFmtId="0" fontId="50" fillId="2" borderId="3" xfId="0" applyFont="1" applyFill="1" applyBorder="1" applyAlignment="1" applyProtection="1">
      <alignment horizontal="left" vertical="center" wrapText="1"/>
      <protection locked="0"/>
    </xf>
    <xf numFmtId="0" fontId="50" fillId="2" borderId="12" xfId="0" applyFont="1" applyFill="1" applyBorder="1" applyAlignment="1" applyProtection="1">
      <alignment horizontal="left" vertical="center" wrapText="1"/>
      <protection locked="0"/>
    </xf>
    <xf numFmtId="0" fontId="25" fillId="0" borderId="0" xfId="0" applyFont="1" applyAlignment="1">
      <alignment horizontal="left" wrapText="1"/>
    </xf>
    <xf numFmtId="0" fontId="23" fillId="2" borderId="15" xfId="0" applyFont="1" applyFill="1" applyBorder="1" applyAlignment="1" applyProtection="1">
      <alignment vertical="top" wrapText="1"/>
      <protection locked="0"/>
    </xf>
    <xf numFmtId="0" fontId="23" fillId="2" borderId="5" xfId="0" applyFont="1" applyFill="1" applyBorder="1" applyAlignment="1" applyProtection="1">
      <alignment vertical="top" wrapText="1"/>
      <protection locked="0"/>
    </xf>
    <xf numFmtId="0" fontId="23" fillId="2" borderId="13" xfId="0" applyFont="1" applyFill="1" applyBorder="1" applyAlignment="1" applyProtection="1">
      <alignment vertical="top" wrapText="1"/>
      <protection locked="0"/>
    </xf>
    <xf numFmtId="0" fontId="23" fillId="0" borderId="18" xfId="32" applyFont="1" applyBorder="1" applyAlignment="1">
      <alignment horizontal="left" wrapText="1"/>
    </xf>
    <xf numFmtId="0" fontId="23" fillId="0" borderId="16" xfId="32" applyFont="1" applyBorder="1" applyAlignment="1">
      <alignment horizontal="left" wrapText="1"/>
    </xf>
    <xf numFmtId="0" fontId="23" fillId="0" borderId="19" xfId="32" applyFont="1" applyBorder="1" applyAlignment="1">
      <alignment horizontal="left" wrapText="1"/>
    </xf>
    <xf numFmtId="0" fontId="23" fillId="0" borderId="2" xfId="32" applyFont="1" applyBorder="1" applyAlignment="1">
      <alignment vertical="center" wrapText="1"/>
    </xf>
    <xf numFmtId="0" fontId="23" fillId="0" borderId="11" xfId="32" applyFont="1" applyBorder="1" applyAlignment="1">
      <alignment vertical="center" wrapText="1"/>
    </xf>
    <xf numFmtId="0" fontId="23" fillId="0" borderId="3" xfId="32" applyFont="1" applyBorder="1" applyAlignment="1">
      <alignment vertical="center" wrapText="1"/>
    </xf>
    <xf numFmtId="0" fontId="23" fillId="0" borderId="12" xfId="32" applyFont="1" applyBorder="1" applyAlignment="1">
      <alignment vertical="center" wrapText="1"/>
    </xf>
    <xf numFmtId="38" fontId="25" fillId="0" borderId="2" xfId="15" applyNumberFormat="1" applyFont="1" applyBorder="1" applyAlignment="1">
      <alignment horizontal="left"/>
    </xf>
    <xf numFmtId="0" fontId="23" fillId="0" borderId="2" xfId="0" applyFont="1" applyBorder="1" applyAlignment="1">
      <alignment horizontal="left"/>
    </xf>
    <xf numFmtId="0" fontId="78" fillId="2" borderId="2" xfId="0" applyFont="1" applyFill="1" applyBorder="1" applyAlignment="1" applyProtection="1">
      <alignment horizontal="left"/>
      <protection locked="0"/>
    </xf>
    <xf numFmtId="169" fontId="23" fillId="2" borderId="2" xfId="0" applyNumberFormat="1" applyFont="1" applyFill="1" applyBorder="1" applyAlignment="1" applyProtection="1">
      <alignment horizontal="left"/>
      <protection locked="0"/>
    </xf>
    <xf numFmtId="0" fontId="23" fillId="2" borderId="2" xfId="0" applyFont="1" applyFill="1" applyBorder="1" applyAlignment="1" applyProtection="1">
      <alignment horizontal="left"/>
      <protection locked="0"/>
    </xf>
    <xf numFmtId="183" fontId="23" fillId="2" borderId="2" xfId="0" applyNumberFormat="1" applyFont="1" applyFill="1" applyBorder="1" applyAlignment="1" applyProtection="1">
      <alignment horizontal="left"/>
      <protection locked="0"/>
    </xf>
    <xf numFmtId="0" fontId="62" fillId="0" borderId="0" xfId="0" applyFont="1" applyAlignment="1">
      <alignment wrapText="1"/>
    </xf>
    <xf numFmtId="0" fontId="23" fillId="0" borderId="2" xfId="0" applyFont="1" applyBorder="1" applyAlignment="1">
      <alignment horizontal="left" vertical="top" wrapText="1"/>
    </xf>
    <xf numFmtId="0" fontId="23" fillId="2" borderId="2" xfId="0" applyFont="1" applyFill="1" applyBorder="1" applyAlignment="1" applyProtection="1">
      <alignment horizontal="center" vertical="center" wrapText="1"/>
      <protection locked="0"/>
    </xf>
    <xf numFmtId="0" fontId="23" fillId="0" borderId="0" xfId="0" applyFont="1" applyAlignment="1">
      <alignment horizontal="left" wrapText="1"/>
    </xf>
    <xf numFmtId="0" fontId="42" fillId="0" borderId="3" xfId="12" applyFont="1" applyBorder="1" applyAlignment="1">
      <alignment horizontal="left" wrapText="1"/>
    </xf>
    <xf numFmtId="0" fontId="66" fillId="0" borderId="15" xfId="12" applyFont="1" applyBorder="1" applyAlignment="1">
      <alignment vertical="top" wrapText="1"/>
    </xf>
    <xf numFmtId="0" fontId="66" fillId="0" borderId="5" xfId="16" applyFont="1" applyBorder="1" applyAlignment="1">
      <alignment wrapText="1"/>
    </xf>
    <xf numFmtId="0" fontId="66" fillId="0" borderId="13" xfId="16" applyFont="1" applyBorder="1" applyAlignment="1">
      <alignment wrapText="1"/>
    </xf>
    <xf numFmtId="0" fontId="66" fillId="0" borderId="2" xfId="12" applyFont="1" applyBorder="1" applyAlignment="1">
      <alignment vertical="top" wrapText="1"/>
    </xf>
    <xf numFmtId="0" fontId="67" fillId="0" borderId="2" xfId="12" applyFont="1" applyBorder="1" applyAlignment="1">
      <alignment vertical="top" wrapText="1"/>
    </xf>
    <xf numFmtId="0" fontId="66" fillId="0" borderId="2" xfId="12" applyFont="1" applyBorder="1" applyAlignment="1">
      <alignment horizontal="left" vertical="top" wrapText="1"/>
    </xf>
    <xf numFmtId="0" fontId="116" fillId="10" borderId="15" xfId="12" applyFont="1" applyFill="1" applyBorder="1" applyAlignment="1">
      <alignment vertical="top" wrapText="1"/>
    </xf>
    <xf numFmtId="0" fontId="23" fillId="10" borderId="5" xfId="203" applyFill="1" applyBorder="1" applyAlignment="1">
      <alignment wrapText="1"/>
    </xf>
    <xf numFmtId="0" fontId="23" fillId="10" borderId="19" xfId="203" applyFill="1" applyBorder="1" applyAlignment="1">
      <alignment wrapText="1"/>
    </xf>
    <xf numFmtId="0" fontId="66" fillId="0" borderId="2" xfId="0" applyFont="1" applyBorder="1" applyAlignment="1">
      <alignment horizontal="right" vertical="center" wrapText="1"/>
    </xf>
    <xf numFmtId="0" fontId="101" fillId="0" borderId="2" xfId="16" applyFont="1" applyBorder="1" applyAlignment="1">
      <alignment horizontal="left" vertical="top" wrapText="1"/>
    </xf>
    <xf numFmtId="0" fontId="101" fillId="0" borderId="7" xfId="16" applyFont="1" applyBorder="1" applyAlignment="1">
      <alignment horizontal="left" vertical="top" wrapText="1"/>
    </xf>
    <xf numFmtId="0" fontId="66" fillId="0" borderId="15" xfId="0" applyFont="1" applyBorder="1" applyAlignment="1">
      <alignment horizontal="right" vertical="top"/>
    </xf>
    <xf numFmtId="0" fontId="66" fillId="0" borderId="19" xfId="0" applyFont="1" applyBorder="1" applyAlignment="1">
      <alignment horizontal="right" vertical="top"/>
    </xf>
    <xf numFmtId="0" fontId="66" fillId="0" borderId="15" xfId="0" applyFont="1" applyBorder="1" applyAlignment="1">
      <alignment horizontal="right" vertical="center" wrapText="1"/>
    </xf>
    <xf numFmtId="0" fontId="66" fillId="0" borderId="13" xfId="0" applyFont="1" applyBorder="1" applyAlignment="1">
      <alignment horizontal="right" vertical="center" wrapText="1"/>
    </xf>
    <xf numFmtId="0" fontId="42" fillId="0" borderId="0" xfId="0" applyFont="1" applyAlignment="1">
      <alignment wrapText="1"/>
    </xf>
    <xf numFmtId="0" fontId="37" fillId="0" borderId="0" xfId="0" applyFont="1" applyAlignment="1">
      <alignment wrapText="1"/>
    </xf>
    <xf numFmtId="42" fontId="66" fillId="2" borderId="15" xfId="0" applyNumberFormat="1" applyFont="1" applyFill="1" applyBorder="1" applyAlignment="1" applyProtection="1">
      <alignment horizontal="center" vertical="center" wrapText="1"/>
      <protection locked="0"/>
    </xf>
    <xf numFmtId="42" fontId="66" fillId="2" borderId="13" xfId="0" applyNumberFormat="1" applyFont="1" applyFill="1" applyBorder="1" applyAlignment="1" applyProtection="1">
      <alignment horizontal="center" vertical="center" wrapText="1"/>
      <protection locked="0"/>
    </xf>
    <xf numFmtId="0" fontId="66" fillId="0" borderId="15" xfId="0" applyFont="1" applyBorder="1" applyAlignment="1">
      <alignment vertical="top" wrapText="1"/>
    </xf>
    <xf numFmtId="0" fontId="66" fillId="0" borderId="5" xfId="0" applyFont="1" applyBorder="1" applyAlignment="1">
      <alignment vertical="top" wrapText="1"/>
    </xf>
    <xf numFmtId="0" fontId="66" fillId="0" borderId="13" xfId="0" applyFont="1" applyBorder="1" applyAlignment="1">
      <alignment vertical="top" wrapText="1"/>
    </xf>
    <xf numFmtId="0" fontId="66" fillId="0" borderId="15" xfId="0" applyFont="1" applyBorder="1" applyAlignment="1">
      <alignment horizontal="right" wrapText="1"/>
    </xf>
    <xf numFmtId="0" fontId="66" fillId="0" borderId="13" xfId="0" applyFont="1" applyBorder="1" applyAlignment="1">
      <alignment horizontal="right" wrapText="1"/>
    </xf>
    <xf numFmtId="0" fontId="66" fillId="0" borderId="2" xfId="0" applyFont="1" applyBorder="1" applyAlignment="1">
      <alignment horizontal="right" vertical="top" wrapText="1"/>
    </xf>
    <xf numFmtId="0" fontId="42" fillId="0" borderId="2" xfId="0" applyFont="1" applyBorder="1"/>
    <xf numFmtId="0" fontId="66" fillId="0" borderId="2" xfId="0" applyFont="1" applyBorder="1"/>
    <xf numFmtId="0" fontId="23" fillId="0" borderId="18" xfId="12" applyFont="1" applyBorder="1" applyAlignment="1">
      <alignment horizontal="left" vertical="top" wrapText="1"/>
    </xf>
    <xf numFmtId="0" fontId="25" fillId="0" borderId="16" xfId="12" applyFont="1" applyBorder="1" applyAlignment="1">
      <alignment horizontal="left" vertical="top" wrapText="1"/>
    </xf>
    <xf numFmtId="0" fontId="25" fillId="0" borderId="19" xfId="12" applyFont="1" applyBorder="1" applyAlignment="1">
      <alignment horizontal="left" vertical="top" wrapText="1"/>
    </xf>
    <xf numFmtId="0" fontId="102" fillId="0" borderId="9" xfId="32" applyFont="1" applyBorder="1" applyAlignment="1">
      <alignment horizontal="left" wrapText="1"/>
    </xf>
    <xf numFmtId="0" fontId="102" fillId="0" borderId="0" xfId="32" applyFont="1" applyAlignment="1">
      <alignment horizontal="left" wrapText="1"/>
    </xf>
    <xf numFmtId="0" fontId="102" fillId="0" borderId="10" xfId="32" applyFont="1" applyBorder="1" applyAlignment="1">
      <alignment horizontal="left" wrapText="1"/>
    </xf>
    <xf numFmtId="0" fontId="66" fillId="0" borderId="11" xfId="12" applyFont="1" applyBorder="1" applyAlignment="1">
      <alignment horizontal="left" wrapText="1"/>
    </xf>
    <xf numFmtId="0" fontId="66" fillId="0" borderId="3" xfId="32" applyFont="1" applyBorder="1" applyAlignment="1">
      <alignment horizontal="left" wrapText="1"/>
    </xf>
    <xf numFmtId="0" fontId="66" fillId="0" borderId="12" xfId="32" applyFont="1" applyBorder="1" applyAlignment="1">
      <alignment horizontal="left" wrapText="1"/>
    </xf>
    <xf numFmtId="0" fontId="66" fillId="0" borderId="0" xfId="12" applyFont="1" applyAlignment="1">
      <alignment vertical="top" wrapText="1"/>
    </xf>
    <xf numFmtId="0" fontId="66" fillId="0" borderId="0" xfId="32" applyFont="1" applyAlignment="1">
      <alignment wrapText="1"/>
    </xf>
    <xf numFmtId="0" fontId="66" fillId="0" borderId="16" xfId="32" applyFont="1" applyBorder="1" applyAlignment="1">
      <alignment wrapText="1"/>
    </xf>
    <xf numFmtId="0" fontId="102" fillId="0" borderId="3" xfId="12" applyFont="1" applyBorder="1" applyAlignment="1">
      <alignment horizontal="left" wrapText="1"/>
    </xf>
    <xf numFmtId="0" fontId="105" fillId="0" borderId="15" xfId="12" applyFont="1" applyBorder="1" applyAlignment="1">
      <alignment vertical="top" wrapText="1"/>
    </xf>
    <xf numFmtId="0" fontId="105" fillId="0" borderId="5" xfId="12" applyFont="1" applyBorder="1" applyAlignment="1">
      <alignment vertical="top" wrapText="1"/>
    </xf>
    <xf numFmtId="0" fontId="105" fillId="0" borderId="13" xfId="12" applyFont="1" applyBorder="1" applyAlignment="1">
      <alignment vertical="top" wrapText="1"/>
    </xf>
    <xf numFmtId="0" fontId="70" fillId="0" borderId="5" xfId="0" applyFont="1" applyBorder="1" applyAlignment="1">
      <alignment horizontal="left"/>
    </xf>
    <xf numFmtId="0" fontId="66" fillId="0" borderId="15" xfId="32" applyFont="1" applyBorder="1" applyAlignment="1">
      <alignment vertical="top" wrapText="1"/>
    </xf>
    <xf numFmtId="0" fontId="66" fillId="0" borderId="5" xfId="32" applyFont="1" applyBorder="1" applyAlignment="1">
      <alignment vertical="top" wrapText="1"/>
    </xf>
    <xf numFmtId="0" fontId="66" fillId="0" borderId="13" xfId="32" applyFont="1" applyBorder="1" applyAlignment="1">
      <alignment vertical="top" wrapText="1"/>
    </xf>
    <xf numFmtId="0" fontId="101" fillId="0" borderId="15" xfId="12" applyFont="1" applyBorder="1" applyAlignment="1">
      <alignment vertical="top"/>
    </xf>
    <xf numFmtId="0" fontId="106" fillId="0" borderId="13" xfId="0" applyFont="1" applyBorder="1" applyAlignment="1">
      <alignment vertical="top"/>
    </xf>
    <xf numFmtId="38" fontId="25" fillId="0" borderId="15" xfId="15" applyNumberFormat="1" applyFont="1" applyBorder="1" applyAlignment="1">
      <alignment horizontal="center" wrapText="1"/>
    </xf>
    <xf numFmtId="38" fontId="25" fillId="0" borderId="5" xfId="15" applyNumberFormat="1" applyFont="1" applyBorder="1" applyAlignment="1">
      <alignment horizontal="center" wrapText="1"/>
    </xf>
    <xf numFmtId="38" fontId="25" fillId="0" borderId="13" xfId="15" applyNumberFormat="1" applyFont="1" applyBorder="1" applyAlignment="1">
      <alignment horizontal="center" wrapText="1"/>
    </xf>
    <xf numFmtId="38" fontId="25" fillId="2" borderId="5" xfId="15" applyNumberFormat="1" applyFont="1" applyFill="1" applyBorder="1" applyAlignment="1" applyProtection="1">
      <alignment horizontal="left"/>
      <protection locked="0"/>
    </xf>
    <xf numFmtId="38" fontId="25" fillId="2" borderId="13" xfId="15" applyNumberFormat="1" applyFont="1" applyFill="1" applyBorder="1" applyAlignment="1" applyProtection="1">
      <alignment horizontal="left"/>
      <protection locked="0"/>
    </xf>
    <xf numFmtId="38" fontId="75" fillId="2" borderId="5" xfId="15" applyNumberFormat="1" applyFont="1" applyFill="1" applyBorder="1" applyAlignment="1" applyProtection="1">
      <alignment horizontal="left"/>
      <protection locked="0"/>
    </xf>
    <xf numFmtId="38" fontId="75" fillId="2" borderId="13" xfId="15" applyNumberFormat="1" applyFont="1" applyFill="1" applyBorder="1" applyAlignment="1" applyProtection="1">
      <alignment horizontal="left"/>
      <protection locked="0"/>
    </xf>
    <xf numFmtId="0" fontId="23" fillId="10" borderId="0" xfId="0" applyFont="1" applyFill="1" applyAlignment="1">
      <alignment horizontal="left" wrapText="1"/>
    </xf>
    <xf numFmtId="165" fontId="24" fillId="2" borderId="32" xfId="1" applyNumberFormat="1" applyFont="1" applyFill="1" applyBorder="1" applyAlignment="1" applyProtection="1">
      <alignment horizontal="left" wrapText="1"/>
      <protection locked="0"/>
    </xf>
    <xf numFmtId="165" fontId="24" fillId="2" borderId="33" xfId="1" applyNumberFormat="1" applyFont="1" applyFill="1" applyBorder="1" applyAlignment="1" applyProtection="1">
      <alignment horizontal="left" wrapText="1"/>
      <protection locked="0"/>
    </xf>
    <xf numFmtId="165" fontId="24" fillId="2" borderId="34" xfId="1" applyNumberFormat="1" applyFont="1" applyFill="1" applyBorder="1" applyAlignment="1" applyProtection="1">
      <alignment horizontal="left" wrapText="1"/>
      <protection locked="0"/>
    </xf>
    <xf numFmtId="0" fontId="23" fillId="0" borderId="3" xfId="0" applyFont="1" applyBorder="1" applyAlignment="1">
      <alignment horizontal="center"/>
    </xf>
    <xf numFmtId="0" fontId="23" fillId="7" borderId="5" xfId="0" applyFont="1" applyFill="1" applyBorder="1" applyAlignment="1" applyProtection="1">
      <alignment horizontal="center" vertical="top" wrapText="1"/>
      <protection locked="0"/>
    </xf>
    <xf numFmtId="0" fontId="23" fillId="7" borderId="13" xfId="0" applyFont="1" applyFill="1" applyBorder="1" applyAlignment="1" applyProtection="1">
      <alignment horizontal="center" vertical="top" wrapText="1"/>
      <protection locked="0"/>
    </xf>
    <xf numFmtId="0" fontId="23" fillId="0" borderId="9" xfId="0" applyFont="1" applyBorder="1" applyAlignment="1">
      <alignment horizontal="left" wrapText="1"/>
    </xf>
    <xf numFmtId="0" fontId="81" fillId="2" borderId="2" xfId="0" applyFont="1" applyFill="1" applyBorder="1" applyAlignment="1" applyProtection="1">
      <alignment horizontal="left"/>
      <protection locked="0"/>
    </xf>
    <xf numFmtId="169" fontId="24" fillId="2" borderId="2" xfId="0" applyNumberFormat="1" applyFont="1" applyFill="1" applyBorder="1" applyAlignment="1" applyProtection="1">
      <alignment horizontal="left"/>
      <protection locked="0"/>
    </xf>
    <xf numFmtId="0" fontId="24" fillId="2" borderId="2" xfId="0" applyFont="1" applyFill="1" applyBorder="1" applyAlignment="1" applyProtection="1">
      <alignment horizontal="left"/>
      <protection locked="0"/>
    </xf>
    <xf numFmtId="183" fontId="24" fillId="2" borderId="2" xfId="0" applyNumberFormat="1" applyFont="1" applyFill="1" applyBorder="1" applyAlignment="1" applyProtection="1">
      <alignment horizontal="left"/>
      <protection locked="0"/>
    </xf>
    <xf numFmtId="38" fontId="25" fillId="0" borderId="15" xfId="15" applyNumberFormat="1" applyFont="1" applyBorder="1" applyAlignment="1">
      <alignment horizontal="left" wrapText="1"/>
    </xf>
    <xf numFmtId="38" fontId="25" fillId="0" borderId="5" xfId="15" applyNumberFormat="1" applyFont="1" applyBorder="1" applyAlignment="1">
      <alignment horizontal="left" wrapText="1"/>
    </xf>
    <xf numFmtId="0" fontId="23" fillId="0" borderId="5" xfId="0" applyFont="1" applyBorder="1" applyAlignment="1">
      <alignment horizontal="left" wrapText="1"/>
    </xf>
    <xf numFmtId="0" fontId="23" fillId="0" borderId="13" xfId="0" applyFont="1" applyBorder="1" applyAlignment="1">
      <alignment horizontal="left" wrapText="1"/>
    </xf>
    <xf numFmtId="41" fontId="23" fillId="0" borderId="15" xfId="0" applyNumberFormat="1" applyFont="1" applyBorder="1" applyAlignment="1">
      <alignment horizontal="center"/>
    </xf>
    <xf numFmtId="41" fontId="23" fillId="0" borderId="13" xfId="0" applyNumberFormat="1" applyFont="1" applyBorder="1" applyAlignment="1">
      <alignment horizontal="center"/>
    </xf>
    <xf numFmtId="0" fontId="23" fillId="0" borderId="15" xfId="0" applyFont="1" applyBorder="1" applyAlignment="1">
      <alignment horizontal="center" wrapText="1"/>
    </xf>
    <xf numFmtId="0" fontId="23" fillId="0" borderId="13" xfId="0" applyFont="1" applyBorder="1" applyAlignment="1">
      <alignment horizontal="center" wrapText="1"/>
    </xf>
    <xf numFmtId="0" fontId="23" fillId="2" borderId="18" xfId="0" applyFont="1" applyFill="1" applyBorder="1" applyAlignment="1" applyProtection="1">
      <alignment vertical="top" wrapText="1"/>
      <protection locked="0"/>
    </xf>
    <xf numFmtId="0" fontId="23" fillId="2" borderId="16" xfId="0" applyFont="1" applyFill="1" applyBorder="1" applyAlignment="1" applyProtection="1">
      <alignment vertical="top" wrapText="1"/>
      <protection locked="0"/>
    </xf>
    <xf numFmtId="0" fontId="23" fillId="2" borderId="19" xfId="0" applyFont="1" applyFill="1" applyBorder="1" applyAlignment="1" applyProtection="1">
      <alignment vertical="top" wrapText="1"/>
      <protection locked="0"/>
    </xf>
    <xf numFmtId="0" fontId="23" fillId="2" borderId="9" xfId="0" applyFont="1" applyFill="1" applyBorder="1" applyAlignment="1" applyProtection="1">
      <alignment vertical="top" wrapText="1"/>
      <protection locked="0"/>
    </xf>
    <xf numFmtId="0" fontId="23" fillId="2" borderId="0" xfId="0" applyFont="1" applyFill="1" applyAlignment="1" applyProtection="1">
      <alignment vertical="top" wrapText="1"/>
      <protection locked="0"/>
    </xf>
    <xf numFmtId="0" fontId="23" fillId="2" borderId="10" xfId="0" applyFont="1" applyFill="1" applyBorder="1" applyAlignment="1" applyProtection="1">
      <alignment vertical="top" wrapText="1"/>
      <protection locked="0"/>
    </xf>
    <xf numFmtId="0" fontId="23" fillId="2" borderId="11" xfId="0" applyFont="1" applyFill="1" applyBorder="1" applyAlignment="1" applyProtection="1">
      <alignment vertical="top" wrapText="1"/>
      <protection locked="0"/>
    </xf>
    <xf numFmtId="0" fontId="23" fillId="2" borderId="3" xfId="0" applyFont="1" applyFill="1" applyBorder="1" applyAlignment="1" applyProtection="1">
      <alignment vertical="top" wrapText="1"/>
      <protection locked="0"/>
    </xf>
    <xf numFmtId="0" fontId="23" fillId="2" borderId="12" xfId="0" applyFont="1" applyFill="1" applyBorder="1" applyAlignment="1" applyProtection="1">
      <alignment vertical="top" wrapText="1"/>
      <protection locked="0"/>
    </xf>
    <xf numFmtId="41" fontId="25" fillId="0" borderId="0" xfId="0" applyNumberFormat="1" applyFont="1" applyAlignment="1">
      <alignment horizontal="center" wrapText="1"/>
    </xf>
    <xf numFmtId="0" fontId="25" fillId="0" borderId="0" xfId="0" applyFont="1" applyAlignment="1">
      <alignment horizontal="center" wrapText="1"/>
    </xf>
    <xf numFmtId="0" fontId="23" fillId="0" borderId="2" xfId="0" applyFont="1" applyBorder="1" applyAlignment="1">
      <alignment wrapText="1"/>
    </xf>
    <xf numFmtId="0" fontId="0" fillId="0" borderId="2" xfId="0" applyBorder="1" applyAlignment="1">
      <alignment wrapText="1"/>
    </xf>
    <xf numFmtId="0" fontId="23" fillId="0" borderId="7" xfId="0" applyFont="1" applyBorder="1" applyAlignment="1">
      <alignment wrapText="1"/>
    </xf>
    <xf numFmtId="0" fontId="39" fillId="0" borderId="0" xfId="0" applyFont="1" applyAlignment="1">
      <alignment horizontal="left"/>
    </xf>
    <xf numFmtId="0" fontId="0" fillId="0" borderId="2" xfId="0" applyBorder="1"/>
    <xf numFmtId="0" fontId="23" fillId="0" borderId="15" xfId="0" applyFont="1" applyBorder="1" applyAlignment="1">
      <alignment wrapText="1"/>
    </xf>
    <xf numFmtId="38" fontId="25" fillId="0" borderId="2" xfId="15" applyNumberFormat="1" applyFont="1" applyBorder="1" applyAlignment="1">
      <alignment horizontal="left" wrapText="1"/>
    </xf>
    <xf numFmtId="38" fontId="25" fillId="2" borderId="2" xfId="15" applyNumberFormat="1" applyFont="1" applyFill="1" applyBorder="1" applyAlignment="1" applyProtection="1">
      <alignment horizontal="left" wrapText="1"/>
      <protection locked="0"/>
    </xf>
    <xf numFmtId="0" fontId="23" fillId="0" borderId="2" xfId="0" applyFont="1" applyBorder="1" applyAlignment="1" applyProtection="1">
      <alignment wrapText="1"/>
      <protection locked="0"/>
    </xf>
    <xf numFmtId="183" fontId="25" fillId="2" borderId="2" xfId="15" applyNumberFormat="1" applyFont="1" applyFill="1" applyBorder="1" applyAlignment="1" applyProtection="1">
      <alignment horizontal="left" wrapText="1"/>
      <protection locked="0"/>
    </xf>
    <xf numFmtId="38" fontId="75" fillId="2" borderId="2" xfId="15" applyNumberFormat="1" applyFont="1" applyFill="1" applyBorder="1" applyAlignment="1" applyProtection="1">
      <alignment horizontal="left" wrapText="1"/>
      <protection locked="0"/>
    </xf>
    <xf numFmtId="169" fontId="25" fillId="2" borderId="2" xfId="15" applyNumberFormat="1" applyFont="1" applyFill="1" applyBorder="1" applyAlignment="1" applyProtection="1">
      <alignment horizontal="left" wrapText="1"/>
      <protection locked="0"/>
    </xf>
    <xf numFmtId="169" fontId="23" fillId="0" borderId="2" xfId="0" applyNumberFormat="1" applyFont="1" applyBorder="1" applyAlignment="1" applyProtection="1">
      <alignment wrapText="1"/>
      <protection locked="0"/>
    </xf>
    <xf numFmtId="0" fontId="22" fillId="0" borderId="0" xfId="15" applyFont="1" applyAlignment="1">
      <alignment horizontal="left" wrapText="1"/>
    </xf>
    <xf numFmtId="0" fontId="23" fillId="0" borderId="11" xfId="9" applyFont="1" applyBorder="1" applyAlignment="1">
      <alignment horizontal="left" wrapText="1"/>
    </xf>
    <xf numFmtId="0" fontId="0" fillId="0" borderId="3" xfId="0" applyBorder="1"/>
    <xf numFmtId="0" fontId="0" fillId="0" borderId="12" xfId="0" applyBorder="1"/>
    <xf numFmtId="0" fontId="23" fillId="0" borderId="18" xfId="9" applyFont="1" applyBorder="1" applyAlignment="1">
      <alignment horizontal="left" wrapText="1"/>
    </xf>
    <xf numFmtId="0" fontId="0" fillId="0" borderId="16" xfId="0" applyBorder="1"/>
    <xf numFmtId="0" fontId="0" fillId="0" borderId="19" xfId="0" applyBorder="1"/>
    <xf numFmtId="0" fontId="25" fillId="0" borderId="15" xfId="0" applyFont="1" applyBorder="1" applyAlignment="1">
      <alignment horizontal="left" vertical="top" wrapText="1"/>
    </xf>
    <xf numFmtId="0" fontId="25" fillId="0" borderId="5" xfId="0" applyFont="1" applyBorder="1" applyAlignment="1">
      <alignment horizontal="left" vertical="top" wrapText="1"/>
    </xf>
    <xf numFmtId="0" fontId="25" fillId="0" borderId="13" xfId="0" applyFont="1" applyBorder="1" applyAlignment="1">
      <alignment horizontal="left" vertical="top" wrapText="1"/>
    </xf>
    <xf numFmtId="0" fontId="23" fillId="0" borderId="15" xfId="0" applyFont="1" applyBorder="1" applyAlignment="1">
      <alignment horizontal="left" vertical="top" wrapText="1"/>
    </xf>
    <xf numFmtId="0" fontId="23" fillId="0" borderId="5" xfId="0" applyFont="1" applyBorder="1" applyAlignment="1">
      <alignment horizontal="left" vertical="top" wrapText="1"/>
    </xf>
    <xf numFmtId="0" fontId="23" fillId="0" borderId="13" xfId="0" applyFont="1" applyBorder="1" applyAlignment="1">
      <alignment horizontal="left" vertical="top" wrapText="1"/>
    </xf>
    <xf numFmtId="0" fontId="23" fillId="0" borderId="2" xfId="32" applyFont="1" applyBorder="1" applyAlignment="1">
      <alignment horizontal="left" vertical="top" wrapText="1"/>
    </xf>
    <xf numFmtId="0" fontId="25" fillId="0" borderId="2" xfId="32" applyFont="1" applyBorder="1" applyAlignment="1">
      <alignment horizontal="left" vertical="top" wrapText="1"/>
    </xf>
    <xf numFmtId="0" fontId="23" fillId="2" borderId="2" xfId="13" applyFont="1" applyFill="1" applyBorder="1" applyAlignment="1" applyProtection="1">
      <alignment horizontal="left" vertical="top" wrapText="1"/>
      <protection locked="0"/>
    </xf>
    <xf numFmtId="0" fontId="23" fillId="2" borderId="2" xfId="13" applyFont="1" applyFill="1" applyBorder="1" applyAlignment="1" applyProtection="1">
      <alignment wrapText="1"/>
      <protection locked="0"/>
    </xf>
    <xf numFmtId="38" fontId="25" fillId="0" borderId="13" xfId="15" applyNumberFormat="1" applyFont="1" applyBorder="1" applyAlignment="1">
      <alignment horizontal="left" wrapText="1"/>
    </xf>
    <xf numFmtId="0" fontId="25" fillId="0" borderId="18" xfId="0" applyFont="1" applyBorder="1" applyAlignment="1">
      <alignment horizontal="left" vertical="top" wrapText="1"/>
    </xf>
    <xf numFmtId="0" fontId="25" fillId="0" borderId="16" xfId="0" applyFont="1" applyBorder="1" applyAlignment="1">
      <alignment horizontal="left" vertical="top" wrapText="1"/>
    </xf>
    <xf numFmtId="0" fontId="25" fillId="0" borderId="19" xfId="0" applyFont="1" applyBorder="1" applyAlignment="1">
      <alignment horizontal="left" vertical="top" wrapText="1"/>
    </xf>
    <xf numFmtId="0" fontId="23" fillId="0" borderId="18"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3" xfId="0" applyFont="1" applyBorder="1" applyAlignment="1">
      <alignment horizontal="left" vertical="top" wrapText="1"/>
    </xf>
    <xf numFmtId="0" fontId="25" fillId="0" borderId="12" xfId="0" applyFont="1" applyBorder="1" applyAlignment="1">
      <alignment horizontal="left" vertical="top" wrapText="1"/>
    </xf>
    <xf numFmtId="0" fontId="23" fillId="0" borderId="0" xfId="9" applyFont="1" applyAlignment="1">
      <alignment horizontal="left" wrapText="1"/>
    </xf>
    <xf numFmtId="0" fontId="79" fillId="2" borderId="2" xfId="15" applyFont="1" applyFill="1" applyBorder="1" applyAlignment="1" applyProtection="1">
      <alignment horizontal="left"/>
      <protection locked="0"/>
    </xf>
    <xf numFmtId="0" fontId="79" fillId="2" borderId="2" xfId="0" applyFont="1" applyFill="1" applyBorder="1" applyAlignment="1" applyProtection="1">
      <alignment horizontal="left"/>
      <protection locked="0"/>
    </xf>
    <xf numFmtId="0" fontId="25" fillId="0" borderId="2" xfId="15" applyFont="1" applyBorder="1" applyAlignment="1">
      <alignment horizontal="left"/>
    </xf>
    <xf numFmtId="0" fontId="25" fillId="2" borderId="2" xfId="15" applyFont="1" applyFill="1" applyBorder="1" applyAlignment="1" applyProtection="1">
      <alignment horizontal="left"/>
      <protection locked="0"/>
    </xf>
  </cellXfs>
  <cellStyles count="205">
    <cellStyle name="CAFR no decimal" xfId="60" xr:uid="{00000000-0005-0000-0000-000000000000}"/>
    <cellStyle name="Calculation" xfId="202" builtinId="22"/>
    <cellStyle name="Comma" xfId="1" builtinId="3"/>
    <cellStyle name="Comma 2" xfId="35" xr:uid="{00000000-0005-0000-0000-000003000000}"/>
    <cellStyle name="Comma 2 2" xfId="149" xr:uid="{00000000-0005-0000-0000-000004000000}"/>
    <cellStyle name="Comma 3" xfId="53" xr:uid="{00000000-0005-0000-0000-000005000000}"/>
    <cellStyle name="Comma 3 2" xfId="85" xr:uid="{00000000-0005-0000-0000-000006000000}"/>
    <cellStyle name="Comma 3 2 2" xfId="102" xr:uid="{00000000-0005-0000-0000-000007000000}"/>
    <cellStyle name="Comma 3 2 3" xfId="93" xr:uid="{00000000-0005-0000-0000-000008000000}"/>
    <cellStyle name="Comma 3 3" xfId="72" xr:uid="{00000000-0005-0000-0000-000009000000}"/>
    <cellStyle name="Comma 3 3 2" xfId="131" xr:uid="{00000000-0005-0000-0000-00000A000000}"/>
    <cellStyle name="Comma 3 4" xfId="99" xr:uid="{00000000-0005-0000-0000-00000B000000}"/>
    <cellStyle name="Comma 4" xfId="103" xr:uid="{00000000-0005-0000-0000-00000C000000}"/>
    <cellStyle name="Comma 4 2" xfId="150" xr:uid="{00000000-0005-0000-0000-00000D000000}"/>
    <cellStyle name="Comma 4 2 2" xfId="151" xr:uid="{00000000-0005-0000-0000-00000E000000}"/>
    <cellStyle name="Comma 4 2 3" xfId="152" xr:uid="{00000000-0005-0000-0000-00000F000000}"/>
    <cellStyle name="Comma 4 3" xfId="153" xr:uid="{00000000-0005-0000-0000-000010000000}"/>
    <cellStyle name="Comma 4 4" xfId="154" xr:uid="{00000000-0005-0000-0000-000011000000}"/>
    <cellStyle name="Comma 4 5" xfId="155" xr:uid="{00000000-0005-0000-0000-000012000000}"/>
    <cellStyle name="Comma 4 6" xfId="156" xr:uid="{00000000-0005-0000-0000-000013000000}"/>
    <cellStyle name="Comma 5" xfId="147" xr:uid="{00000000-0005-0000-0000-000014000000}"/>
    <cellStyle name="Comma 5 2" xfId="157" xr:uid="{00000000-0005-0000-0000-000015000000}"/>
    <cellStyle name="Comma 5 3" xfId="201" xr:uid="{00000000-0005-0000-0000-000016000000}"/>
    <cellStyle name="Comma 6" xfId="148" xr:uid="{00000000-0005-0000-0000-000017000000}"/>
    <cellStyle name="Comma0" xfId="2" xr:uid="{00000000-0005-0000-0000-000018000000}"/>
    <cellStyle name="Currency 2" xfId="158" xr:uid="{00000000-0005-0000-0000-000019000000}"/>
    <cellStyle name="Currency 2 2" xfId="159" xr:uid="{00000000-0005-0000-0000-00001A000000}"/>
    <cellStyle name="Currency 2 2 2" xfId="160" xr:uid="{00000000-0005-0000-0000-00001B000000}"/>
    <cellStyle name="Currency 2 3" xfId="161" xr:uid="{00000000-0005-0000-0000-00001C000000}"/>
    <cellStyle name="Currency 2 4" xfId="162" xr:uid="{00000000-0005-0000-0000-00001D000000}"/>
    <cellStyle name="Currency 2 5" xfId="163" xr:uid="{00000000-0005-0000-0000-00001E000000}"/>
    <cellStyle name="Currency 2 6" xfId="164" xr:uid="{00000000-0005-0000-0000-00001F000000}"/>
    <cellStyle name="Currency 3" xfId="165" xr:uid="{00000000-0005-0000-0000-000020000000}"/>
    <cellStyle name="Currency 4" xfId="166" xr:uid="{00000000-0005-0000-0000-000021000000}"/>
    <cellStyle name="Currency 5" xfId="167" xr:uid="{00000000-0005-0000-0000-000022000000}"/>
    <cellStyle name="Currency0" xfId="3" xr:uid="{00000000-0005-0000-0000-000023000000}"/>
    <cellStyle name="Date" xfId="4" xr:uid="{00000000-0005-0000-0000-000024000000}"/>
    <cellStyle name="Fixed" xfId="5" xr:uid="{00000000-0005-0000-0000-000025000000}"/>
    <cellStyle name="Heading 1" xfId="6" builtinId="16" customBuiltin="1"/>
    <cellStyle name="Heading 1 2" xfId="36" xr:uid="{00000000-0005-0000-0000-000027000000}"/>
    <cellStyle name="Heading 1 3" xfId="104" xr:uid="{00000000-0005-0000-0000-000028000000}"/>
    <cellStyle name="Heading 2" xfId="7" builtinId="17" customBuiltin="1"/>
    <cellStyle name="Heading 2 2" xfId="37" xr:uid="{00000000-0005-0000-0000-00002A000000}"/>
    <cellStyle name="Heading 2 3" xfId="105" xr:uid="{00000000-0005-0000-0000-00002B000000}"/>
    <cellStyle name="Hyperlink" xfId="8" builtinId="8"/>
    <cellStyle name="Hyperlink 2" xfId="55" xr:uid="{00000000-0005-0000-0000-00002D000000}"/>
    <cellStyle name="Hyperlink 2 2" xfId="106" xr:uid="{00000000-0005-0000-0000-00002E000000}"/>
    <cellStyle name="Hyperlink 3" xfId="107" xr:uid="{00000000-0005-0000-0000-00002F000000}"/>
    <cellStyle name="Normal" xfId="0" builtinId="0"/>
    <cellStyle name="Normal 10" xfId="168" xr:uid="{00000000-0005-0000-0000-000031000000}"/>
    <cellStyle name="Normal 11" xfId="169" xr:uid="{00000000-0005-0000-0000-000032000000}"/>
    <cellStyle name="Normal 12" xfId="204" xr:uid="{E65EC29A-E24A-461C-AFCC-A1C26B9FAC58}"/>
    <cellStyle name="Normal 2" xfId="32" xr:uid="{00000000-0005-0000-0000-000033000000}"/>
    <cellStyle name="Normal 2 2" xfId="57" xr:uid="{00000000-0005-0000-0000-000034000000}"/>
    <cellStyle name="Normal 2 2 2" xfId="62" xr:uid="{00000000-0005-0000-0000-000035000000}"/>
    <cellStyle name="Normal 2 2 2 2" xfId="109" xr:uid="{00000000-0005-0000-0000-000036000000}"/>
    <cellStyle name="Normal 2 2 2 3" xfId="170" xr:uid="{00000000-0005-0000-0000-000037000000}"/>
    <cellStyle name="Normal 2 2 3" xfId="108" xr:uid="{00000000-0005-0000-0000-000038000000}"/>
    <cellStyle name="Normal 2 2 4" xfId="171" xr:uid="{00000000-0005-0000-0000-000039000000}"/>
    <cellStyle name="Normal 2 3" xfId="59" xr:uid="{00000000-0005-0000-0000-00003A000000}"/>
    <cellStyle name="Normal 2 4" xfId="56" xr:uid="{00000000-0005-0000-0000-00003B000000}"/>
    <cellStyle name="Normal 3" xfId="33" xr:uid="{00000000-0005-0000-0000-00003C000000}"/>
    <cellStyle name="Normal 3 2" xfId="61" xr:uid="{00000000-0005-0000-0000-00003D000000}"/>
    <cellStyle name="Normal 3 2 2" xfId="110" xr:uid="{00000000-0005-0000-0000-00003E000000}"/>
    <cellStyle name="Normal 3 3" xfId="111" xr:uid="{00000000-0005-0000-0000-00003F000000}"/>
    <cellStyle name="Normal 3 3 2" xfId="172" xr:uid="{00000000-0005-0000-0000-000040000000}"/>
    <cellStyle name="Normal 3 3 3" xfId="173" xr:uid="{00000000-0005-0000-0000-000041000000}"/>
    <cellStyle name="Normal 3 4" xfId="112" xr:uid="{00000000-0005-0000-0000-000042000000}"/>
    <cellStyle name="Normal 3 4 2" xfId="174" xr:uid="{00000000-0005-0000-0000-000043000000}"/>
    <cellStyle name="Normal 3 4 3" xfId="175" xr:uid="{00000000-0005-0000-0000-000044000000}"/>
    <cellStyle name="Normal 3 5" xfId="113" xr:uid="{00000000-0005-0000-0000-000045000000}"/>
    <cellStyle name="Normal 3 6" xfId="101" xr:uid="{00000000-0005-0000-0000-000046000000}"/>
    <cellStyle name="Normal 4" xfId="34" xr:uid="{00000000-0005-0000-0000-000047000000}"/>
    <cellStyle name="Normal 4 2" xfId="40" xr:uid="{00000000-0005-0000-0000-000048000000}"/>
    <cellStyle name="Normal 4 2 2" xfId="45" xr:uid="{00000000-0005-0000-0000-000049000000}"/>
    <cellStyle name="Normal 4 2 2 2" xfId="77" xr:uid="{00000000-0005-0000-0000-00004A000000}"/>
    <cellStyle name="Normal 4 2 2 2 2" xfId="89" xr:uid="{00000000-0005-0000-0000-00004B000000}"/>
    <cellStyle name="Normal 4 2 2 3" xfId="66" xr:uid="{00000000-0005-0000-0000-00004C000000}"/>
    <cellStyle name="Normal 4 2 2 3 2" xfId="139" xr:uid="{00000000-0005-0000-0000-00004D000000}"/>
    <cellStyle name="Normal 4 2 2 4" xfId="116" xr:uid="{00000000-0005-0000-0000-00004E000000}"/>
    <cellStyle name="Normal 4 2 3" xfId="47" xr:uid="{00000000-0005-0000-0000-00004F000000}"/>
    <cellStyle name="Normal 4 2 3 2" xfId="79" xr:uid="{00000000-0005-0000-0000-000050000000}"/>
    <cellStyle name="Normal 4 2 3 2 2" xfId="92" xr:uid="{00000000-0005-0000-0000-000051000000}"/>
    <cellStyle name="Normal 4 2 3 3" xfId="69" xr:uid="{00000000-0005-0000-0000-000052000000}"/>
    <cellStyle name="Normal 4 2 3 3 2" xfId="140" xr:uid="{00000000-0005-0000-0000-000053000000}"/>
    <cellStyle name="Normal 4 2 3 4" xfId="117" xr:uid="{00000000-0005-0000-0000-000054000000}"/>
    <cellStyle name="Normal 4 2 4" xfId="50" xr:uid="{00000000-0005-0000-0000-000055000000}"/>
    <cellStyle name="Normal 4 2 4 2" xfId="82" xr:uid="{00000000-0005-0000-0000-000056000000}"/>
    <cellStyle name="Normal 4 2 4 2 2" xfId="138" xr:uid="{00000000-0005-0000-0000-000057000000}"/>
    <cellStyle name="Normal 4 2 4 3" xfId="115" xr:uid="{00000000-0005-0000-0000-000058000000}"/>
    <cellStyle name="Normal 4 2 5" xfId="74" xr:uid="{00000000-0005-0000-0000-000059000000}"/>
    <cellStyle name="Normal 4 2 5 2" xfId="91" xr:uid="{00000000-0005-0000-0000-00005A000000}"/>
    <cellStyle name="Normal 4 2 6" xfId="64" xr:uid="{00000000-0005-0000-0000-00005B000000}"/>
    <cellStyle name="Normal 4 2 6 2" xfId="95" xr:uid="{00000000-0005-0000-0000-00005C000000}"/>
    <cellStyle name="Normal 4 2 7" xfId="96" xr:uid="{00000000-0005-0000-0000-00005D000000}"/>
    <cellStyle name="Normal 4 3" xfId="41" xr:uid="{00000000-0005-0000-0000-00005E000000}"/>
    <cellStyle name="Normal 4 3 2" xfId="75" xr:uid="{00000000-0005-0000-0000-00005F000000}"/>
    <cellStyle name="Normal 4 3 2 2" xfId="119" xr:uid="{00000000-0005-0000-0000-000060000000}"/>
    <cellStyle name="Normal 4 3 2 3" xfId="90" xr:uid="{00000000-0005-0000-0000-000061000000}"/>
    <cellStyle name="Normal 4 3 3" xfId="65" xr:uid="{00000000-0005-0000-0000-000062000000}"/>
    <cellStyle name="Normal 4 3 3 2" xfId="141" xr:uid="{00000000-0005-0000-0000-000063000000}"/>
    <cellStyle name="Normal 4 3 4" xfId="118" xr:uid="{00000000-0005-0000-0000-000064000000}"/>
    <cellStyle name="Normal 4 3 5" xfId="176" xr:uid="{00000000-0005-0000-0000-000065000000}"/>
    <cellStyle name="Normal 4 4" xfId="44" xr:uid="{00000000-0005-0000-0000-000066000000}"/>
    <cellStyle name="Normal 4 4 2" xfId="76" xr:uid="{00000000-0005-0000-0000-000067000000}"/>
    <cellStyle name="Normal 4 4 2 2" xfId="133" xr:uid="{00000000-0005-0000-0000-000068000000}"/>
    <cellStyle name="Normal 4 4 3" xfId="68" xr:uid="{00000000-0005-0000-0000-000069000000}"/>
    <cellStyle name="Normal 4 4 3 2" xfId="142" xr:uid="{00000000-0005-0000-0000-00006A000000}"/>
    <cellStyle name="Normal 4 4 4" xfId="120" xr:uid="{00000000-0005-0000-0000-00006B000000}"/>
    <cellStyle name="Normal 4 4 5" xfId="135" xr:uid="{00000000-0005-0000-0000-00006C000000}"/>
    <cellStyle name="Normal 4 5" xfId="46" xr:uid="{00000000-0005-0000-0000-00006D000000}"/>
    <cellStyle name="Normal 4 5 2" xfId="78" xr:uid="{00000000-0005-0000-0000-00006E000000}"/>
    <cellStyle name="Normal 4 5 2 2" xfId="137" xr:uid="{00000000-0005-0000-0000-00006F000000}"/>
    <cellStyle name="Normal 4 5 3" xfId="114" xr:uid="{00000000-0005-0000-0000-000070000000}"/>
    <cellStyle name="Normal 4 6" xfId="49" xr:uid="{00000000-0005-0000-0000-000071000000}"/>
    <cellStyle name="Normal 4 6 2" xfId="81" xr:uid="{00000000-0005-0000-0000-000072000000}"/>
    <cellStyle name="Normal 4 6 3" xfId="87" xr:uid="{00000000-0005-0000-0000-000073000000}"/>
    <cellStyle name="Normal 4 7" xfId="58" xr:uid="{00000000-0005-0000-0000-000074000000}"/>
    <cellStyle name="Normal 4 7 2" xfId="73" xr:uid="{00000000-0005-0000-0000-000075000000}"/>
    <cellStyle name="Normal 4 7 3" xfId="130" xr:uid="{00000000-0005-0000-0000-000076000000}"/>
    <cellStyle name="Normal 4 8" xfId="63" xr:uid="{00000000-0005-0000-0000-000077000000}"/>
    <cellStyle name="Normal 4 8 2" xfId="136" xr:uid="{00000000-0005-0000-0000-000078000000}"/>
    <cellStyle name="Normal 4 9" xfId="94" xr:uid="{00000000-0005-0000-0000-000079000000}"/>
    <cellStyle name="Normal 5" xfId="48" xr:uid="{00000000-0005-0000-0000-00007A000000}"/>
    <cellStyle name="Normal 5 2" xfId="51" xr:uid="{00000000-0005-0000-0000-00007B000000}"/>
    <cellStyle name="Normal 5 2 2" xfId="83" xr:uid="{00000000-0005-0000-0000-00007C000000}"/>
    <cellStyle name="Normal 5 2 2 2" xfId="88" xr:uid="{00000000-0005-0000-0000-00007D000000}"/>
    <cellStyle name="Normal 5 2 3" xfId="70" xr:uid="{00000000-0005-0000-0000-00007E000000}"/>
    <cellStyle name="Normal 5 2 3 2" xfId="143" xr:uid="{00000000-0005-0000-0000-00007F000000}"/>
    <cellStyle name="Normal 5 2 4" xfId="122" xr:uid="{00000000-0005-0000-0000-000080000000}"/>
    <cellStyle name="Normal 5 2 5" xfId="128" xr:uid="{00000000-0005-0000-0000-000081000000}"/>
    <cellStyle name="Normal 5 3" xfId="80" xr:uid="{00000000-0005-0000-0000-000082000000}"/>
    <cellStyle name="Normal 5 3 2" xfId="121" xr:uid="{00000000-0005-0000-0000-000083000000}"/>
    <cellStyle name="Normal 5 4" xfId="67" xr:uid="{00000000-0005-0000-0000-000084000000}"/>
    <cellStyle name="Normal 5 4 2" xfId="134" xr:uid="{00000000-0005-0000-0000-000085000000}"/>
    <cellStyle name="Normal 5 5" xfId="97" xr:uid="{00000000-0005-0000-0000-000086000000}"/>
    <cellStyle name="Normal 6" xfId="52" xr:uid="{00000000-0005-0000-0000-000087000000}"/>
    <cellStyle name="Normal 6 2" xfId="84" xr:uid="{00000000-0005-0000-0000-000088000000}"/>
    <cellStyle name="Normal 6 2 2" xfId="123" xr:uid="{00000000-0005-0000-0000-000089000000}"/>
    <cellStyle name="Normal 6 2 3" xfId="129" xr:uid="{00000000-0005-0000-0000-00008A000000}"/>
    <cellStyle name="Normal 6 3" xfId="71" xr:uid="{00000000-0005-0000-0000-00008B000000}"/>
    <cellStyle name="Normal 6 3 2" xfId="132" xr:uid="{00000000-0005-0000-0000-00008C000000}"/>
    <cellStyle name="Normal 6 4" xfId="98" xr:uid="{00000000-0005-0000-0000-00008D000000}"/>
    <cellStyle name="Normal 7" xfId="54" xr:uid="{00000000-0005-0000-0000-00008E000000}"/>
    <cellStyle name="Normal 7 2" xfId="86" xr:uid="{00000000-0005-0000-0000-00008F000000}"/>
    <cellStyle name="Normal 7 3" xfId="124" xr:uid="{00000000-0005-0000-0000-000090000000}"/>
    <cellStyle name="Normal 7 4" xfId="177" xr:uid="{00000000-0005-0000-0000-000091000000}"/>
    <cellStyle name="Normal 7 5" xfId="178" xr:uid="{00000000-0005-0000-0000-000092000000}"/>
    <cellStyle name="Normal 8" xfId="100" xr:uid="{00000000-0005-0000-0000-000093000000}"/>
    <cellStyle name="Normal 8 2" xfId="144" xr:uid="{00000000-0005-0000-0000-000094000000}"/>
    <cellStyle name="Normal 8 2 2" xfId="179" xr:uid="{00000000-0005-0000-0000-000095000000}"/>
    <cellStyle name="Normal 8 3" xfId="180" xr:uid="{00000000-0005-0000-0000-000096000000}"/>
    <cellStyle name="Normal 8 4" xfId="181" xr:uid="{00000000-0005-0000-0000-000097000000}"/>
    <cellStyle name="Normal 8 5" xfId="182" xr:uid="{00000000-0005-0000-0000-000098000000}"/>
    <cellStyle name="Normal 8 6" xfId="183" xr:uid="{00000000-0005-0000-0000-000099000000}"/>
    <cellStyle name="Normal 9" xfId="145" xr:uid="{00000000-0005-0000-0000-00009A000000}"/>
    <cellStyle name="Normal 9 2" xfId="146" xr:uid="{00000000-0005-0000-0000-00009B000000}"/>
    <cellStyle name="Normal 9 2 2" xfId="184" xr:uid="{00000000-0005-0000-0000-00009C000000}"/>
    <cellStyle name="Normal 9 3" xfId="185" xr:uid="{00000000-0005-0000-0000-00009D000000}"/>
    <cellStyle name="Normal 9 4" xfId="200" xr:uid="{00000000-0005-0000-0000-00009E000000}"/>
    <cellStyle name="Normal_Att HE-14-Cash" xfId="9" xr:uid="{00000000-0005-0000-0000-00009F000000}"/>
    <cellStyle name="Normal_Att20" xfId="42" xr:uid="{00000000-0005-0000-0000-0000A0000000}"/>
    <cellStyle name="Normal_Att22 Cash" xfId="43" xr:uid="{00000000-0005-0000-0000-0000A1000000}"/>
    <cellStyle name="Normal_Att9" xfId="10" xr:uid="{00000000-0005-0000-0000-0000A2000000}"/>
    <cellStyle name="Normal_Att9 Enterprise" xfId="11" xr:uid="{00000000-0005-0000-0000-0000A3000000}"/>
    <cellStyle name="Normal_Book2" xfId="12" xr:uid="{00000000-0005-0000-0000-0000A4000000}"/>
    <cellStyle name="Normal_Certification tab (version 2)" xfId="13" xr:uid="{00000000-0005-0000-0000-0000A5000000}"/>
    <cellStyle name="Normal_Property, Plant &amp; Equipment" xfId="14" xr:uid="{00000000-0005-0000-0000-0000A6000000}"/>
    <cellStyle name="Normal_Receivables" xfId="15" xr:uid="{00000000-0005-0000-0000-0000A7000000}"/>
    <cellStyle name="Normal_Sheet1" xfId="203" xr:uid="{4235C706-1077-40C3-83F1-F4582AF9BCF4}"/>
    <cellStyle name="Normal_Sheet2" xfId="16" xr:uid="{00000000-0005-0000-0000-0000A8000000}"/>
    <cellStyle name="Normal_Tab 3-Capital Assets" xfId="17" xr:uid="{00000000-0005-0000-0000-0000A9000000}"/>
    <cellStyle name="Number0DecimalStyle" xfId="18" xr:uid="{00000000-0005-0000-0000-0000AA000000}"/>
    <cellStyle name="Number0DecimalStyle 2" xfId="186" xr:uid="{00000000-0005-0000-0000-0000AB000000}"/>
    <cellStyle name="Number10DecimalStyle" xfId="19" xr:uid="{00000000-0005-0000-0000-0000AC000000}"/>
    <cellStyle name="Number10DecimalStyle 2" xfId="187" xr:uid="{00000000-0005-0000-0000-0000AD000000}"/>
    <cellStyle name="Number1DecimalStyle" xfId="20" xr:uid="{00000000-0005-0000-0000-0000AE000000}"/>
    <cellStyle name="Number1DecimalStyle 2" xfId="188" xr:uid="{00000000-0005-0000-0000-0000AF000000}"/>
    <cellStyle name="Number2DecimalStyle" xfId="21" xr:uid="{00000000-0005-0000-0000-0000B0000000}"/>
    <cellStyle name="Number2DecimalStyle 2" xfId="189" xr:uid="{00000000-0005-0000-0000-0000B1000000}"/>
    <cellStyle name="Number3DecimalStyle" xfId="22" xr:uid="{00000000-0005-0000-0000-0000B2000000}"/>
    <cellStyle name="Number3DecimalStyle 2" xfId="190" xr:uid="{00000000-0005-0000-0000-0000B3000000}"/>
    <cellStyle name="Number4DecimalStyle" xfId="23" xr:uid="{00000000-0005-0000-0000-0000B4000000}"/>
    <cellStyle name="Number4DecimalStyle 2" xfId="191" xr:uid="{00000000-0005-0000-0000-0000B5000000}"/>
    <cellStyle name="Number5DecimalStyle" xfId="24" xr:uid="{00000000-0005-0000-0000-0000B6000000}"/>
    <cellStyle name="Number5DecimalStyle 2" xfId="192" xr:uid="{00000000-0005-0000-0000-0000B7000000}"/>
    <cellStyle name="Number6DecimalStyle" xfId="25" xr:uid="{00000000-0005-0000-0000-0000B8000000}"/>
    <cellStyle name="Number6DecimalStyle 2" xfId="193" xr:uid="{00000000-0005-0000-0000-0000B9000000}"/>
    <cellStyle name="Number7DecimalStyle" xfId="26" xr:uid="{00000000-0005-0000-0000-0000BA000000}"/>
    <cellStyle name="Number7DecimalStyle 2" xfId="194" xr:uid="{00000000-0005-0000-0000-0000BB000000}"/>
    <cellStyle name="Number8DecimalStyle" xfId="27" xr:uid="{00000000-0005-0000-0000-0000BC000000}"/>
    <cellStyle name="Number8DecimalStyle 2" xfId="195" xr:uid="{00000000-0005-0000-0000-0000BD000000}"/>
    <cellStyle name="Number9DecimalStyle" xfId="28" xr:uid="{00000000-0005-0000-0000-0000BE000000}"/>
    <cellStyle name="Number9DecimalStyle 2" xfId="196" xr:uid="{00000000-0005-0000-0000-0000BF000000}"/>
    <cellStyle name="Percent" xfId="29" builtinId="5"/>
    <cellStyle name="Percent 2" xfId="38" xr:uid="{00000000-0005-0000-0000-0000C1000000}"/>
    <cellStyle name="Percent 2 2" xfId="197" xr:uid="{00000000-0005-0000-0000-0000C2000000}"/>
    <cellStyle name="Percent 3" xfId="125" xr:uid="{00000000-0005-0000-0000-0000C3000000}"/>
    <cellStyle name="Percent 3 2" xfId="198" xr:uid="{00000000-0005-0000-0000-0000C4000000}"/>
    <cellStyle name="Style 1" xfId="126" xr:uid="{00000000-0005-0000-0000-0000C5000000}"/>
    <cellStyle name="TextStyle" xfId="30" xr:uid="{00000000-0005-0000-0000-0000C6000000}"/>
    <cellStyle name="TextStyle 2" xfId="199" xr:uid="{00000000-0005-0000-0000-0000C7000000}"/>
    <cellStyle name="Total" xfId="31" builtinId="25" customBuiltin="1"/>
    <cellStyle name="Total 2" xfId="39" xr:uid="{00000000-0005-0000-0000-0000C9000000}"/>
    <cellStyle name="Total 3" xfId="127" xr:uid="{00000000-0005-0000-0000-0000CA000000}"/>
  </cellStyles>
  <dxfs count="17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45769372-2FE9-4A61-9BA1-0C4AC133C686}"/>
  </tableStyles>
  <colors>
    <mruColors>
      <color rgb="FFCC99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35</xdr:row>
          <xdr:rowOff>22860</xdr:rowOff>
        </xdr:from>
        <xdr:to>
          <xdr:col>10</xdr:col>
          <xdr:colOff>114300</xdr:colOff>
          <xdr:row>36</xdr:row>
          <xdr:rowOff>38100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1500-000010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38</xdr:row>
          <xdr:rowOff>7620</xdr:rowOff>
        </xdr:from>
        <xdr:to>
          <xdr:col>10</xdr:col>
          <xdr:colOff>106680</xdr:colOff>
          <xdr:row>39</xdr:row>
          <xdr:rowOff>22860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1500-000011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40</xdr:row>
          <xdr:rowOff>144780</xdr:rowOff>
        </xdr:from>
        <xdr:to>
          <xdr:col>10</xdr:col>
          <xdr:colOff>121920</xdr:colOff>
          <xdr:row>42</xdr:row>
          <xdr:rowOff>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1500-000012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44</xdr:row>
          <xdr:rowOff>7620</xdr:rowOff>
        </xdr:from>
        <xdr:to>
          <xdr:col>10</xdr:col>
          <xdr:colOff>114300</xdr:colOff>
          <xdr:row>45</xdr:row>
          <xdr:rowOff>22860</xdr:rowOff>
        </xdr:to>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1500-000013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49</xdr:row>
          <xdr:rowOff>68580</xdr:rowOff>
        </xdr:from>
        <xdr:to>
          <xdr:col>10</xdr:col>
          <xdr:colOff>152400</xdr:colOff>
          <xdr:row>50</xdr:row>
          <xdr:rowOff>83820</xdr:rowOff>
        </xdr:to>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1500-000014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52</xdr:row>
          <xdr:rowOff>30480</xdr:rowOff>
        </xdr:from>
        <xdr:to>
          <xdr:col>10</xdr:col>
          <xdr:colOff>152400</xdr:colOff>
          <xdr:row>53</xdr:row>
          <xdr:rowOff>38100</xdr:rowOff>
        </xdr:to>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1500-000015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274320</xdr:colOff>
          <xdr:row>55</xdr:row>
          <xdr:rowOff>38100</xdr:rowOff>
        </xdr:from>
        <xdr:to>
          <xdr:col>10</xdr:col>
          <xdr:colOff>160020</xdr:colOff>
          <xdr:row>56</xdr:row>
          <xdr:rowOff>45720</xdr:rowOff>
        </xdr:to>
        <xdr:sp macro="" textlink="">
          <xdr:nvSpPr>
            <xdr:cNvPr id="56342" name="Check Box 22" hidden="1">
              <a:extLst>
                <a:ext uri="{63B3BB69-23CF-44E3-9099-C40C66FF867C}">
                  <a14:compatExt spid="_x0000_s56342"/>
                </a:ext>
                <a:ext uri="{FF2B5EF4-FFF2-40B4-BE49-F238E27FC236}">
                  <a16:creationId xmlns:a16="http://schemas.microsoft.com/office/drawing/2014/main" id="{00000000-0008-0000-1500-000016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58</xdr:row>
          <xdr:rowOff>7620</xdr:rowOff>
        </xdr:from>
        <xdr:to>
          <xdr:col>10</xdr:col>
          <xdr:colOff>175260</xdr:colOff>
          <xdr:row>59</xdr:row>
          <xdr:rowOff>22860</xdr:rowOff>
        </xdr:to>
        <xdr:sp macro="" textlink="">
          <xdr:nvSpPr>
            <xdr:cNvPr id="56343" name="Check Box 23" hidden="1">
              <a:extLst>
                <a:ext uri="{63B3BB69-23CF-44E3-9099-C40C66FF867C}">
                  <a14:compatExt spid="_x0000_s56343"/>
                </a:ext>
                <a:ext uri="{FF2B5EF4-FFF2-40B4-BE49-F238E27FC236}">
                  <a16:creationId xmlns:a16="http://schemas.microsoft.com/office/drawing/2014/main" id="{00000000-0008-0000-1500-000017D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9.vml"/><Relationship Id="rId9" Type="http://schemas.openxmlformats.org/officeDocument/2006/relationships/ctrlProp" Target="../ctrlProps/ctrlProp5.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H1149"/>
  <sheetViews>
    <sheetView workbookViewId="0">
      <selection activeCell="H23" sqref="H23"/>
    </sheetView>
  </sheetViews>
  <sheetFormatPr defaultColWidth="9.6640625" defaultRowHeight="13.2"/>
  <cols>
    <col min="1" max="2" width="18.6640625" customWidth="1"/>
    <col min="3" max="3" width="32.88671875" bestFit="1" customWidth="1"/>
    <col min="6" max="6" width="39.5546875" bestFit="1" customWidth="1"/>
    <col min="7" max="7" width="11.109375" bestFit="1" customWidth="1"/>
    <col min="8" max="8" width="31.5546875" bestFit="1" customWidth="1"/>
  </cols>
  <sheetData>
    <row r="1" spans="1:8" ht="14.4" thickTop="1" thickBot="1">
      <c r="A1" s="431" t="s">
        <v>894</v>
      </c>
      <c r="B1" s="432" t="s">
        <v>895</v>
      </c>
      <c r="C1" s="432" t="s">
        <v>896</v>
      </c>
      <c r="F1" t="s">
        <v>3897</v>
      </c>
    </row>
    <row r="2" spans="1:8" ht="14.4" thickTop="1" thickBot="1">
      <c r="A2" t="s">
        <v>897</v>
      </c>
      <c r="B2">
        <v>1000</v>
      </c>
      <c r="C2" t="s">
        <v>898</v>
      </c>
    </row>
    <row r="3" spans="1:8">
      <c r="A3" t="s">
        <v>899</v>
      </c>
      <c r="B3">
        <v>2001</v>
      </c>
      <c r="C3" t="s">
        <v>900</v>
      </c>
      <c r="F3" s="520" t="s">
        <v>3426</v>
      </c>
      <c r="G3" s="521" t="s">
        <v>894</v>
      </c>
      <c r="H3" s="522" t="s">
        <v>896</v>
      </c>
    </row>
    <row r="4" spans="1:8">
      <c r="A4" t="s">
        <v>901</v>
      </c>
      <c r="B4">
        <v>2002</v>
      </c>
      <c r="C4" t="s">
        <v>902</v>
      </c>
      <c r="F4" s="523" t="s">
        <v>3427</v>
      </c>
      <c r="G4" s="524" t="s">
        <v>897</v>
      </c>
      <c r="H4" s="525" t="s">
        <v>898</v>
      </c>
    </row>
    <row r="5" spans="1:8">
      <c r="A5" t="s">
        <v>903</v>
      </c>
      <c r="B5">
        <v>2003</v>
      </c>
      <c r="C5" t="s">
        <v>904</v>
      </c>
      <c r="F5" s="523" t="s">
        <v>3428</v>
      </c>
      <c r="G5" t="s">
        <v>2565</v>
      </c>
      <c r="H5" s="525" t="s">
        <v>2566</v>
      </c>
    </row>
    <row r="6" spans="1:8">
      <c r="A6" t="s">
        <v>905</v>
      </c>
      <c r="B6">
        <v>2004</v>
      </c>
      <c r="C6" t="s">
        <v>906</v>
      </c>
      <c r="F6" s="523" t="s">
        <v>3429</v>
      </c>
      <c r="G6" s="524" t="s">
        <v>3430</v>
      </c>
      <c r="H6" s="525" t="s">
        <v>3431</v>
      </c>
    </row>
    <row r="7" spans="1:8" ht="13.8" thickBot="1">
      <c r="A7" t="s">
        <v>907</v>
      </c>
      <c r="B7">
        <v>2005</v>
      </c>
      <c r="C7" t="s">
        <v>908</v>
      </c>
      <c r="F7" s="526" t="s">
        <v>3810</v>
      </c>
      <c r="G7" s="558" t="s">
        <v>3811</v>
      </c>
      <c r="H7" s="527" t="s">
        <v>3812</v>
      </c>
    </row>
    <row r="8" spans="1:8">
      <c r="A8" t="s">
        <v>3811</v>
      </c>
      <c r="B8">
        <v>2006</v>
      </c>
      <c r="C8" t="s">
        <v>3812</v>
      </c>
    </row>
    <row r="9" spans="1:8">
      <c r="A9" t="s">
        <v>3145</v>
      </c>
      <c r="B9">
        <v>2009</v>
      </c>
      <c r="C9" t="s">
        <v>3082</v>
      </c>
    </row>
    <row r="10" spans="1:8">
      <c r="A10" t="s">
        <v>909</v>
      </c>
      <c r="B10">
        <v>2010</v>
      </c>
      <c r="C10" t="s">
        <v>910</v>
      </c>
    </row>
    <row r="11" spans="1:8">
      <c r="A11" t="s">
        <v>911</v>
      </c>
      <c r="B11">
        <v>2011</v>
      </c>
      <c r="C11" t="s">
        <v>912</v>
      </c>
    </row>
    <row r="12" spans="1:8">
      <c r="A12" t="s">
        <v>913</v>
      </c>
      <c r="B12">
        <v>2012</v>
      </c>
      <c r="C12" t="s">
        <v>914</v>
      </c>
    </row>
    <row r="13" spans="1:8">
      <c r="A13" t="s">
        <v>915</v>
      </c>
      <c r="B13">
        <v>2013</v>
      </c>
      <c r="C13" t="s">
        <v>916</v>
      </c>
    </row>
    <row r="14" spans="1:8">
      <c r="A14" t="s">
        <v>3313</v>
      </c>
      <c r="B14">
        <v>2014</v>
      </c>
      <c r="C14" t="s">
        <v>3314</v>
      </c>
    </row>
    <row r="15" spans="1:8">
      <c r="A15" t="s">
        <v>2910</v>
      </c>
      <c r="B15">
        <v>2017</v>
      </c>
      <c r="C15" t="s">
        <v>2911</v>
      </c>
    </row>
    <row r="16" spans="1:8">
      <c r="A16" t="s">
        <v>2912</v>
      </c>
      <c r="B16">
        <v>2018</v>
      </c>
      <c r="C16" t="s">
        <v>2913</v>
      </c>
    </row>
    <row r="17" spans="1:3">
      <c r="A17" t="s">
        <v>2914</v>
      </c>
      <c r="B17">
        <v>2019</v>
      </c>
      <c r="C17" t="s">
        <v>2915</v>
      </c>
    </row>
    <row r="18" spans="1:3">
      <c r="A18" t="s">
        <v>917</v>
      </c>
      <c r="B18">
        <v>2020</v>
      </c>
      <c r="C18" t="s">
        <v>918</v>
      </c>
    </row>
    <row r="19" spans="1:3">
      <c r="A19" t="s">
        <v>919</v>
      </c>
      <c r="B19">
        <v>2021</v>
      </c>
      <c r="C19" t="s">
        <v>920</v>
      </c>
    </row>
    <row r="20" spans="1:3">
      <c r="A20" t="s">
        <v>921</v>
      </c>
      <c r="B20">
        <v>2022</v>
      </c>
      <c r="C20" t="s">
        <v>922</v>
      </c>
    </row>
    <row r="21" spans="1:3">
      <c r="A21" t="s">
        <v>923</v>
      </c>
      <c r="B21">
        <v>2023</v>
      </c>
      <c r="C21" t="s">
        <v>924</v>
      </c>
    </row>
    <row r="22" spans="1:3">
      <c r="A22" t="s">
        <v>925</v>
      </c>
      <c r="B22">
        <v>2024</v>
      </c>
      <c r="C22" t="s">
        <v>926</v>
      </c>
    </row>
    <row r="23" spans="1:3">
      <c r="A23" t="s">
        <v>2916</v>
      </c>
      <c r="B23">
        <v>2025</v>
      </c>
      <c r="C23" t="s">
        <v>2917</v>
      </c>
    </row>
    <row r="24" spans="1:3">
      <c r="A24" t="s">
        <v>3315</v>
      </c>
      <c r="B24">
        <v>2026</v>
      </c>
      <c r="C24" t="s">
        <v>3316</v>
      </c>
    </row>
    <row r="25" spans="1:3">
      <c r="A25" t="s">
        <v>3813</v>
      </c>
      <c r="B25">
        <v>2027</v>
      </c>
      <c r="C25" t="s">
        <v>3814</v>
      </c>
    </row>
    <row r="26" spans="1:3">
      <c r="A26" t="s">
        <v>927</v>
      </c>
      <c r="B26">
        <v>2030</v>
      </c>
      <c r="C26" t="s">
        <v>928</v>
      </c>
    </row>
    <row r="27" spans="1:3">
      <c r="A27" t="s">
        <v>929</v>
      </c>
      <c r="B27">
        <v>2031</v>
      </c>
      <c r="C27" t="s">
        <v>930</v>
      </c>
    </row>
    <row r="28" spans="1:3">
      <c r="A28" t="s">
        <v>931</v>
      </c>
      <c r="B28">
        <v>2032</v>
      </c>
      <c r="C28" t="s">
        <v>932</v>
      </c>
    </row>
    <row r="29" spans="1:3">
      <c r="A29" t="s">
        <v>933</v>
      </c>
      <c r="B29">
        <v>2033</v>
      </c>
      <c r="C29" t="s">
        <v>934</v>
      </c>
    </row>
    <row r="30" spans="1:3">
      <c r="A30" t="s">
        <v>935</v>
      </c>
      <c r="B30">
        <v>2040</v>
      </c>
      <c r="C30" t="s">
        <v>936</v>
      </c>
    </row>
    <row r="31" spans="1:3">
      <c r="A31" t="s">
        <v>937</v>
      </c>
      <c r="B31">
        <v>2041</v>
      </c>
      <c r="C31" t="s">
        <v>938</v>
      </c>
    </row>
    <row r="32" spans="1:3">
      <c r="A32" t="s">
        <v>939</v>
      </c>
      <c r="B32">
        <v>2042</v>
      </c>
      <c r="C32" t="s">
        <v>940</v>
      </c>
    </row>
    <row r="33" spans="1:3">
      <c r="A33" t="s">
        <v>941</v>
      </c>
      <c r="B33">
        <v>2043</v>
      </c>
      <c r="C33" t="s">
        <v>942</v>
      </c>
    </row>
    <row r="34" spans="1:3">
      <c r="A34" t="s">
        <v>943</v>
      </c>
      <c r="B34">
        <v>2044</v>
      </c>
      <c r="C34" t="s">
        <v>944</v>
      </c>
    </row>
    <row r="35" spans="1:3">
      <c r="A35" t="s">
        <v>945</v>
      </c>
      <c r="B35">
        <v>2050</v>
      </c>
      <c r="C35" t="s">
        <v>946</v>
      </c>
    </row>
    <row r="36" spans="1:3">
      <c r="A36" t="s">
        <v>947</v>
      </c>
      <c r="B36">
        <v>2051</v>
      </c>
      <c r="C36" t="s">
        <v>948</v>
      </c>
    </row>
    <row r="37" spans="1:3">
      <c r="A37" t="s">
        <v>949</v>
      </c>
      <c r="B37">
        <v>2052</v>
      </c>
      <c r="C37" t="s">
        <v>950</v>
      </c>
    </row>
    <row r="38" spans="1:3">
      <c r="A38" t="s">
        <v>3317</v>
      </c>
      <c r="B38">
        <v>2054</v>
      </c>
      <c r="C38" t="s">
        <v>3318</v>
      </c>
    </row>
    <row r="39" spans="1:3">
      <c r="A39" t="s">
        <v>951</v>
      </c>
      <c r="B39">
        <v>2055</v>
      </c>
      <c r="C39" t="s">
        <v>952</v>
      </c>
    </row>
    <row r="40" spans="1:3">
      <c r="A40" t="s">
        <v>953</v>
      </c>
      <c r="B40">
        <v>2060</v>
      </c>
      <c r="C40" t="s">
        <v>954</v>
      </c>
    </row>
    <row r="41" spans="1:3">
      <c r="A41" t="s">
        <v>955</v>
      </c>
      <c r="B41">
        <v>2061</v>
      </c>
      <c r="C41" t="s">
        <v>956</v>
      </c>
    </row>
    <row r="42" spans="1:3">
      <c r="A42" t="s">
        <v>957</v>
      </c>
      <c r="B42">
        <v>2062</v>
      </c>
      <c r="C42" t="s">
        <v>958</v>
      </c>
    </row>
    <row r="43" spans="1:3">
      <c r="A43" t="s">
        <v>959</v>
      </c>
      <c r="B43">
        <v>2063</v>
      </c>
      <c r="C43" t="s">
        <v>960</v>
      </c>
    </row>
    <row r="44" spans="1:3">
      <c r="A44" t="s">
        <v>2918</v>
      </c>
      <c r="B44">
        <v>2064</v>
      </c>
      <c r="C44" t="s">
        <v>2919</v>
      </c>
    </row>
    <row r="45" spans="1:3">
      <c r="A45" t="s">
        <v>961</v>
      </c>
      <c r="B45">
        <v>2070</v>
      </c>
      <c r="C45" t="s">
        <v>962</v>
      </c>
    </row>
    <row r="46" spans="1:3">
      <c r="A46" t="s">
        <v>963</v>
      </c>
      <c r="B46">
        <v>2072</v>
      </c>
      <c r="C46" t="s">
        <v>964</v>
      </c>
    </row>
    <row r="47" spans="1:3">
      <c r="A47" t="s">
        <v>2920</v>
      </c>
      <c r="B47">
        <v>2073</v>
      </c>
      <c r="C47" t="s">
        <v>2921</v>
      </c>
    </row>
    <row r="48" spans="1:3">
      <c r="A48" t="s">
        <v>3146</v>
      </c>
      <c r="B48">
        <v>2074</v>
      </c>
      <c r="C48" t="s">
        <v>3083</v>
      </c>
    </row>
    <row r="49" spans="1:3">
      <c r="A49" t="s">
        <v>965</v>
      </c>
      <c r="B49">
        <v>2080</v>
      </c>
      <c r="C49" t="s">
        <v>966</v>
      </c>
    </row>
    <row r="50" spans="1:3">
      <c r="A50" t="s">
        <v>967</v>
      </c>
      <c r="B50">
        <v>2081</v>
      </c>
      <c r="C50" t="s">
        <v>968</v>
      </c>
    </row>
    <row r="51" spans="1:3">
      <c r="A51" t="s">
        <v>969</v>
      </c>
      <c r="B51">
        <v>2083</v>
      </c>
      <c r="C51" t="s">
        <v>970</v>
      </c>
    </row>
    <row r="52" spans="1:3">
      <c r="A52" t="s">
        <v>2922</v>
      </c>
      <c r="B52">
        <v>2085</v>
      </c>
      <c r="C52" t="s">
        <v>2923</v>
      </c>
    </row>
    <row r="53" spans="1:3">
      <c r="A53" t="s">
        <v>971</v>
      </c>
      <c r="B53">
        <v>2090</v>
      </c>
      <c r="C53" t="s">
        <v>972</v>
      </c>
    </row>
    <row r="54" spans="1:3">
      <c r="A54" t="s">
        <v>3147</v>
      </c>
      <c r="B54">
        <v>2095</v>
      </c>
      <c r="C54" t="s">
        <v>3084</v>
      </c>
    </row>
    <row r="55" spans="1:3">
      <c r="A55" t="s">
        <v>2924</v>
      </c>
      <c r="B55">
        <v>2099</v>
      </c>
      <c r="C55" t="s">
        <v>2925</v>
      </c>
    </row>
    <row r="56" spans="1:3">
      <c r="A56" t="s">
        <v>973</v>
      </c>
      <c r="B56">
        <v>2100</v>
      </c>
      <c r="C56" t="s">
        <v>974</v>
      </c>
    </row>
    <row r="57" spans="1:3">
      <c r="A57" t="s">
        <v>975</v>
      </c>
      <c r="B57">
        <v>2101</v>
      </c>
      <c r="C57" t="s">
        <v>976</v>
      </c>
    </row>
    <row r="58" spans="1:3">
      <c r="A58" t="s">
        <v>977</v>
      </c>
      <c r="B58">
        <v>2102</v>
      </c>
      <c r="C58" t="s">
        <v>978</v>
      </c>
    </row>
    <row r="59" spans="1:3">
      <c r="A59" t="s">
        <v>979</v>
      </c>
      <c r="B59">
        <v>2103</v>
      </c>
      <c r="C59" t="s">
        <v>980</v>
      </c>
    </row>
    <row r="60" spans="1:3">
      <c r="A60" t="s">
        <v>981</v>
      </c>
      <c r="B60">
        <v>2104</v>
      </c>
      <c r="C60" t="s">
        <v>982</v>
      </c>
    </row>
    <row r="61" spans="1:3">
      <c r="A61" t="s">
        <v>983</v>
      </c>
      <c r="B61">
        <v>2107</v>
      </c>
      <c r="C61" t="s">
        <v>984</v>
      </c>
    </row>
    <row r="62" spans="1:3">
      <c r="A62" t="s">
        <v>985</v>
      </c>
      <c r="B62">
        <v>2108</v>
      </c>
      <c r="C62" t="s">
        <v>986</v>
      </c>
    </row>
    <row r="63" spans="1:3">
      <c r="A63" t="s">
        <v>987</v>
      </c>
      <c r="B63">
        <v>2109</v>
      </c>
      <c r="C63" t="s">
        <v>988</v>
      </c>
    </row>
    <row r="64" spans="1:3">
      <c r="A64" t="s">
        <v>989</v>
      </c>
      <c r="B64">
        <v>2110</v>
      </c>
      <c r="C64" t="s">
        <v>990</v>
      </c>
    </row>
    <row r="65" spans="1:3">
      <c r="A65" t="s">
        <v>991</v>
      </c>
      <c r="B65">
        <v>2111</v>
      </c>
      <c r="C65" t="s">
        <v>992</v>
      </c>
    </row>
    <row r="66" spans="1:3">
      <c r="A66" t="s">
        <v>993</v>
      </c>
      <c r="B66">
        <v>2113</v>
      </c>
      <c r="C66" t="s">
        <v>994</v>
      </c>
    </row>
    <row r="67" spans="1:3">
      <c r="A67" t="s">
        <v>995</v>
      </c>
      <c r="B67">
        <v>2120</v>
      </c>
      <c r="C67" t="s">
        <v>633</v>
      </c>
    </row>
    <row r="68" spans="1:3">
      <c r="A68" t="s">
        <v>2926</v>
      </c>
      <c r="B68">
        <v>2121</v>
      </c>
      <c r="C68" t="s">
        <v>2927</v>
      </c>
    </row>
    <row r="69" spans="1:3">
      <c r="A69" t="s">
        <v>996</v>
      </c>
      <c r="B69">
        <v>2122</v>
      </c>
      <c r="C69" t="s">
        <v>997</v>
      </c>
    </row>
    <row r="70" spans="1:3">
      <c r="A70" t="s">
        <v>998</v>
      </c>
      <c r="B70">
        <v>2123</v>
      </c>
      <c r="C70" t="s">
        <v>999</v>
      </c>
    </row>
    <row r="71" spans="1:3">
      <c r="A71" t="s">
        <v>1000</v>
      </c>
      <c r="B71">
        <v>2124</v>
      </c>
      <c r="C71" t="s">
        <v>1001</v>
      </c>
    </row>
    <row r="72" spans="1:3">
      <c r="A72" t="s">
        <v>1002</v>
      </c>
      <c r="B72">
        <v>2125</v>
      </c>
      <c r="C72" t="s">
        <v>1003</v>
      </c>
    </row>
    <row r="73" spans="1:3">
      <c r="A73" t="s">
        <v>1004</v>
      </c>
      <c r="B73">
        <v>2127</v>
      </c>
      <c r="C73" t="s">
        <v>1005</v>
      </c>
    </row>
    <row r="74" spans="1:3">
      <c r="A74" t="s">
        <v>1006</v>
      </c>
      <c r="B74">
        <v>2128</v>
      </c>
      <c r="C74" t="s">
        <v>1007</v>
      </c>
    </row>
    <row r="75" spans="1:3">
      <c r="A75" t="s">
        <v>1008</v>
      </c>
      <c r="B75">
        <v>2129</v>
      </c>
      <c r="C75" t="s">
        <v>1009</v>
      </c>
    </row>
    <row r="76" spans="1:3">
      <c r="A76" t="s">
        <v>1010</v>
      </c>
      <c r="B76">
        <v>2130</v>
      </c>
      <c r="C76" t="s">
        <v>1011</v>
      </c>
    </row>
    <row r="77" spans="1:3">
      <c r="A77" t="s">
        <v>1012</v>
      </c>
      <c r="B77">
        <v>2131</v>
      </c>
      <c r="C77" t="s">
        <v>1013</v>
      </c>
    </row>
    <row r="78" spans="1:3">
      <c r="A78" t="s">
        <v>1014</v>
      </c>
      <c r="B78">
        <v>2132</v>
      </c>
      <c r="C78" t="s">
        <v>1015</v>
      </c>
    </row>
    <row r="79" spans="1:3">
      <c r="A79" t="s">
        <v>1016</v>
      </c>
      <c r="B79">
        <v>2133</v>
      </c>
      <c r="C79" t="s">
        <v>1017</v>
      </c>
    </row>
    <row r="80" spans="1:3">
      <c r="A80" t="s">
        <v>1018</v>
      </c>
      <c r="B80">
        <v>2140</v>
      </c>
      <c r="C80" t="s">
        <v>1019</v>
      </c>
    </row>
    <row r="81" spans="1:3">
      <c r="A81" t="s">
        <v>1020</v>
      </c>
      <c r="B81">
        <v>2141</v>
      </c>
      <c r="C81" t="s">
        <v>1021</v>
      </c>
    </row>
    <row r="82" spans="1:3">
      <c r="A82" t="s">
        <v>1022</v>
      </c>
      <c r="B82">
        <v>2142</v>
      </c>
      <c r="C82" t="s">
        <v>1023</v>
      </c>
    </row>
    <row r="83" spans="1:3">
      <c r="A83" t="s">
        <v>1024</v>
      </c>
      <c r="B83">
        <v>2143</v>
      </c>
      <c r="C83" t="s">
        <v>1025</v>
      </c>
    </row>
    <row r="84" spans="1:3">
      <c r="A84" t="s">
        <v>1026</v>
      </c>
      <c r="B84">
        <v>2144</v>
      </c>
      <c r="C84" t="s">
        <v>1027</v>
      </c>
    </row>
    <row r="85" spans="1:3">
      <c r="A85" t="s">
        <v>1028</v>
      </c>
      <c r="B85">
        <v>2145</v>
      </c>
      <c r="C85" t="s">
        <v>1029</v>
      </c>
    </row>
    <row r="86" spans="1:3">
      <c r="A86" t="s">
        <v>1030</v>
      </c>
      <c r="B86">
        <v>2146</v>
      </c>
      <c r="C86" t="s">
        <v>1031</v>
      </c>
    </row>
    <row r="87" spans="1:3">
      <c r="A87" t="s">
        <v>1032</v>
      </c>
      <c r="B87">
        <v>2147</v>
      </c>
      <c r="C87" t="s">
        <v>1033</v>
      </c>
    </row>
    <row r="88" spans="1:3">
      <c r="A88" t="s">
        <v>1034</v>
      </c>
      <c r="B88">
        <v>2148</v>
      </c>
      <c r="C88" t="s">
        <v>1035</v>
      </c>
    </row>
    <row r="89" spans="1:3">
      <c r="A89" t="s">
        <v>1036</v>
      </c>
      <c r="B89">
        <v>2149</v>
      </c>
      <c r="C89" t="s">
        <v>1037</v>
      </c>
    </row>
    <row r="90" spans="1:3">
      <c r="A90" t="s">
        <v>1038</v>
      </c>
      <c r="B90">
        <v>2150</v>
      </c>
      <c r="C90" t="s">
        <v>1039</v>
      </c>
    </row>
    <row r="91" spans="1:3">
      <c r="A91" t="s">
        <v>1040</v>
      </c>
      <c r="B91">
        <v>2151</v>
      </c>
      <c r="C91" t="s">
        <v>1041</v>
      </c>
    </row>
    <row r="92" spans="1:3">
      <c r="A92" t="s">
        <v>1042</v>
      </c>
      <c r="B92">
        <v>2152</v>
      </c>
      <c r="C92" t="s">
        <v>1043</v>
      </c>
    </row>
    <row r="93" spans="1:3">
      <c r="A93" t="s">
        <v>1044</v>
      </c>
      <c r="B93">
        <v>2153</v>
      </c>
      <c r="C93" t="s">
        <v>1045</v>
      </c>
    </row>
    <row r="94" spans="1:3">
      <c r="A94" t="s">
        <v>1046</v>
      </c>
      <c r="B94">
        <v>2154</v>
      </c>
      <c r="C94" t="s">
        <v>1047</v>
      </c>
    </row>
    <row r="95" spans="1:3">
      <c r="A95" t="s">
        <v>1048</v>
      </c>
      <c r="B95">
        <v>2155</v>
      </c>
      <c r="C95" t="s">
        <v>1049</v>
      </c>
    </row>
    <row r="96" spans="1:3">
      <c r="A96" t="s">
        <v>1050</v>
      </c>
      <c r="B96">
        <v>2156</v>
      </c>
      <c r="C96" t="s">
        <v>1051</v>
      </c>
    </row>
    <row r="97" spans="1:3">
      <c r="A97" t="s">
        <v>1052</v>
      </c>
      <c r="B97">
        <v>2157</v>
      </c>
      <c r="C97" t="s">
        <v>1053</v>
      </c>
    </row>
    <row r="98" spans="1:3">
      <c r="A98" t="s">
        <v>1054</v>
      </c>
      <c r="B98">
        <v>2159</v>
      </c>
      <c r="C98" t="s">
        <v>1055</v>
      </c>
    </row>
    <row r="99" spans="1:3">
      <c r="A99" t="s">
        <v>1056</v>
      </c>
      <c r="B99">
        <v>2160</v>
      </c>
      <c r="C99" t="s">
        <v>1057</v>
      </c>
    </row>
    <row r="100" spans="1:3">
      <c r="A100" t="s">
        <v>1058</v>
      </c>
      <c r="B100">
        <v>2164</v>
      </c>
      <c r="C100" t="s">
        <v>1059</v>
      </c>
    </row>
    <row r="101" spans="1:3">
      <c r="A101" t="s">
        <v>1060</v>
      </c>
      <c r="B101">
        <v>2165</v>
      </c>
      <c r="C101" t="s">
        <v>1061</v>
      </c>
    </row>
    <row r="102" spans="1:3">
      <c r="A102" t="s">
        <v>1062</v>
      </c>
      <c r="B102">
        <v>2167</v>
      </c>
      <c r="C102" t="s">
        <v>1063</v>
      </c>
    </row>
    <row r="103" spans="1:3">
      <c r="A103" t="s">
        <v>1064</v>
      </c>
      <c r="B103">
        <v>2169</v>
      </c>
      <c r="C103" t="s">
        <v>1065</v>
      </c>
    </row>
    <row r="104" spans="1:3">
      <c r="A104" t="s">
        <v>1066</v>
      </c>
      <c r="B104">
        <v>2170</v>
      </c>
      <c r="C104" t="s">
        <v>1067</v>
      </c>
    </row>
    <row r="105" spans="1:3">
      <c r="A105" t="s">
        <v>1068</v>
      </c>
      <c r="B105">
        <v>2171</v>
      </c>
      <c r="C105" t="s">
        <v>1069</v>
      </c>
    </row>
    <row r="106" spans="1:3">
      <c r="A106" t="s">
        <v>1070</v>
      </c>
      <c r="B106">
        <v>2173</v>
      </c>
      <c r="C106" t="s">
        <v>1071</v>
      </c>
    </row>
    <row r="107" spans="1:3">
      <c r="A107" t="s">
        <v>1072</v>
      </c>
      <c r="B107">
        <v>2176</v>
      </c>
      <c r="C107" t="s">
        <v>1073</v>
      </c>
    </row>
    <row r="108" spans="1:3">
      <c r="A108" t="s">
        <v>1074</v>
      </c>
      <c r="B108">
        <v>2180</v>
      </c>
      <c r="C108" t="s">
        <v>1075</v>
      </c>
    </row>
    <row r="109" spans="1:3">
      <c r="A109" t="s">
        <v>1076</v>
      </c>
      <c r="B109">
        <v>2181</v>
      </c>
      <c r="C109" t="s">
        <v>1077</v>
      </c>
    </row>
    <row r="110" spans="1:3">
      <c r="A110" t="s">
        <v>1078</v>
      </c>
      <c r="B110">
        <v>2182</v>
      </c>
      <c r="C110" t="s">
        <v>1079</v>
      </c>
    </row>
    <row r="111" spans="1:3">
      <c r="A111" t="s">
        <v>1080</v>
      </c>
      <c r="B111">
        <v>2183</v>
      </c>
      <c r="C111" t="s">
        <v>1081</v>
      </c>
    </row>
    <row r="112" spans="1:3">
      <c r="A112" t="s">
        <v>1082</v>
      </c>
      <c r="B112">
        <v>2187</v>
      </c>
      <c r="C112" t="s">
        <v>1063</v>
      </c>
    </row>
    <row r="113" spans="1:3">
      <c r="A113" t="s">
        <v>1083</v>
      </c>
      <c r="B113">
        <v>2188</v>
      </c>
      <c r="C113" t="s">
        <v>1084</v>
      </c>
    </row>
    <row r="114" spans="1:3">
      <c r="A114" t="s">
        <v>2613</v>
      </c>
      <c r="B114">
        <v>2189</v>
      </c>
      <c r="C114" t="s">
        <v>2614</v>
      </c>
    </row>
    <row r="115" spans="1:3">
      <c r="A115" t="s">
        <v>1085</v>
      </c>
      <c r="B115">
        <v>2190</v>
      </c>
      <c r="C115" t="s">
        <v>1086</v>
      </c>
    </row>
    <row r="116" spans="1:3">
      <c r="A116" t="s">
        <v>1087</v>
      </c>
      <c r="B116">
        <v>2192</v>
      </c>
      <c r="C116" t="s">
        <v>1088</v>
      </c>
    </row>
    <row r="117" spans="1:3">
      <c r="A117" t="s">
        <v>1089</v>
      </c>
      <c r="B117">
        <v>2194</v>
      </c>
      <c r="C117" t="s">
        <v>1090</v>
      </c>
    </row>
    <row r="118" spans="1:3">
      <c r="A118" t="s">
        <v>1091</v>
      </c>
      <c r="B118">
        <v>2195</v>
      </c>
      <c r="C118" t="s">
        <v>1092</v>
      </c>
    </row>
    <row r="119" spans="1:3">
      <c r="A119" t="s">
        <v>1093</v>
      </c>
      <c r="B119">
        <v>2197</v>
      </c>
      <c r="C119" t="s">
        <v>1094</v>
      </c>
    </row>
    <row r="120" spans="1:3">
      <c r="A120" t="s">
        <v>1095</v>
      </c>
      <c r="B120">
        <v>2199</v>
      </c>
      <c r="C120" t="s">
        <v>1096</v>
      </c>
    </row>
    <row r="121" spans="1:3">
      <c r="A121" t="s">
        <v>1097</v>
      </c>
      <c r="B121">
        <v>2200</v>
      </c>
      <c r="C121" t="s">
        <v>1098</v>
      </c>
    </row>
    <row r="122" spans="1:3">
      <c r="A122" t="s">
        <v>1099</v>
      </c>
      <c r="B122">
        <v>2201</v>
      </c>
      <c r="C122" t="s">
        <v>1100</v>
      </c>
    </row>
    <row r="123" spans="1:3">
      <c r="A123" t="s">
        <v>1101</v>
      </c>
      <c r="B123">
        <v>2202</v>
      </c>
      <c r="C123" t="s">
        <v>1102</v>
      </c>
    </row>
    <row r="124" spans="1:3">
      <c r="A124" t="s">
        <v>1103</v>
      </c>
      <c r="B124">
        <v>2203</v>
      </c>
      <c r="C124" t="s">
        <v>1104</v>
      </c>
    </row>
    <row r="125" spans="1:3">
      <c r="A125" t="s">
        <v>1105</v>
      </c>
      <c r="B125">
        <v>2204</v>
      </c>
      <c r="C125" t="s">
        <v>1106</v>
      </c>
    </row>
    <row r="126" spans="1:3">
      <c r="A126" t="s">
        <v>1107</v>
      </c>
      <c r="B126">
        <v>2205</v>
      </c>
      <c r="C126" t="s">
        <v>1108</v>
      </c>
    </row>
    <row r="127" spans="1:3">
      <c r="A127" t="s">
        <v>1109</v>
      </c>
      <c r="B127">
        <v>2206</v>
      </c>
      <c r="C127" t="s">
        <v>1110</v>
      </c>
    </row>
    <row r="128" spans="1:3">
      <c r="A128" t="s">
        <v>1111</v>
      </c>
      <c r="B128">
        <v>2207</v>
      </c>
      <c r="C128" t="s">
        <v>1112</v>
      </c>
    </row>
    <row r="129" spans="1:3">
      <c r="A129" t="s">
        <v>1113</v>
      </c>
      <c r="B129">
        <v>2210</v>
      </c>
      <c r="C129" t="s">
        <v>1114</v>
      </c>
    </row>
    <row r="130" spans="1:3">
      <c r="A130" t="s">
        <v>1115</v>
      </c>
      <c r="B130">
        <v>2211</v>
      </c>
      <c r="C130" t="s">
        <v>1116</v>
      </c>
    </row>
    <row r="131" spans="1:3">
      <c r="A131" t="s">
        <v>1117</v>
      </c>
      <c r="B131">
        <v>2215</v>
      </c>
      <c r="C131" t="s">
        <v>1118</v>
      </c>
    </row>
    <row r="132" spans="1:3">
      <c r="A132" t="s">
        <v>1119</v>
      </c>
      <c r="B132">
        <v>2218</v>
      </c>
      <c r="C132" t="s">
        <v>1120</v>
      </c>
    </row>
    <row r="133" spans="1:3">
      <c r="A133" t="s">
        <v>2928</v>
      </c>
      <c r="B133">
        <v>2220</v>
      </c>
      <c r="C133" t="s">
        <v>2929</v>
      </c>
    </row>
    <row r="134" spans="1:3">
      <c r="A134" t="s">
        <v>1121</v>
      </c>
      <c r="B134">
        <v>2222</v>
      </c>
      <c r="C134" t="s">
        <v>1122</v>
      </c>
    </row>
    <row r="135" spans="1:3">
      <c r="A135" t="s">
        <v>1123</v>
      </c>
      <c r="B135">
        <v>2230</v>
      </c>
      <c r="C135" t="s">
        <v>1124</v>
      </c>
    </row>
    <row r="136" spans="1:3">
      <c r="A136" t="s">
        <v>1125</v>
      </c>
      <c r="B136">
        <v>2231</v>
      </c>
      <c r="C136" t="s">
        <v>1126</v>
      </c>
    </row>
    <row r="137" spans="1:3">
      <c r="A137" t="s">
        <v>1127</v>
      </c>
      <c r="B137">
        <v>2233</v>
      </c>
      <c r="C137" t="s">
        <v>1128</v>
      </c>
    </row>
    <row r="138" spans="1:3">
      <c r="A138" t="s">
        <v>1129</v>
      </c>
      <c r="B138">
        <v>2235</v>
      </c>
      <c r="C138" t="s">
        <v>1130</v>
      </c>
    </row>
    <row r="139" spans="1:3">
      <c r="A139" t="s">
        <v>1131</v>
      </c>
      <c r="B139">
        <v>2238</v>
      </c>
      <c r="C139" t="s">
        <v>1132</v>
      </c>
    </row>
    <row r="140" spans="1:3">
      <c r="A140" t="s">
        <v>1133</v>
      </c>
      <c r="B140">
        <v>2239</v>
      </c>
      <c r="C140" t="s">
        <v>1134</v>
      </c>
    </row>
    <row r="141" spans="1:3">
      <c r="A141" t="s">
        <v>1135</v>
      </c>
      <c r="B141">
        <v>2240</v>
      </c>
      <c r="C141" t="s">
        <v>1136</v>
      </c>
    </row>
    <row r="142" spans="1:3">
      <c r="A142" t="s">
        <v>1137</v>
      </c>
      <c r="B142">
        <v>2245</v>
      </c>
      <c r="C142" t="s">
        <v>1138</v>
      </c>
    </row>
    <row r="143" spans="1:3">
      <c r="A143" t="s">
        <v>1139</v>
      </c>
      <c r="B143">
        <v>2250</v>
      </c>
      <c r="C143" t="s">
        <v>1140</v>
      </c>
    </row>
    <row r="144" spans="1:3">
      <c r="A144" t="s">
        <v>1141</v>
      </c>
      <c r="B144">
        <v>2251</v>
      </c>
      <c r="C144" t="s">
        <v>1142</v>
      </c>
    </row>
    <row r="145" spans="1:3">
      <c r="A145" t="s">
        <v>1143</v>
      </c>
      <c r="B145">
        <v>2260</v>
      </c>
      <c r="C145" t="s">
        <v>1144</v>
      </c>
    </row>
    <row r="146" spans="1:3">
      <c r="A146" t="s">
        <v>1145</v>
      </c>
      <c r="B146">
        <v>2261</v>
      </c>
      <c r="C146" t="s">
        <v>1146</v>
      </c>
    </row>
    <row r="147" spans="1:3">
      <c r="A147" t="s">
        <v>1147</v>
      </c>
      <c r="B147">
        <v>2262</v>
      </c>
      <c r="C147" t="s">
        <v>1148</v>
      </c>
    </row>
    <row r="148" spans="1:3">
      <c r="A148" t="s">
        <v>1149</v>
      </c>
      <c r="B148">
        <v>2263</v>
      </c>
      <c r="C148" t="s">
        <v>1150</v>
      </c>
    </row>
    <row r="149" spans="1:3">
      <c r="A149" t="s">
        <v>1151</v>
      </c>
      <c r="B149">
        <v>2264</v>
      </c>
      <c r="C149" t="s">
        <v>1152</v>
      </c>
    </row>
    <row r="150" spans="1:3">
      <c r="A150" t="s">
        <v>1153</v>
      </c>
      <c r="B150">
        <v>2270</v>
      </c>
      <c r="C150" t="s">
        <v>1154</v>
      </c>
    </row>
    <row r="151" spans="1:3">
      <c r="A151" t="s">
        <v>1155</v>
      </c>
      <c r="B151">
        <v>2271</v>
      </c>
      <c r="C151" t="s">
        <v>1156</v>
      </c>
    </row>
    <row r="152" spans="1:3">
      <c r="A152" t="s">
        <v>1157</v>
      </c>
      <c r="B152">
        <v>2280</v>
      </c>
      <c r="C152" t="s">
        <v>1158</v>
      </c>
    </row>
    <row r="153" spans="1:3">
      <c r="A153" t="s">
        <v>1159</v>
      </c>
      <c r="B153">
        <v>2281</v>
      </c>
      <c r="C153" t="s">
        <v>1160</v>
      </c>
    </row>
    <row r="154" spans="1:3">
      <c r="A154" t="s">
        <v>1161</v>
      </c>
      <c r="B154">
        <v>2282</v>
      </c>
      <c r="C154" t="s">
        <v>1162</v>
      </c>
    </row>
    <row r="155" spans="1:3">
      <c r="A155" t="s">
        <v>1163</v>
      </c>
      <c r="B155">
        <v>2290</v>
      </c>
      <c r="C155" t="s">
        <v>1164</v>
      </c>
    </row>
    <row r="156" spans="1:3">
      <c r="A156" t="s">
        <v>1165</v>
      </c>
      <c r="B156">
        <v>2300</v>
      </c>
      <c r="C156" t="s">
        <v>1166</v>
      </c>
    </row>
    <row r="157" spans="1:3">
      <c r="A157" t="s">
        <v>1167</v>
      </c>
      <c r="B157">
        <v>2301</v>
      </c>
      <c r="C157" t="s">
        <v>1168</v>
      </c>
    </row>
    <row r="158" spans="1:3">
      <c r="A158" t="s">
        <v>1169</v>
      </c>
      <c r="B158">
        <v>2310</v>
      </c>
      <c r="C158" t="s">
        <v>1170</v>
      </c>
    </row>
    <row r="159" spans="1:3">
      <c r="A159" t="s">
        <v>1171</v>
      </c>
      <c r="B159">
        <v>2312</v>
      </c>
      <c r="C159" t="s">
        <v>1172</v>
      </c>
    </row>
    <row r="160" spans="1:3">
      <c r="A160" t="s">
        <v>1173</v>
      </c>
      <c r="B160">
        <v>2313</v>
      </c>
      <c r="C160" t="s">
        <v>1174</v>
      </c>
    </row>
    <row r="161" spans="1:3">
      <c r="A161" t="s">
        <v>1175</v>
      </c>
      <c r="B161">
        <v>2314</v>
      </c>
      <c r="C161" t="s">
        <v>1176</v>
      </c>
    </row>
    <row r="162" spans="1:3">
      <c r="A162" t="s">
        <v>1177</v>
      </c>
      <c r="B162">
        <v>2315</v>
      </c>
      <c r="C162" t="s">
        <v>1178</v>
      </c>
    </row>
    <row r="163" spans="1:3">
      <c r="A163" t="s">
        <v>1179</v>
      </c>
      <c r="B163">
        <v>2320</v>
      </c>
      <c r="C163" t="s">
        <v>1180</v>
      </c>
    </row>
    <row r="164" spans="1:3">
      <c r="A164" t="s">
        <v>1181</v>
      </c>
      <c r="B164">
        <v>2321</v>
      </c>
      <c r="C164" t="s">
        <v>1182</v>
      </c>
    </row>
    <row r="165" spans="1:3">
      <c r="A165" t="s">
        <v>1183</v>
      </c>
      <c r="B165">
        <v>2322</v>
      </c>
      <c r="C165" t="s">
        <v>1184</v>
      </c>
    </row>
    <row r="166" spans="1:3">
      <c r="A166" t="s">
        <v>1185</v>
      </c>
      <c r="B166">
        <v>2330</v>
      </c>
      <c r="C166" t="s">
        <v>1186</v>
      </c>
    </row>
    <row r="167" spans="1:3">
      <c r="A167" t="s">
        <v>1187</v>
      </c>
      <c r="B167">
        <v>2331</v>
      </c>
      <c r="C167" t="s">
        <v>1188</v>
      </c>
    </row>
    <row r="168" spans="1:3">
      <c r="A168" t="s">
        <v>1189</v>
      </c>
      <c r="B168">
        <v>2340</v>
      </c>
      <c r="C168" t="s">
        <v>1190</v>
      </c>
    </row>
    <row r="169" spans="1:3">
      <c r="A169" t="s">
        <v>1191</v>
      </c>
      <c r="B169">
        <v>2350</v>
      </c>
      <c r="C169" t="s">
        <v>1192</v>
      </c>
    </row>
    <row r="170" spans="1:3">
      <c r="A170" t="s">
        <v>1193</v>
      </c>
      <c r="B170">
        <v>2351</v>
      </c>
      <c r="C170" t="s">
        <v>1194</v>
      </c>
    </row>
    <row r="171" spans="1:3">
      <c r="A171" t="s">
        <v>1195</v>
      </c>
      <c r="B171">
        <v>2352</v>
      </c>
      <c r="C171" t="s">
        <v>1196</v>
      </c>
    </row>
    <row r="172" spans="1:3">
      <c r="A172" t="s">
        <v>1197</v>
      </c>
      <c r="B172">
        <v>2353</v>
      </c>
      <c r="C172" t="s">
        <v>1198</v>
      </c>
    </row>
    <row r="173" spans="1:3">
      <c r="A173" t="s">
        <v>1199</v>
      </c>
      <c r="B173">
        <v>2354</v>
      </c>
      <c r="C173" t="s">
        <v>1200</v>
      </c>
    </row>
    <row r="174" spans="1:3">
      <c r="A174" t="s">
        <v>2930</v>
      </c>
      <c r="B174">
        <v>2355</v>
      </c>
      <c r="C174" t="s">
        <v>2931</v>
      </c>
    </row>
    <row r="175" spans="1:3">
      <c r="A175" t="s">
        <v>1201</v>
      </c>
      <c r="B175">
        <v>2360</v>
      </c>
      <c r="C175" t="s">
        <v>1202</v>
      </c>
    </row>
    <row r="176" spans="1:3">
      <c r="A176" t="s">
        <v>1203</v>
      </c>
      <c r="B176">
        <v>2370</v>
      </c>
      <c r="C176" t="s">
        <v>1204</v>
      </c>
    </row>
    <row r="177" spans="1:3">
      <c r="A177" t="s">
        <v>1205</v>
      </c>
      <c r="B177">
        <v>2371</v>
      </c>
      <c r="C177" t="s">
        <v>1206</v>
      </c>
    </row>
    <row r="178" spans="1:3">
      <c r="A178" t="s">
        <v>2932</v>
      </c>
      <c r="B178">
        <v>2380</v>
      </c>
      <c r="C178" t="s">
        <v>2933</v>
      </c>
    </row>
    <row r="179" spans="1:3">
      <c r="A179" t="s">
        <v>1207</v>
      </c>
      <c r="B179">
        <v>2390</v>
      </c>
      <c r="C179" t="s">
        <v>1208</v>
      </c>
    </row>
    <row r="180" spans="1:3">
      <c r="A180" t="s">
        <v>1209</v>
      </c>
      <c r="B180">
        <v>2395</v>
      </c>
      <c r="C180" t="s">
        <v>1210</v>
      </c>
    </row>
    <row r="181" spans="1:3">
      <c r="A181" t="s">
        <v>1211</v>
      </c>
      <c r="B181">
        <v>2400</v>
      </c>
      <c r="C181" t="s">
        <v>1212</v>
      </c>
    </row>
    <row r="182" spans="1:3">
      <c r="A182" t="s">
        <v>1213</v>
      </c>
      <c r="B182">
        <v>2402</v>
      </c>
      <c r="C182" t="s">
        <v>1214</v>
      </c>
    </row>
    <row r="183" spans="1:3">
      <c r="A183" t="s">
        <v>1215</v>
      </c>
      <c r="B183">
        <v>2403</v>
      </c>
      <c r="C183" t="s">
        <v>1216</v>
      </c>
    </row>
    <row r="184" spans="1:3">
      <c r="A184" t="s">
        <v>1217</v>
      </c>
      <c r="B184">
        <v>2405</v>
      </c>
      <c r="C184" t="s">
        <v>1218</v>
      </c>
    </row>
    <row r="185" spans="1:3">
      <c r="A185" t="s">
        <v>1219</v>
      </c>
      <c r="B185">
        <v>2407</v>
      </c>
      <c r="C185" t="s">
        <v>1220</v>
      </c>
    </row>
    <row r="186" spans="1:3">
      <c r="A186" t="s">
        <v>1221</v>
      </c>
      <c r="B186">
        <v>2409</v>
      </c>
      <c r="C186" t="s">
        <v>1222</v>
      </c>
    </row>
    <row r="187" spans="1:3">
      <c r="A187" t="s">
        <v>1223</v>
      </c>
      <c r="B187">
        <v>2410</v>
      </c>
      <c r="C187" t="s">
        <v>1224</v>
      </c>
    </row>
    <row r="188" spans="1:3">
      <c r="A188" t="s">
        <v>1225</v>
      </c>
      <c r="B188">
        <v>2411</v>
      </c>
      <c r="C188" t="s">
        <v>1226</v>
      </c>
    </row>
    <row r="189" spans="1:3">
      <c r="A189" t="s">
        <v>1227</v>
      </c>
      <c r="B189">
        <v>2413</v>
      </c>
      <c r="C189" t="s">
        <v>1228</v>
      </c>
    </row>
    <row r="190" spans="1:3">
      <c r="A190" t="s">
        <v>1229</v>
      </c>
      <c r="B190">
        <v>2417</v>
      </c>
      <c r="C190" t="s">
        <v>1230</v>
      </c>
    </row>
    <row r="191" spans="1:3">
      <c r="A191" t="s">
        <v>1231</v>
      </c>
      <c r="B191">
        <v>2420</v>
      </c>
      <c r="C191" t="s">
        <v>1232</v>
      </c>
    </row>
    <row r="192" spans="1:3">
      <c r="A192" t="s">
        <v>1233</v>
      </c>
      <c r="B192">
        <v>2421</v>
      </c>
      <c r="C192" t="s">
        <v>1234</v>
      </c>
    </row>
    <row r="193" spans="1:3">
      <c r="A193" t="s">
        <v>1235</v>
      </c>
      <c r="B193">
        <v>2423</v>
      </c>
      <c r="C193" t="s">
        <v>1236</v>
      </c>
    </row>
    <row r="194" spans="1:3">
      <c r="A194" t="s">
        <v>1237</v>
      </c>
      <c r="B194">
        <v>2425</v>
      </c>
      <c r="C194" t="s">
        <v>1238</v>
      </c>
    </row>
    <row r="195" spans="1:3">
      <c r="A195" t="s">
        <v>1239</v>
      </c>
      <c r="B195">
        <v>2430</v>
      </c>
      <c r="C195" t="s">
        <v>1240</v>
      </c>
    </row>
    <row r="196" spans="1:3">
      <c r="A196" t="s">
        <v>1241</v>
      </c>
      <c r="B196">
        <v>2440</v>
      </c>
      <c r="C196" t="s">
        <v>1242</v>
      </c>
    </row>
    <row r="197" spans="1:3">
      <c r="A197" t="s">
        <v>1243</v>
      </c>
      <c r="B197">
        <v>2441</v>
      </c>
      <c r="C197" t="s">
        <v>1244</v>
      </c>
    </row>
    <row r="198" spans="1:3">
      <c r="A198" t="s">
        <v>1245</v>
      </c>
      <c r="B198">
        <v>2442</v>
      </c>
      <c r="C198" t="s">
        <v>1246</v>
      </c>
    </row>
    <row r="199" spans="1:3">
      <c r="A199" t="s">
        <v>2615</v>
      </c>
      <c r="B199">
        <v>2448</v>
      </c>
      <c r="C199" t="s">
        <v>2616</v>
      </c>
    </row>
    <row r="200" spans="1:3">
      <c r="A200" t="s">
        <v>1247</v>
      </c>
      <c r="B200">
        <v>2450</v>
      </c>
      <c r="C200" t="s">
        <v>1248</v>
      </c>
    </row>
    <row r="201" spans="1:3">
      <c r="A201" t="s">
        <v>1249</v>
      </c>
      <c r="B201">
        <v>2451</v>
      </c>
      <c r="C201" t="s">
        <v>1250</v>
      </c>
    </row>
    <row r="202" spans="1:3">
      <c r="A202" t="s">
        <v>1251</v>
      </c>
      <c r="B202">
        <v>2452</v>
      </c>
      <c r="C202" t="s">
        <v>1252</v>
      </c>
    </row>
    <row r="203" spans="1:3">
      <c r="A203" t="s">
        <v>2728</v>
      </c>
      <c r="B203">
        <v>2454</v>
      </c>
      <c r="C203" t="s">
        <v>2729</v>
      </c>
    </row>
    <row r="204" spans="1:3">
      <c r="A204" t="s">
        <v>1253</v>
      </c>
      <c r="B204">
        <v>2455</v>
      </c>
      <c r="C204" t="s">
        <v>1254</v>
      </c>
    </row>
    <row r="205" spans="1:3">
      <c r="A205" t="s">
        <v>1255</v>
      </c>
      <c r="B205">
        <v>2460</v>
      </c>
      <c r="C205" t="s">
        <v>1256</v>
      </c>
    </row>
    <row r="206" spans="1:3">
      <c r="A206" t="s">
        <v>1257</v>
      </c>
      <c r="B206">
        <v>2470</v>
      </c>
      <c r="C206" t="s">
        <v>1258</v>
      </c>
    </row>
    <row r="207" spans="1:3">
      <c r="A207" t="s">
        <v>1259</v>
      </c>
      <c r="B207">
        <v>2480</v>
      </c>
      <c r="C207" t="s">
        <v>1260</v>
      </c>
    </row>
    <row r="208" spans="1:3">
      <c r="A208" t="s">
        <v>1261</v>
      </c>
      <c r="B208">
        <v>2490</v>
      </c>
      <c r="C208" t="s">
        <v>1262</v>
      </c>
    </row>
    <row r="209" spans="1:3">
      <c r="A209" t="s">
        <v>1263</v>
      </c>
      <c r="B209">
        <v>2500</v>
      </c>
      <c r="C209" t="s">
        <v>1264</v>
      </c>
    </row>
    <row r="210" spans="1:3">
      <c r="A210" t="s">
        <v>1265</v>
      </c>
      <c r="B210">
        <v>2504</v>
      </c>
      <c r="C210" t="s">
        <v>1266</v>
      </c>
    </row>
    <row r="211" spans="1:3">
      <c r="A211" t="s">
        <v>1267</v>
      </c>
      <c r="B211">
        <v>2505</v>
      </c>
      <c r="C211" t="s">
        <v>1268</v>
      </c>
    </row>
    <row r="212" spans="1:3">
      <c r="A212" t="s">
        <v>3319</v>
      </c>
      <c r="B212">
        <v>2506</v>
      </c>
      <c r="C212" t="s">
        <v>3320</v>
      </c>
    </row>
    <row r="213" spans="1:3">
      <c r="A213" t="s">
        <v>1269</v>
      </c>
      <c r="B213">
        <v>2507</v>
      </c>
      <c r="C213" t="s">
        <v>1270</v>
      </c>
    </row>
    <row r="214" spans="1:3">
      <c r="A214" t="s">
        <v>1271</v>
      </c>
      <c r="B214">
        <v>2510</v>
      </c>
      <c r="C214" t="s">
        <v>1272</v>
      </c>
    </row>
    <row r="215" spans="1:3">
      <c r="A215" t="s">
        <v>1273</v>
      </c>
      <c r="B215">
        <v>2515</v>
      </c>
      <c r="C215" t="s">
        <v>1274</v>
      </c>
    </row>
    <row r="216" spans="1:3">
      <c r="A216" t="s">
        <v>1275</v>
      </c>
      <c r="B216">
        <v>2520</v>
      </c>
      <c r="C216" t="s">
        <v>1276</v>
      </c>
    </row>
    <row r="217" spans="1:3">
      <c r="A217" t="s">
        <v>1277</v>
      </c>
      <c r="B217">
        <v>2530</v>
      </c>
      <c r="C217" t="s">
        <v>1278</v>
      </c>
    </row>
    <row r="218" spans="1:3">
      <c r="A218" t="s">
        <v>1279</v>
      </c>
      <c r="B218">
        <v>2540</v>
      </c>
      <c r="C218" t="s">
        <v>1280</v>
      </c>
    </row>
    <row r="219" spans="1:3">
      <c r="A219" t="s">
        <v>3321</v>
      </c>
      <c r="B219">
        <v>2541</v>
      </c>
      <c r="C219" t="s">
        <v>2096</v>
      </c>
    </row>
    <row r="220" spans="1:3">
      <c r="A220" t="s">
        <v>1281</v>
      </c>
      <c r="B220">
        <v>2550</v>
      </c>
      <c r="C220" t="s">
        <v>1282</v>
      </c>
    </row>
    <row r="221" spans="1:3">
      <c r="A221" t="s">
        <v>2874</v>
      </c>
      <c r="B221">
        <v>2560</v>
      </c>
      <c r="C221" t="s">
        <v>2875</v>
      </c>
    </row>
    <row r="222" spans="1:3">
      <c r="A222" t="s">
        <v>1283</v>
      </c>
      <c r="B222">
        <v>2570</v>
      </c>
      <c r="C222" t="s">
        <v>1284</v>
      </c>
    </row>
    <row r="223" spans="1:3">
      <c r="A223" t="s">
        <v>1285</v>
      </c>
      <c r="B223">
        <v>2580</v>
      </c>
      <c r="C223" t="s">
        <v>1286</v>
      </c>
    </row>
    <row r="224" spans="1:3">
      <c r="A224" t="s">
        <v>1287</v>
      </c>
      <c r="B224">
        <v>2590</v>
      </c>
      <c r="C224" t="s">
        <v>1288</v>
      </c>
    </row>
    <row r="225" spans="1:3">
      <c r="A225" t="s">
        <v>1289</v>
      </c>
      <c r="B225">
        <v>2600</v>
      </c>
      <c r="C225" t="s">
        <v>1290</v>
      </c>
    </row>
    <row r="226" spans="1:3">
      <c r="A226" t="s">
        <v>1291</v>
      </c>
      <c r="B226">
        <v>2601</v>
      </c>
      <c r="C226" t="s">
        <v>1292</v>
      </c>
    </row>
    <row r="227" spans="1:3">
      <c r="A227" t="s">
        <v>1293</v>
      </c>
      <c r="B227">
        <v>2602</v>
      </c>
      <c r="C227" t="s">
        <v>1294</v>
      </c>
    </row>
    <row r="228" spans="1:3">
      <c r="A228" t="s">
        <v>1295</v>
      </c>
      <c r="B228">
        <v>2610</v>
      </c>
      <c r="C228" t="s">
        <v>1296</v>
      </c>
    </row>
    <row r="229" spans="1:3">
      <c r="A229" t="s">
        <v>1297</v>
      </c>
      <c r="B229">
        <v>2615</v>
      </c>
      <c r="C229" t="s">
        <v>1298</v>
      </c>
    </row>
    <row r="230" spans="1:3">
      <c r="A230" t="s">
        <v>1299</v>
      </c>
      <c r="B230">
        <v>2620</v>
      </c>
      <c r="C230" t="s">
        <v>1300</v>
      </c>
    </row>
    <row r="231" spans="1:3">
      <c r="A231" t="s">
        <v>1301</v>
      </c>
      <c r="B231">
        <v>2630</v>
      </c>
      <c r="C231" t="s">
        <v>1302</v>
      </c>
    </row>
    <row r="232" spans="1:3">
      <c r="A232" t="s">
        <v>1303</v>
      </c>
      <c r="B232">
        <v>2640</v>
      </c>
      <c r="C232" t="s">
        <v>1304</v>
      </c>
    </row>
    <row r="233" spans="1:3">
      <c r="A233" t="s">
        <v>1305</v>
      </c>
      <c r="B233">
        <v>2650</v>
      </c>
      <c r="C233" t="s">
        <v>1306</v>
      </c>
    </row>
    <row r="234" spans="1:3">
      <c r="A234" t="s">
        <v>1307</v>
      </c>
      <c r="B234">
        <v>2651</v>
      </c>
      <c r="C234" t="s">
        <v>1308</v>
      </c>
    </row>
    <row r="235" spans="1:3">
      <c r="A235" t="s">
        <v>1309</v>
      </c>
      <c r="B235">
        <v>2660</v>
      </c>
      <c r="C235" t="s">
        <v>1310</v>
      </c>
    </row>
    <row r="236" spans="1:3">
      <c r="A236" t="s">
        <v>1311</v>
      </c>
      <c r="B236">
        <v>2661</v>
      </c>
      <c r="C236" t="s">
        <v>1312</v>
      </c>
    </row>
    <row r="237" spans="1:3">
      <c r="A237" t="s">
        <v>3815</v>
      </c>
      <c r="B237">
        <v>2662</v>
      </c>
      <c r="C237" t="s">
        <v>3816</v>
      </c>
    </row>
    <row r="238" spans="1:3">
      <c r="A238" t="s">
        <v>1313</v>
      </c>
      <c r="B238">
        <v>2670</v>
      </c>
      <c r="C238" t="s">
        <v>1314</v>
      </c>
    </row>
    <row r="239" spans="1:3">
      <c r="A239" t="s">
        <v>1315</v>
      </c>
      <c r="B239">
        <v>2671</v>
      </c>
      <c r="C239" t="s">
        <v>1316</v>
      </c>
    </row>
    <row r="240" spans="1:3">
      <c r="A240" t="s">
        <v>1317</v>
      </c>
      <c r="B240">
        <v>2680</v>
      </c>
      <c r="C240" t="s">
        <v>1318</v>
      </c>
    </row>
    <row r="241" spans="1:3">
      <c r="A241" t="s">
        <v>1319</v>
      </c>
      <c r="B241">
        <v>2685</v>
      </c>
      <c r="C241" t="s">
        <v>1320</v>
      </c>
    </row>
    <row r="242" spans="1:3">
      <c r="A242" t="s">
        <v>1321</v>
      </c>
      <c r="B242">
        <v>2687</v>
      </c>
      <c r="C242" t="s">
        <v>1322</v>
      </c>
    </row>
    <row r="243" spans="1:3">
      <c r="A243" t="s">
        <v>1323</v>
      </c>
      <c r="B243">
        <v>2690</v>
      </c>
      <c r="C243" t="s">
        <v>1324</v>
      </c>
    </row>
    <row r="244" spans="1:3">
      <c r="A244" t="s">
        <v>1325</v>
      </c>
      <c r="B244">
        <v>2700</v>
      </c>
      <c r="C244" t="s">
        <v>1326</v>
      </c>
    </row>
    <row r="245" spans="1:3">
      <c r="A245" t="s">
        <v>1327</v>
      </c>
      <c r="B245">
        <v>2701</v>
      </c>
      <c r="C245" t="s">
        <v>1328</v>
      </c>
    </row>
    <row r="246" spans="1:3">
      <c r="A246" t="s">
        <v>1329</v>
      </c>
      <c r="B246">
        <v>2702</v>
      </c>
      <c r="C246" t="s">
        <v>1330</v>
      </c>
    </row>
    <row r="247" spans="1:3">
      <c r="A247" t="s">
        <v>1331</v>
      </c>
      <c r="B247">
        <v>2703</v>
      </c>
      <c r="C247" t="s">
        <v>1332</v>
      </c>
    </row>
    <row r="248" spans="1:3">
      <c r="A248" t="s">
        <v>1333</v>
      </c>
      <c r="B248">
        <v>2704</v>
      </c>
      <c r="C248" t="s">
        <v>1334</v>
      </c>
    </row>
    <row r="249" spans="1:3">
      <c r="A249" t="s">
        <v>1335</v>
      </c>
      <c r="B249">
        <v>2710</v>
      </c>
      <c r="C249" t="s">
        <v>1336</v>
      </c>
    </row>
    <row r="250" spans="1:3">
      <c r="A250" t="s">
        <v>1337</v>
      </c>
      <c r="B250">
        <v>2711</v>
      </c>
      <c r="C250" t="s">
        <v>1338</v>
      </c>
    </row>
    <row r="251" spans="1:3">
      <c r="A251" t="s">
        <v>1339</v>
      </c>
      <c r="B251">
        <v>2713</v>
      </c>
      <c r="C251" t="s">
        <v>1340</v>
      </c>
    </row>
    <row r="252" spans="1:3">
      <c r="A252" t="s">
        <v>1341</v>
      </c>
      <c r="B252">
        <v>2720</v>
      </c>
      <c r="C252" t="s">
        <v>1342</v>
      </c>
    </row>
    <row r="253" spans="1:3">
      <c r="A253" t="s">
        <v>1343</v>
      </c>
      <c r="B253">
        <v>2730</v>
      </c>
      <c r="C253" t="s">
        <v>1344</v>
      </c>
    </row>
    <row r="254" spans="1:3">
      <c r="A254" t="s">
        <v>2730</v>
      </c>
      <c r="B254">
        <v>2743</v>
      </c>
      <c r="C254" t="s">
        <v>2731</v>
      </c>
    </row>
    <row r="255" spans="1:3">
      <c r="A255" t="s">
        <v>1345</v>
      </c>
      <c r="B255">
        <v>2750</v>
      </c>
      <c r="C255" t="s">
        <v>1346</v>
      </c>
    </row>
    <row r="256" spans="1:3">
      <c r="A256" t="s">
        <v>1347</v>
      </c>
      <c r="B256">
        <v>2751</v>
      </c>
      <c r="C256" t="s">
        <v>1348</v>
      </c>
    </row>
    <row r="257" spans="1:3">
      <c r="A257" t="s">
        <v>1349</v>
      </c>
      <c r="B257">
        <v>2753</v>
      </c>
      <c r="C257" t="s">
        <v>1350</v>
      </c>
    </row>
    <row r="258" spans="1:3">
      <c r="A258" t="s">
        <v>1351</v>
      </c>
      <c r="B258">
        <v>2754</v>
      </c>
      <c r="C258" t="s">
        <v>1352</v>
      </c>
    </row>
    <row r="259" spans="1:3">
      <c r="A259" t="s">
        <v>1353</v>
      </c>
      <c r="B259">
        <v>2756</v>
      </c>
      <c r="C259" t="s">
        <v>1354</v>
      </c>
    </row>
    <row r="260" spans="1:3">
      <c r="A260" t="s">
        <v>1355</v>
      </c>
      <c r="B260">
        <v>2765</v>
      </c>
      <c r="C260" t="s">
        <v>1356</v>
      </c>
    </row>
    <row r="261" spans="1:3">
      <c r="A261" t="s">
        <v>1357</v>
      </c>
      <c r="B261">
        <v>2767</v>
      </c>
      <c r="C261" t="s">
        <v>1358</v>
      </c>
    </row>
    <row r="262" spans="1:3">
      <c r="A262" t="s">
        <v>1359</v>
      </c>
      <c r="B262">
        <v>2770</v>
      </c>
      <c r="C262" t="s">
        <v>1360</v>
      </c>
    </row>
    <row r="263" spans="1:3">
      <c r="A263" t="s">
        <v>1361</v>
      </c>
      <c r="B263">
        <v>2774</v>
      </c>
      <c r="C263" t="s">
        <v>1362</v>
      </c>
    </row>
    <row r="264" spans="1:3">
      <c r="A264" t="s">
        <v>1363</v>
      </c>
      <c r="B264">
        <v>2777</v>
      </c>
      <c r="C264" t="s">
        <v>1364</v>
      </c>
    </row>
    <row r="265" spans="1:3">
      <c r="A265" t="s">
        <v>1365</v>
      </c>
      <c r="B265">
        <v>2780</v>
      </c>
      <c r="C265" t="s">
        <v>1366</v>
      </c>
    </row>
    <row r="266" spans="1:3">
      <c r="A266" t="s">
        <v>1367</v>
      </c>
      <c r="B266">
        <v>2790</v>
      </c>
      <c r="C266" t="s">
        <v>1368</v>
      </c>
    </row>
    <row r="267" spans="1:3">
      <c r="A267" t="s">
        <v>1369</v>
      </c>
      <c r="B267">
        <v>2795</v>
      </c>
      <c r="C267" t="s">
        <v>1370</v>
      </c>
    </row>
    <row r="268" spans="1:3">
      <c r="A268" t="s">
        <v>1371</v>
      </c>
      <c r="B268">
        <v>2799</v>
      </c>
      <c r="C268" t="s">
        <v>1372</v>
      </c>
    </row>
    <row r="269" spans="1:3">
      <c r="A269" t="s">
        <v>1373</v>
      </c>
      <c r="B269">
        <v>2800</v>
      </c>
      <c r="C269" t="s">
        <v>1374</v>
      </c>
    </row>
    <row r="270" spans="1:3">
      <c r="A270" t="s">
        <v>1375</v>
      </c>
      <c r="B270">
        <v>2810</v>
      </c>
      <c r="C270" t="s">
        <v>1376</v>
      </c>
    </row>
    <row r="271" spans="1:3">
      <c r="A271" t="s">
        <v>1377</v>
      </c>
      <c r="B271">
        <v>2820</v>
      </c>
      <c r="C271" t="s">
        <v>1378</v>
      </c>
    </row>
    <row r="272" spans="1:3">
      <c r="A272" t="s">
        <v>1379</v>
      </c>
      <c r="B272">
        <v>2821</v>
      </c>
      <c r="C272" t="s">
        <v>1380</v>
      </c>
    </row>
    <row r="273" spans="1:3">
      <c r="A273" t="s">
        <v>1381</v>
      </c>
      <c r="B273">
        <v>2830</v>
      </c>
      <c r="C273" t="s">
        <v>1382</v>
      </c>
    </row>
    <row r="274" spans="1:3">
      <c r="A274" t="s">
        <v>1383</v>
      </c>
      <c r="B274">
        <v>2836</v>
      </c>
      <c r="C274" t="s">
        <v>1384</v>
      </c>
    </row>
    <row r="275" spans="1:3">
      <c r="A275" t="s">
        <v>1385</v>
      </c>
      <c r="B275">
        <v>2840</v>
      </c>
      <c r="C275" t="s">
        <v>1386</v>
      </c>
    </row>
    <row r="276" spans="1:3">
      <c r="A276" t="s">
        <v>1387</v>
      </c>
      <c r="B276">
        <v>2845</v>
      </c>
      <c r="C276" t="s">
        <v>1388</v>
      </c>
    </row>
    <row r="277" spans="1:3">
      <c r="A277" t="s">
        <v>1389</v>
      </c>
      <c r="B277">
        <v>2848</v>
      </c>
      <c r="C277" t="s">
        <v>1390</v>
      </c>
    </row>
    <row r="278" spans="1:3">
      <c r="A278" t="s">
        <v>3322</v>
      </c>
      <c r="B278">
        <v>2850</v>
      </c>
      <c r="C278" t="s">
        <v>3323</v>
      </c>
    </row>
    <row r="279" spans="1:3">
      <c r="A279" t="s">
        <v>1391</v>
      </c>
      <c r="B279">
        <v>2859</v>
      </c>
      <c r="C279" t="s">
        <v>1392</v>
      </c>
    </row>
    <row r="280" spans="1:3">
      <c r="A280" t="s">
        <v>1393</v>
      </c>
      <c r="B280">
        <v>2860</v>
      </c>
      <c r="C280" t="s">
        <v>1394</v>
      </c>
    </row>
    <row r="281" spans="1:3">
      <c r="A281" t="s">
        <v>1395</v>
      </c>
      <c r="B281">
        <v>2861</v>
      </c>
      <c r="C281" t="s">
        <v>1396</v>
      </c>
    </row>
    <row r="282" spans="1:3">
      <c r="A282" t="s">
        <v>1397</v>
      </c>
      <c r="B282">
        <v>2869</v>
      </c>
      <c r="C282" t="s">
        <v>1398</v>
      </c>
    </row>
    <row r="283" spans="1:3">
      <c r="A283" t="s">
        <v>1399</v>
      </c>
      <c r="B283">
        <v>2870</v>
      </c>
      <c r="C283" t="s">
        <v>1400</v>
      </c>
    </row>
    <row r="284" spans="1:3">
      <c r="A284" t="s">
        <v>1401</v>
      </c>
      <c r="B284">
        <v>2871</v>
      </c>
      <c r="C284" t="s">
        <v>1402</v>
      </c>
    </row>
    <row r="285" spans="1:3">
      <c r="A285" t="s">
        <v>1403</v>
      </c>
      <c r="B285">
        <v>2877</v>
      </c>
      <c r="C285" t="s">
        <v>1404</v>
      </c>
    </row>
    <row r="286" spans="1:3">
      <c r="A286" t="s">
        <v>1405</v>
      </c>
      <c r="B286">
        <v>2880</v>
      </c>
      <c r="C286" t="s">
        <v>1406</v>
      </c>
    </row>
    <row r="287" spans="1:3">
      <c r="A287" t="s">
        <v>1407</v>
      </c>
      <c r="B287">
        <v>2881</v>
      </c>
      <c r="C287" t="s">
        <v>1408</v>
      </c>
    </row>
    <row r="288" spans="1:3">
      <c r="A288" t="s">
        <v>1409</v>
      </c>
      <c r="B288">
        <v>2882</v>
      </c>
      <c r="C288" t="s">
        <v>1410</v>
      </c>
    </row>
    <row r="289" spans="1:3">
      <c r="A289" t="s">
        <v>1411</v>
      </c>
      <c r="B289">
        <v>2900</v>
      </c>
      <c r="C289" t="s">
        <v>1412</v>
      </c>
    </row>
    <row r="290" spans="1:3">
      <c r="A290" t="s">
        <v>3324</v>
      </c>
      <c r="B290">
        <v>2902</v>
      </c>
      <c r="C290" t="s">
        <v>3325</v>
      </c>
    </row>
    <row r="291" spans="1:3">
      <c r="A291" t="s">
        <v>3326</v>
      </c>
      <c r="B291">
        <v>2903</v>
      </c>
      <c r="C291" t="s">
        <v>3327</v>
      </c>
    </row>
    <row r="292" spans="1:3">
      <c r="A292" t="s">
        <v>1413</v>
      </c>
      <c r="B292">
        <v>2912</v>
      </c>
      <c r="C292" t="s">
        <v>1414</v>
      </c>
    </row>
    <row r="293" spans="1:3">
      <c r="A293" t="s">
        <v>1415</v>
      </c>
      <c r="B293">
        <v>2920</v>
      </c>
      <c r="C293" t="s">
        <v>1416</v>
      </c>
    </row>
    <row r="294" spans="1:3">
      <c r="A294" t="s">
        <v>1417</v>
      </c>
      <c r="B294">
        <v>2922</v>
      </c>
      <c r="C294" t="s">
        <v>1418</v>
      </c>
    </row>
    <row r="295" spans="1:3">
      <c r="A295" t="s">
        <v>3817</v>
      </c>
      <c r="B295">
        <v>2930</v>
      </c>
      <c r="C295" t="s">
        <v>3818</v>
      </c>
    </row>
    <row r="296" spans="1:3">
      <c r="A296" t="s">
        <v>1419</v>
      </c>
      <c r="B296">
        <v>2937</v>
      </c>
      <c r="C296" t="s">
        <v>1420</v>
      </c>
    </row>
    <row r="297" spans="1:3">
      <c r="A297" t="s">
        <v>1421</v>
      </c>
      <c r="B297">
        <v>2938</v>
      </c>
      <c r="C297" t="s">
        <v>1422</v>
      </c>
    </row>
    <row r="298" spans="1:3">
      <c r="A298" t="s">
        <v>1423</v>
      </c>
      <c r="B298">
        <v>2942</v>
      </c>
      <c r="C298" t="s">
        <v>1424</v>
      </c>
    </row>
    <row r="299" spans="1:3">
      <c r="A299" t="s">
        <v>1425</v>
      </c>
      <c r="B299">
        <v>2948</v>
      </c>
      <c r="C299" t="s">
        <v>1426</v>
      </c>
    </row>
    <row r="300" spans="1:3">
      <c r="A300" t="s">
        <v>1427</v>
      </c>
      <c r="B300">
        <v>2949</v>
      </c>
      <c r="C300" t="s">
        <v>1428</v>
      </c>
    </row>
    <row r="301" spans="1:3">
      <c r="A301" t="s">
        <v>1429</v>
      </c>
      <c r="B301">
        <v>2957</v>
      </c>
      <c r="C301" t="s">
        <v>1430</v>
      </c>
    </row>
    <row r="302" spans="1:3">
      <c r="A302" t="s">
        <v>1431</v>
      </c>
      <c r="B302">
        <v>2960</v>
      </c>
      <c r="C302" t="s">
        <v>1432</v>
      </c>
    </row>
    <row r="303" spans="1:3">
      <c r="A303" t="s">
        <v>1433</v>
      </c>
      <c r="B303">
        <v>2970</v>
      </c>
      <c r="C303" t="s">
        <v>1434</v>
      </c>
    </row>
    <row r="304" spans="1:3">
      <c r="A304" t="s">
        <v>1435</v>
      </c>
      <c r="B304">
        <v>2971</v>
      </c>
      <c r="C304" t="s">
        <v>1434</v>
      </c>
    </row>
    <row r="305" spans="1:3">
      <c r="A305" t="s">
        <v>1436</v>
      </c>
      <c r="B305">
        <v>2997</v>
      </c>
      <c r="C305" t="s">
        <v>1437</v>
      </c>
    </row>
    <row r="306" spans="1:3">
      <c r="A306" t="s">
        <v>2617</v>
      </c>
      <c r="B306">
        <v>2998</v>
      </c>
      <c r="C306" t="s">
        <v>2618</v>
      </c>
    </row>
    <row r="307" spans="1:3">
      <c r="A307" t="s">
        <v>1438</v>
      </c>
      <c r="B307">
        <v>2999</v>
      </c>
      <c r="C307" t="s">
        <v>1439</v>
      </c>
    </row>
    <row r="308" spans="1:3">
      <c r="A308" t="s">
        <v>1440</v>
      </c>
      <c r="B308">
        <v>3000</v>
      </c>
      <c r="C308" t="s">
        <v>1441</v>
      </c>
    </row>
    <row r="309" spans="1:3">
      <c r="A309" t="s">
        <v>1442</v>
      </c>
      <c r="B309">
        <v>3010</v>
      </c>
      <c r="C309" t="s">
        <v>1443</v>
      </c>
    </row>
    <row r="310" spans="1:3">
      <c r="A310" t="s">
        <v>3328</v>
      </c>
      <c r="B310">
        <v>3014</v>
      </c>
      <c r="C310" t="s">
        <v>3329</v>
      </c>
    </row>
    <row r="311" spans="1:3">
      <c r="A311" t="s">
        <v>3819</v>
      </c>
      <c r="B311">
        <v>3018</v>
      </c>
      <c r="C311" t="s">
        <v>3050</v>
      </c>
    </row>
    <row r="312" spans="1:3">
      <c r="A312" t="s">
        <v>1444</v>
      </c>
      <c r="B312">
        <v>3020</v>
      </c>
      <c r="C312" t="s">
        <v>1445</v>
      </c>
    </row>
    <row r="313" spans="1:3">
      <c r="A313" t="s">
        <v>1446</v>
      </c>
      <c r="B313">
        <v>3030</v>
      </c>
      <c r="C313" t="s">
        <v>1447</v>
      </c>
    </row>
    <row r="314" spans="1:3">
      <c r="A314" t="s">
        <v>3330</v>
      </c>
      <c r="B314">
        <v>3040</v>
      </c>
      <c r="C314" t="s">
        <v>3331</v>
      </c>
    </row>
    <row r="315" spans="1:3">
      <c r="A315" t="s">
        <v>1448</v>
      </c>
      <c r="B315">
        <v>3050</v>
      </c>
      <c r="C315" t="s">
        <v>1449</v>
      </c>
    </row>
    <row r="316" spans="1:3">
      <c r="A316" t="s">
        <v>1450</v>
      </c>
      <c r="B316">
        <v>3060</v>
      </c>
      <c r="C316" t="s">
        <v>1451</v>
      </c>
    </row>
    <row r="317" spans="1:3">
      <c r="A317" t="s">
        <v>1452</v>
      </c>
      <c r="B317">
        <v>3070</v>
      </c>
      <c r="C317" t="s">
        <v>1453</v>
      </c>
    </row>
    <row r="318" spans="1:3">
      <c r="A318" t="s">
        <v>1454</v>
      </c>
      <c r="B318">
        <v>3080</v>
      </c>
      <c r="C318" t="s">
        <v>1455</v>
      </c>
    </row>
    <row r="319" spans="1:3">
      <c r="A319" t="s">
        <v>1456</v>
      </c>
      <c r="B319">
        <v>3090</v>
      </c>
      <c r="C319" t="s">
        <v>1457</v>
      </c>
    </row>
    <row r="320" spans="1:3">
      <c r="A320" t="s">
        <v>3820</v>
      </c>
      <c r="B320">
        <v>3095</v>
      </c>
      <c r="C320" t="s">
        <v>3084</v>
      </c>
    </row>
    <row r="321" spans="1:3">
      <c r="A321" t="s">
        <v>1458</v>
      </c>
      <c r="B321">
        <v>3100</v>
      </c>
      <c r="C321" t="s">
        <v>1459</v>
      </c>
    </row>
    <row r="322" spans="1:3">
      <c r="A322" t="s">
        <v>1460</v>
      </c>
      <c r="B322">
        <v>3110</v>
      </c>
      <c r="C322" t="s">
        <v>1461</v>
      </c>
    </row>
    <row r="323" spans="1:3">
      <c r="A323" t="s">
        <v>1462</v>
      </c>
      <c r="B323">
        <v>3120</v>
      </c>
      <c r="C323" t="s">
        <v>1463</v>
      </c>
    </row>
    <row r="324" spans="1:3">
      <c r="A324" t="s">
        <v>1464</v>
      </c>
      <c r="B324">
        <v>3130</v>
      </c>
      <c r="C324" t="s">
        <v>1465</v>
      </c>
    </row>
    <row r="325" spans="1:3">
      <c r="A325" t="s">
        <v>1466</v>
      </c>
      <c r="B325">
        <v>3150</v>
      </c>
      <c r="C325" t="s">
        <v>1467</v>
      </c>
    </row>
    <row r="326" spans="1:3">
      <c r="A326" t="s">
        <v>1468</v>
      </c>
      <c r="B326">
        <v>3160</v>
      </c>
      <c r="C326" t="s">
        <v>1469</v>
      </c>
    </row>
    <row r="327" spans="1:3">
      <c r="A327" t="s">
        <v>1470</v>
      </c>
      <c r="B327">
        <v>3170</v>
      </c>
      <c r="C327" t="s">
        <v>1471</v>
      </c>
    </row>
    <row r="328" spans="1:3">
      <c r="A328" t="s">
        <v>1472</v>
      </c>
      <c r="B328">
        <v>3190</v>
      </c>
      <c r="C328" t="s">
        <v>1473</v>
      </c>
    </row>
    <row r="329" spans="1:3">
      <c r="A329" t="s">
        <v>3148</v>
      </c>
      <c r="B329">
        <v>3210</v>
      </c>
      <c r="C329" t="s">
        <v>3085</v>
      </c>
    </row>
    <row r="330" spans="1:3">
      <c r="A330" t="s">
        <v>1474</v>
      </c>
      <c r="B330">
        <v>3220</v>
      </c>
      <c r="C330" t="s">
        <v>1475</v>
      </c>
    </row>
    <row r="331" spans="1:3">
      <c r="A331" t="s">
        <v>3149</v>
      </c>
      <c r="B331">
        <v>3230</v>
      </c>
      <c r="C331" t="s">
        <v>3036</v>
      </c>
    </row>
    <row r="332" spans="1:3">
      <c r="A332" t="s">
        <v>1476</v>
      </c>
      <c r="B332">
        <v>3240</v>
      </c>
      <c r="C332" t="s">
        <v>1477</v>
      </c>
    </row>
    <row r="333" spans="1:3">
      <c r="A333" t="s">
        <v>1478</v>
      </c>
      <c r="B333">
        <v>3250</v>
      </c>
      <c r="C333" t="s">
        <v>1479</v>
      </c>
    </row>
    <row r="334" spans="1:3">
      <c r="A334" t="s">
        <v>3332</v>
      </c>
      <c r="B334">
        <v>3260</v>
      </c>
      <c r="C334" t="s">
        <v>3333</v>
      </c>
    </row>
    <row r="335" spans="1:3">
      <c r="A335" t="s">
        <v>1480</v>
      </c>
      <c r="B335">
        <v>3270</v>
      </c>
      <c r="C335" t="s">
        <v>1481</v>
      </c>
    </row>
    <row r="336" spans="1:3">
      <c r="A336" t="s">
        <v>3150</v>
      </c>
      <c r="B336">
        <v>3280</v>
      </c>
      <c r="C336" t="s">
        <v>3026</v>
      </c>
    </row>
    <row r="337" spans="1:3">
      <c r="A337" t="s">
        <v>2934</v>
      </c>
      <c r="B337">
        <v>3290</v>
      </c>
      <c r="C337" t="s">
        <v>2935</v>
      </c>
    </row>
    <row r="338" spans="1:3">
      <c r="A338" t="s">
        <v>1482</v>
      </c>
      <c r="B338">
        <v>3300</v>
      </c>
      <c r="C338" t="s">
        <v>1483</v>
      </c>
    </row>
    <row r="339" spans="1:3">
      <c r="A339" t="s">
        <v>2936</v>
      </c>
      <c r="B339">
        <v>3350</v>
      </c>
      <c r="C339" t="s">
        <v>2937</v>
      </c>
    </row>
    <row r="340" spans="1:3">
      <c r="A340" t="s">
        <v>2938</v>
      </c>
      <c r="B340">
        <v>3360</v>
      </c>
      <c r="C340" t="s">
        <v>2939</v>
      </c>
    </row>
    <row r="341" spans="1:3">
      <c r="A341" t="s">
        <v>2940</v>
      </c>
      <c r="B341">
        <v>3370</v>
      </c>
      <c r="C341" t="s">
        <v>2941</v>
      </c>
    </row>
    <row r="342" spans="1:3">
      <c r="A342" t="s">
        <v>2942</v>
      </c>
      <c r="B342">
        <v>3380</v>
      </c>
      <c r="C342" t="s">
        <v>2943</v>
      </c>
    </row>
    <row r="343" spans="1:3">
      <c r="A343" t="s">
        <v>2944</v>
      </c>
      <c r="B343">
        <v>3390</v>
      </c>
      <c r="C343" t="s">
        <v>2945</v>
      </c>
    </row>
    <row r="344" spans="1:3">
      <c r="A344" t="s">
        <v>2946</v>
      </c>
      <c r="B344">
        <v>3400</v>
      </c>
      <c r="C344" t="s">
        <v>2947</v>
      </c>
    </row>
    <row r="345" spans="1:3">
      <c r="A345" t="s">
        <v>2948</v>
      </c>
      <c r="B345">
        <v>3410</v>
      </c>
      <c r="C345" t="s">
        <v>2949</v>
      </c>
    </row>
    <row r="346" spans="1:3">
      <c r="A346" t="s">
        <v>2950</v>
      </c>
      <c r="B346">
        <v>3420</v>
      </c>
      <c r="C346" t="s">
        <v>2951</v>
      </c>
    </row>
    <row r="347" spans="1:3">
      <c r="A347" t="s">
        <v>1484</v>
      </c>
      <c r="B347">
        <v>3430</v>
      </c>
      <c r="C347" t="s">
        <v>1485</v>
      </c>
    </row>
    <row r="348" spans="1:3">
      <c r="A348" t="s">
        <v>2952</v>
      </c>
      <c r="B348">
        <v>3440</v>
      </c>
      <c r="C348" t="s">
        <v>2953</v>
      </c>
    </row>
    <row r="349" spans="1:3">
      <c r="A349" t="s">
        <v>3334</v>
      </c>
      <c r="B349">
        <v>3450</v>
      </c>
      <c r="C349" t="s">
        <v>3335</v>
      </c>
    </row>
    <row r="350" spans="1:3">
      <c r="A350" t="s">
        <v>3821</v>
      </c>
      <c r="B350">
        <v>3460</v>
      </c>
      <c r="C350" t="s">
        <v>3822</v>
      </c>
    </row>
    <row r="351" spans="1:3">
      <c r="A351" t="s">
        <v>1486</v>
      </c>
      <c r="B351">
        <v>3470</v>
      </c>
      <c r="C351" t="s">
        <v>1487</v>
      </c>
    </row>
    <row r="352" spans="1:3">
      <c r="A352" t="s">
        <v>1488</v>
      </c>
      <c r="B352">
        <v>3480</v>
      </c>
      <c r="C352" t="s">
        <v>1489</v>
      </c>
    </row>
    <row r="353" spans="1:3">
      <c r="A353" t="s">
        <v>3823</v>
      </c>
      <c r="B353">
        <v>3490</v>
      </c>
      <c r="C353" t="s">
        <v>3824</v>
      </c>
    </row>
    <row r="354" spans="1:3">
      <c r="A354" t="s">
        <v>1490</v>
      </c>
      <c r="B354">
        <v>3500</v>
      </c>
      <c r="C354" t="s">
        <v>1491</v>
      </c>
    </row>
    <row r="355" spans="1:3">
      <c r="A355" t="s">
        <v>1492</v>
      </c>
      <c r="B355">
        <v>3510</v>
      </c>
      <c r="C355" t="s">
        <v>1493</v>
      </c>
    </row>
    <row r="356" spans="1:3">
      <c r="A356" t="s">
        <v>1494</v>
      </c>
      <c r="B356">
        <v>3520</v>
      </c>
      <c r="C356" t="s">
        <v>1495</v>
      </c>
    </row>
    <row r="357" spans="1:3">
      <c r="A357" t="s">
        <v>1496</v>
      </c>
      <c r="B357">
        <v>3530</v>
      </c>
      <c r="C357" t="s">
        <v>1497</v>
      </c>
    </row>
    <row r="358" spans="1:3">
      <c r="A358" t="s">
        <v>1498</v>
      </c>
      <c r="B358">
        <v>3590</v>
      </c>
      <c r="C358" t="s">
        <v>1499</v>
      </c>
    </row>
    <row r="359" spans="1:3">
      <c r="A359" t="s">
        <v>1500</v>
      </c>
      <c r="B359">
        <v>3610</v>
      </c>
      <c r="C359" t="s">
        <v>1501</v>
      </c>
    </row>
    <row r="360" spans="1:3">
      <c r="A360" t="s">
        <v>1502</v>
      </c>
      <c r="B360">
        <v>3620</v>
      </c>
      <c r="C360" t="s">
        <v>1503</v>
      </c>
    </row>
    <row r="361" spans="1:3">
      <c r="A361" t="s">
        <v>1504</v>
      </c>
      <c r="B361">
        <v>3640</v>
      </c>
      <c r="C361" t="s">
        <v>1505</v>
      </c>
    </row>
    <row r="362" spans="1:3">
      <c r="A362" t="s">
        <v>1506</v>
      </c>
      <c r="B362">
        <v>3660</v>
      </c>
      <c r="C362" t="s">
        <v>1507</v>
      </c>
    </row>
    <row r="363" spans="1:3">
      <c r="A363" t="s">
        <v>1508</v>
      </c>
      <c r="B363">
        <v>3670</v>
      </c>
      <c r="C363" t="s">
        <v>1509</v>
      </c>
    </row>
    <row r="364" spans="1:3">
      <c r="A364" t="s">
        <v>2954</v>
      </c>
      <c r="B364">
        <v>3690</v>
      </c>
      <c r="C364" t="s">
        <v>2955</v>
      </c>
    </row>
    <row r="365" spans="1:3">
      <c r="A365" t="s">
        <v>3151</v>
      </c>
      <c r="B365">
        <v>3710</v>
      </c>
      <c r="C365" t="s">
        <v>3086</v>
      </c>
    </row>
    <row r="366" spans="1:3">
      <c r="A366" t="s">
        <v>1510</v>
      </c>
      <c r="B366">
        <v>3720</v>
      </c>
      <c r="C366" t="s">
        <v>1511</v>
      </c>
    </row>
    <row r="367" spans="1:3">
      <c r="A367" t="s">
        <v>1512</v>
      </c>
      <c r="B367">
        <v>3730</v>
      </c>
      <c r="C367" t="s">
        <v>1513</v>
      </c>
    </row>
    <row r="368" spans="1:3">
      <c r="A368" t="s">
        <v>1514</v>
      </c>
      <c r="B368">
        <v>3750</v>
      </c>
      <c r="C368" t="s">
        <v>1515</v>
      </c>
    </row>
    <row r="369" spans="1:3">
      <c r="A369" t="s">
        <v>1516</v>
      </c>
      <c r="B369">
        <v>3770</v>
      </c>
      <c r="C369" t="s">
        <v>1517</v>
      </c>
    </row>
    <row r="370" spans="1:3">
      <c r="A370" t="s">
        <v>1518</v>
      </c>
      <c r="B370">
        <v>3780</v>
      </c>
      <c r="C370" t="s">
        <v>1519</v>
      </c>
    </row>
    <row r="371" spans="1:3">
      <c r="A371" t="s">
        <v>1520</v>
      </c>
      <c r="B371">
        <v>3790</v>
      </c>
      <c r="C371" t="s">
        <v>1521</v>
      </c>
    </row>
    <row r="372" spans="1:3">
      <c r="A372" t="s">
        <v>1522</v>
      </c>
      <c r="B372">
        <v>3800</v>
      </c>
      <c r="C372" t="s">
        <v>1523</v>
      </c>
    </row>
    <row r="373" spans="1:3">
      <c r="A373" t="s">
        <v>1524</v>
      </c>
      <c r="B373">
        <v>3810</v>
      </c>
      <c r="C373" t="s">
        <v>1525</v>
      </c>
    </row>
    <row r="374" spans="1:3">
      <c r="A374" t="s">
        <v>1526</v>
      </c>
      <c r="B374">
        <v>3820</v>
      </c>
      <c r="C374" t="s">
        <v>1527</v>
      </c>
    </row>
    <row r="375" spans="1:3">
      <c r="A375" t="s">
        <v>1528</v>
      </c>
      <c r="B375">
        <v>3830</v>
      </c>
      <c r="C375" t="s">
        <v>1529</v>
      </c>
    </row>
    <row r="376" spans="1:3">
      <c r="A376" t="s">
        <v>1530</v>
      </c>
      <c r="B376">
        <v>3840</v>
      </c>
      <c r="C376" t="s">
        <v>1531</v>
      </c>
    </row>
    <row r="377" spans="1:3">
      <c r="A377" t="s">
        <v>1532</v>
      </c>
      <c r="B377">
        <v>3860</v>
      </c>
      <c r="C377" t="s">
        <v>1533</v>
      </c>
    </row>
    <row r="378" spans="1:3">
      <c r="A378" t="s">
        <v>1534</v>
      </c>
      <c r="B378">
        <v>3870</v>
      </c>
      <c r="C378" t="s">
        <v>1535</v>
      </c>
    </row>
    <row r="379" spans="1:3">
      <c r="A379" t="s">
        <v>1536</v>
      </c>
      <c r="B379">
        <v>3880</v>
      </c>
      <c r="C379" t="s">
        <v>1537</v>
      </c>
    </row>
    <row r="380" spans="1:3">
      <c r="A380" t="s">
        <v>1538</v>
      </c>
      <c r="B380">
        <v>3890</v>
      </c>
      <c r="C380" t="s">
        <v>1539</v>
      </c>
    </row>
    <row r="381" spans="1:3">
      <c r="A381" t="s">
        <v>1540</v>
      </c>
      <c r="B381">
        <v>3900</v>
      </c>
      <c r="C381" t="s">
        <v>1541</v>
      </c>
    </row>
    <row r="382" spans="1:3">
      <c r="A382" t="s">
        <v>1542</v>
      </c>
      <c r="B382">
        <v>3930</v>
      </c>
      <c r="C382" t="s">
        <v>301</v>
      </c>
    </row>
    <row r="383" spans="1:3">
      <c r="A383" t="s">
        <v>1543</v>
      </c>
      <c r="B383">
        <v>3940</v>
      </c>
      <c r="C383" t="s">
        <v>1544</v>
      </c>
    </row>
    <row r="384" spans="1:3">
      <c r="A384" t="s">
        <v>1545</v>
      </c>
      <c r="B384">
        <v>3960</v>
      </c>
      <c r="C384" t="s">
        <v>1546</v>
      </c>
    </row>
    <row r="385" spans="1:3">
      <c r="A385" t="s">
        <v>1547</v>
      </c>
      <c r="B385">
        <v>3970</v>
      </c>
      <c r="C385" t="s">
        <v>1548</v>
      </c>
    </row>
    <row r="386" spans="1:3">
      <c r="A386" t="s">
        <v>2619</v>
      </c>
      <c r="B386">
        <v>3998</v>
      </c>
      <c r="C386" t="s">
        <v>2620</v>
      </c>
    </row>
    <row r="387" spans="1:3">
      <c r="A387" t="s">
        <v>1549</v>
      </c>
      <c r="B387">
        <v>4000</v>
      </c>
      <c r="C387" t="s">
        <v>2956</v>
      </c>
    </row>
    <row r="388" spans="1:3">
      <c r="A388" t="s">
        <v>1550</v>
      </c>
      <c r="B388">
        <v>4010</v>
      </c>
      <c r="C388" t="s">
        <v>1551</v>
      </c>
    </row>
    <row r="389" spans="1:3">
      <c r="A389" t="s">
        <v>1552</v>
      </c>
      <c r="B389">
        <v>4014</v>
      </c>
      <c r="C389" t="s">
        <v>1553</v>
      </c>
    </row>
    <row r="390" spans="1:3">
      <c r="A390" t="s">
        <v>2957</v>
      </c>
      <c r="B390">
        <v>4030</v>
      </c>
      <c r="C390" t="s">
        <v>2958</v>
      </c>
    </row>
    <row r="391" spans="1:3">
      <c r="A391" t="s">
        <v>1554</v>
      </c>
      <c r="B391">
        <v>4060</v>
      </c>
      <c r="C391" t="s">
        <v>1555</v>
      </c>
    </row>
    <row r="392" spans="1:3">
      <c r="A392" t="s">
        <v>1556</v>
      </c>
      <c r="B392">
        <v>4070</v>
      </c>
      <c r="C392" t="s">
        <v>1557</v>
      </c>
    </row>
    <row r="393" spans="1:3">
      <c r="A393" t="s">
        <v>1558</v>
      </c>
      <c r="B393">
        <v>4080</v>
      </c>
      <c r="C393" t="s">
        <v>1559</v>
      </c>
    </row>
    <row r="394" spans="1:3">
      <c r="A394" t="s">
        <v>1560</v>
      </c>
      <c r="B394">
        <v>4100</v>
      </c>
      <c r="C394" t="s">
        <v>1561</v>
      </c>
    </row>
    <row r="395" spans="1:3">
      <c r="A395" t="s">
        <v>1562</v>
      </c>
      <c r="B395">
        <v>4220</v>
      </c>
      <c r="C395" t="s">
        <v>1563</v>
      </c>
    </row>
    <row r="396" spans="1:3">
      <c r="A396" t="s">
        <v>2959</v>
      </c>
      <c r="B396">
        <v>4230</v>
      </c>
      <c r="C396" t="s">
        <v>2960</v>
      </c>
    </row>
    <row r="397" spans="1:3">
      <c r="A397" t="s">
        <v>1564</v>
      </c>
      <c r="B397">
        <v>4240</v>
      </c>
      <c r="C397" t="s">
        <v>1565</v>
      </c>
    </row>
    <row r="398" spans="1:3">
      <c r="A398" t="s">
        <v>2876</v>
      </c>
      <c r="B398">
        <v>4250</v>
      </c>
      <c r="C398" t="s">
        <v>2877</v>
      </c>
    </row>
    <row r="399" spans="1:3">
      <c r="A399" t="s">
        <v>1566</v>
      </c>
      <c r="B399">
        <v>4260</v>
      </c>
      <c r="C399" t="s">
        <v>1567</v>
      </c>
    </row>
    <row r="400" spans="1:3">
      <c r="A400" t="s">
        <v>1568</v>
      </c>
      <c r="B400">
        <v>4290</v>
      </c>
      <c r="C400" t="s">
        <v>1569</v>
      </c>
    </row>
    <row r="401" spans="1:3">
      <c r="A401" t="s">
        <v>1570</v>
      </c>
      <c r="B401">
        <v>4300</v>
      </c>
      <c r="C401" t="s">
        <v>1571</v>
      </c>
    </row>
    <row r="402" spans="1:3">
      <c r="A402" t="s">
        <v>1572</v>
      </c>
      <c r="B402">
        <v>4310</v>
      </c>
      <c r="C402" t="s">
        <v>1573</v>
      </c>
    </row>
    <row r="403" spans="1:3">
      <c r="A403" t="s">
        <v>1574</v>
      </c>
      <c r="B403">
        <v>4311</v>
      </c>
      <c r="C403" t="s">
        <v>1575</v>
      </c>
    </row>
    <row r="404" spans="1:3">
      <c r="A404" t="s">
        <v>1576</v>
      </c>
      <c r="B404">
        <v>4312</v>
      </c>
      <c r="C404" t="s">
        <v>1577</v>
      </c>
    </row>
    <row r="405" spans="1:3">
      <c r="A405" t="s">
        <v>1578</v>
      </c>
      <c r="B405">
        <v>4313</v>
      </c>
      <c r="C405" t="s">
        <v>1579</v>
      </c>
    </row>
    <row r="406" spans="1:3">
      <c r="A406" t="s">
        <v>2621</v>
      </c>
      <c r="B406">
        <v>4314</v>
      </c>
      <c r="C406" t="s">
        <v>2622</v>
      </c>
    </row>
    <row r="407" spans="1:3">
      <c r="A407" t="s">
        <v>2878</v>
      </c>
      <c r="B407">
        <v>4315</v>
      </c>
      <c r="C407" t="s">
        <v>2879</v>
      </c>
    </row>
    <row r="408" spans="1:3">
      <c r="A408" t="s">
        <v>3336</v>
      </c>
      <c r="B408">
        <v>4350</v>
      </c>
      <c r="C408" t="s">
        <v>3337</v>
      </c>
    </row>
    <row r="409" spans="1:3">
      <c r="A409" t="s">
        <v>1580</v>
      </c>
      <c r="B409">
        <v>4360</v>
      </c>
      <c r="C409" t="s">
        <v>1581</v>
      </c>
    </row>
    <row r="410" spans="1:3">
      <c r="A410" t="s">
        <v>1582</v>
      </c>
      <c r="B410">
        <v>4361</v>
      </c>
      <c r="C410" t="s">
        <v>1583</v>
      </c>
    </row>
    <row r="411" spans="1:3">
      <c r="A411" t="s">
        <v>1584</v>
      </c>
      <c r="B411">
        <v>4362</v>
      </c>
      <c r="C411" t="s">
        <v>1585</v>
      </c>
    </row>
    <row r="412" spans="1:3">
      <c r="A412" t="s">
        <v>1586</v>
      </c>
      <c r="B412">
        <v>4363</v>
      </c>
      <c r="C412" t="s">
        <v>1587</v>
      </c>
    </row>
    <row r="413" spans="1:3">
      <c r="A413" t="s">
        <v>1588</v>
      </c>
      <c r="B413">
        <v>4366</v>
      </c>
      <c r="C413" t="s">
        <v>1589</v>
      </c>
    </row>
    <row r="414" spans="1:3">
      <c r="A414" t="s">
        <v>3152</v>
      </c>
      <c r="B414">
        <v>4370</v>
      </c>
      <c r="C414" t="s">
        <v>3087</v>
      </c>
    </row>
    <row r="415" spans="1:3">
      <c r="A415" t="s">
        <v>3153</v>
      </c>
      <c r="B415">
        <v>4371</v>
      </c>
      <c r="C415" t="s">
        <v>3088</v>
      </c>
    </row>
    <row r="416" spans="1:3">
      <c r="A416" t="s">
        <v>1590</v>
      </c>
      <c r="B416">
        <v>4460</v>
      </c>
      <c r="C416" t="s">
        <v>1591</v>
      </c>
    </row>
    <row r="417" spans="1:3">
      <c r="A417" t="s">
        <v>1592</v>
      </c>
      <c r="B417">
        <v>4461</v>
      </c>
      <c r="C417" t="s">
        <v>1593</v>
      </c>
    </row>
    <row r="418" spans="1:3">
      <c r="A418" t="s">
        <v>1594</v>
      </c>
      <c r="B418">
        <v>4462</v>
      </c>
      <c r="C418" t="s">
        <v>1595</v>
      </c>
    </row>
    <row r="419" spans="1:3">
      <c r="A419" t="s">
        <v>1596</v>
      </c>
      <c r="B419">
        <v>4463</v>
      </c>
      <c r="C419" t="s">
        <v>1597</v>
      </c>
    </row>
    <row r="420" spans="1:3">
      <c r="A420" t="s">
        <v>2623</v>
      </c>
      <c r="B420">
        <v>4470</v>
      </c>
      <c r="C420" t="s">
        <v>2624</v>
      </c>
    </row>
    <row r="421" spans="1:3">
      <c r="A421" t="s">
        <v>2625</v>
      </c>
      <c r="B421">
        <v>4471</v>
      </c>
      <c r="C421" t="s">
        <v>2626</v>
      </c>
    </row>
    <row r="422" spans="1:3">
      <c r="A422" t="s">
        <v>2627</v>
      </c>
      <c r="B422">
        <v>4472</v>
      </c>
      <c r="C422" t="s">
        <v>2628</v>
      </c>
    </row>
    <row r="423" spans="1:3">
      <c r="A423" t="s">
        <v>2629</v>
      </c>
      <c r="B423">
        <v>4473</v>
      </c>
      <c r="C423" t="s">
        <v>2630</v>
      </c>
    </row>
    <row r="424" spans="1:3">
      <c r="A424" t="s">
        <v>1598</v>
      </c>
      <c r="B424">
        <v>4500</v>
      </c>
      <c r="C424" t="s">
        <v>1599</v>
      </c>
    </row>
    <row r="425" spans="1:3">
      <c r="A425" t="s">
        <v>1600</v>
      </c>
      <c r="B425">
        <v>4510</v>
      </c>
      <c r="C425" t="s">
        <v>1601</v>
      </c>
    </row>
    <row r="426" spans="1:3">
      <c r="A426" t="s">
        <v>1602</v>
      </c>
      <c r="B426">
        <v>4540</v>
      </c>
      <c r="C426" t="s">
        <v>1603</v>
      </c>
    </row>
    <row r="427" spans="1:3">
      <c r="A427" t="s">
        <v>1604</v>
      </c>
      <c r="B427">
        <v>4550</v>
      </c>
      <c r="C427" t="s">
        <v>1605</v>
      </c>
    </row>
    <row r="428" spans="1:3">
      <c r="A428" t="s">
        <v>1606</v>
      </c>
      <c r="B428">
        <v>4590</v>
      </c>
      <c r="C428" t="s">
        <v>1607</v>
      </c>
    </row>
    <row r="429" spans="1:3">
      <c r="A429" t="s">
        <v>1608</v>
      </c>
      <c r="B429">
        <v>4610</v>
      </c>
      <c r="C429" t="s">
        <v>1609</v>
      </c>
    </row>
    <row r="430" spans="1:3">
      <c r="A430" t="s">
        <v>1610</v>
      </c>
      <c r="B430">
        <v>4660</v>
      </c>
      <c r="C430" t="s">
        <v>1611</v>
      </c>
    </row>
    <row r="431" spans="1:3">
      <c r="A431" t="s">
        <v>1612</v>
      </c>
      <c r="B431">
        <v>4700</v>
      </c>
      <c r="C431" t="s">
        <v>1326</v>
      </c>
    </row>
    <row r="432" spans="1:3">
      <c r="A432" t="s">
        <v>1613</v>
      </c>
      <c r="B432">
        <v>4710</v>
      </c>
      <c r="C432" t="s">
        <v>1614</v>
      </c>
    </row>
    <row r="433" spans="1:3">
      <c r="A433" t="s">
        <v>1615</v>
      </c>
      <c r="B433">
        <v>4711</v>
      </c>
      <c r="C433" t="s">
        <v>1616</v>
      </c>
    </row>
    <row r="434" spans="1:3">
      <c r="A434" t="s">
        <v>1617</v>
      </c>
      <c r="B434">
        <v>4720</v>
      </c>
      <c r="C434" t="s">
        <v>1618</v>
      </c>
    </row>
    <row r="435" spans="1:3">
      <c r="A435" t="s">
        <v>1619</v>
      </c>
      <c r="B435">
        <v>4730</v>
      </c>
      <c r="C435" t="s">
        <v>1620</v>
      </c>
    </row>
    <row r="436" spans="1:3">
      <c r="A436" t="s">
        <v>1621</v>
      </c>
      <c r="B436">
        <v>4740</v>
      </c>
      <c r="C436" t="s">
        <v>1622</v>
      </c>
    </row>
    <row r="437" spans="1:3">
      <c r="A437" t="s">
        <v>1623</v>
      </c>
      <c r="B437">
        <v>4750</v>
      </c>
      <c r="C437" t="s">
        <v>1624</v>
      </c>
    </row>
    <row r="438" spans="1:3">
      <c r="A438" t="s">
        <v>1625</v>
      </c>
      <c r="B438">
        <v>4760</v>
      </c>
      <c r="C438" t="s">
        <v>1626</v>
      </c>
    </row>
    <row r="439" spans="1:3">
      <c r="A439" t="s">
        <v>1627</v>
      </c>
      <c r="B439">
        <v>4766</v>
      </c>
      <c r="C439" t="s">
        <v>1628</v>
      </c>
    </row>
    <row r="440" spans="1:3">
      <c r="A440" t="s">
        <v>1629</v>
      </c>
      <c r="B440">
        <v>4767</v>
      </c>
      <c r="C440" t="s">
        <v>1630</v>
      </c>
    </row>
    <row r="441" spans="1:3">
      <c r="A441" t="s">
        <v>1631</v>
      </c>
      <c r="B441">
        <v>4768</v>
      </c>
      <c r="C441" t="s">
        <v>1632</v>
      </c>
    </row>
    <row r="442" spans="1:3">
      <c r="A442" t="s">
        <v>1633</v>
      </c>
      <c r="B442">
        <v>4769</v>
      </c>
      <c r="C442" t="s">
        <v>3089</v>
      </c>
    </row>
    <row r="443" spans="1:3">
      <c r="A443" t="s">
        <v>1634</v>
      </c>
      <c r="B443">
        <v>4770</v>
      </c>
      <c r="C443" t="s">
        <v>1635</v>
      </c>
    </row>
    <row r="444" spans="1:3">
      <c r="A444" t="s">
        <v>1636</v>
      </c>
      <c r="B444">
        <v>4780</v>
      </c>
      <c r="C444" t="s">
        <v>1637</v>
      </c>
    </row>
    <row r="445" spans="1:3">
      <c r="A445" t="s">
        <v>1638</v>
      </c>
      <c r="B445">
        <v>4800</v>
      </c>
      <c r="C445" t="s">
        <v>1639</v>
      </c>
    </row>
    <row r="446" spans="1:3">
      <c r="A446" t="s">
        <v>2961</v>
      </c>
      <c r="B446">
        <v>4810</v>
      </c>
      <c r="C446" t="s">
        <v>2962</v>
      </c>
    </row>
    <row r="447" spans="1:3">
      <c r="A447" t="s">
        <v>3154</v>
      </c>
      <c r="B447">
        <v>4820</v>
      </c>
      <c r="C447" t="s">
        <v>3090</v>
      </c>
    </row>
    <row r="448" spans="1:3">
      <c r="A448" t="s">
        <v>1640</v>
      </c>
      <c r="B448">
        <v>4860</v>
      </c>
      <c r="C448" t="s">
        <v>1641</v>
      </c>
    </row>
    <row r="449" spans="1:3">
      <c r="A449" t="s">
        <v>1642</v>
      </c>
      <c r="B449">
        <v>4880</v>
      </c>
      <c r="C449" t="s">
        <v>1643</v>
      </c>
    </row>
    <row r="450" spans="1:3">
      <c r="A450" t="s">
        <v>3338</v>
      </c>
      <c r="B450">
        <v>4890</v>
      </c>
      <c r="C450" t="s">
        <v>3339</v>
      </c>
    </row>
    <row r="451" spans="1:3">
      <c r="A451" t="s">
        <v>3340</v>
      </c>
      <c r="B451">
        <v>4900</v>
      </c>
      <c r="C451" t="s">
        <v>1412</v>
      </c>
    </row>
    <row r="452" spans="1:3">
      <c r="A452" t="s">
        <v>2631</v>
      </c>
      <c r="B452">
        <v>4998</v>
      </c>
      <c r="C452" t="s">
        <v>2632</v>
      </c>
    </row>
    <row r="453" spans="1:3">
      <c r="A453" t="s">
        <v>1644</v>
      </c>
      <c r="B453">
        <v>5001</v>
      </c>
      <c r="C453" t="s">
        <v>1645</v>
      </c>
    </row>
    <row r="454" spans="1:3">
      <c r="A454" t="s">
        <v>1646</v>
      </c>
      <c r="B454">
        <v>5010</v>
      </c>
      <c r="C454" t="s">
        <v>1647</v>
      </c>
    </row>
    <row r="455" spans="1:3">
      <c r="A455" t="s">
        <v>1648</v>
      </c>
      <c r="B455">
        <v>5020</v>
      </c>
      <c r="C455" t="s">
        <v>1649</v>
      </c>
    </row>
    <row r="456" spans="1:3">
      <c r="A456" t="s">
        <v>1650</v>
      </c>
      <c r="B456">
        <v>5050</v>
      </c>
      <c r="C456" t="s">
        <v>1651</v>
      </c>
    </row>
    <row r="457" spans="1:3">
      <c r="A457" t="s">
        <v>1652</v>
      </c>
      <c r="B457">
        <v>5100</v>
      </c>
      <c r="C457" t="s">
        <v>1653</v>
      </c>
    </row>
    <row r="458" spans="1:3">
      <c r="A458" t="s">
        <v>1654</v>
      </c>
      <c r="B458">
        <v>5172</v>
      </c>
      <c r="C458" t="s">
        <v>1655</v>
      </c>
    </row>
    <row r="459" spans="1:3">
      <c r="A459" t="s">
        <v>1656</v>
      </c>
      <c r="B459">
        <v>5174</v>
      </c>
      <c r="C459" t="s">
        <v>3091</v>
      </c>
    </row>
    <row r="460" spans="1:3">
      <c r="A460" t="s">
        <v>3341</v>
      </c>
      <c r="B460">
        <v>5175</v>
      </c>
      <c r="C460" t="s">
        <v>3342</v>
      </c>
    </row>
    <row r="461" spans="1:3">
      <c r="A461" t="s">
        <v>1657</v>
      </c>
      <c r="B461">
        <v>5176</v>
      </c>
      <c r="C461" t="s">
        <v>3092</v>
      </c>
    </row>
    <row r="462" spans="1:3">
      <c r="A462" t="s">
        <v>3343</v>
      </c>
      <c r="B462">
        <v>5177</v>
      </c>
      <c r="C462" t="s">
        <v>3344</v>
      </c>
    </row>
    <row r="463" spans="1:3">
      <c r="A463" t="s">
        <v>3345</v>
      </c>
      <c r="B463">
        <v>5178</v>
      </c>
      <c r="C463" t="s">
        <v>3346</v>
      </c>
    </row>
    <row r="464" spans="1:3">
      <c r="A464" t="s">
        <v>2963</v>
      </c>
      <c r="B464">
        <v>5179</v>
      </c>
      <c r="C464" t="s">
        <v>2964</v>
      </c>
    </row>
    <row r="465" spans="1:3">
      <c r="A465" t="s">
        <v>3825</v>
      </c>
      <c r="B465">
        <v>5180</v>
      </c>
      <c r="C465" t="s">
        <v>3826</v>
      </c>
    </row>
    <row r="466" spans="1:3">
      <c r="A466" t="s">
        <v>1658</v>
      </c>
      <c r="B466">
        <v>5200</v>
      </c>
      <c r="C466" t="s">
        <v>1659</v>
      </c>
    </row>
    <row r="467" spans="1:3">
      <c r="A467" t="s">
        <v>1660</v>
      </c>
      <c r="B467">
        <v>5220</v>
      </c>
      <c r="C467" t="s">
        <v>1661</v>
      </c>
    </row>
    <row r="468" spans="1:3">
      <c r="A468" t="s">
        <v>1662</v>
      </c>
      <c r="B468">
        <v>5238</v>
      </c>
      <c r="C468" t="s">
        <v>1663</v>
      </c>
    </row>
    <row r="469" spans="1:3">
      <c r="A469" t="s">
        <v>1664</v>
      </c>
      <c r="B469">
        <v>5330</v>
      </c>
      <c r="C469" t="s">
        <v>1665</v>
      </c>
    </row>
    <row r="470" spans="1:3">
      <c r="A470" t="s">
        <v>1666</v>
      </c>
      <c r="B470">
        <v>5360</v>
      </c>
      <c r="C470" t="s">
        <v>1667</v>
      </c>
    </row>
    <row r="471" spans="1:3">
      <c r="A471" t="s">
        <v>1668</v>
      </c>
      <c r="B471">
        <v>5370</v>
      </c>
      <c r="C471" t="s">
        <v>1669</v>
      </c>
    </row>
    <row r="472" spans="1:3">
      <c r="A472" t="s">
        <v>2633</v>
      </c>
      <c r="B472">
        <v>5400</v>
      </c>
      <c r="C472" t="s">
        <v>2634</v>
      </c>
    </row>
    <row r="473" spans="1:3">
      <c r="A473" t="s">
        <v>2635</v>
      </c>
      <c r="B473">
        <v>5420</v>
      </c>
      <c r="C473" t="s">
        <v>2636</v>
      </c>
    </row>
    <row r="474" spans="1:3">
      <c r="A474" t="s">
        <v>1670</v>
      </c>
      <c r="B474">
        <v>5880</v>
      </c>
      <c r="C474" t="s">
        <v>1671</v>
      </c>
    </row>
    <row r="475" spans="1:3">
      <c r="A475" t="s">
        <v>1672</v>
      </c>
      <c r="B475">
        <v>5881</v>
      </c>
      <c r="C475" t="s">
        <v>1673</v>
      </c>
    </row>
    <row r="476" spans="1:3">
      <c r="A476" t="s">
        <v>1674</v>
      </c>
      <c r="B476">
        <v>5910</v>
      </c>
      <c r="C476" t="s">
        <v>1675</v>
      </c>
    </row>
    <row r="477" spans="1:3">
      <c r="A477" t="s">
        <v>2637</v>
      </c>
      <c r="B477">
        <v>5998</v>
      </c>
      <c r="C477" t="s">
        <v>2638</v>
      </c>
    </row>
    <row r="478" spans="1:3">
      <c r="A478" t="s">
        <v>1676</v>
      </c>
      <c r="B478">
        <v>6010</v>
      </c>
      <c r="C478" t="s">
        <v>116</v>
      </c>
    </row>
    <row r="479" spans="1:3">
      <c r="A479" t="s">
        <v>1677</v>
      </c>
      <c r="B479">
        <v>6011</v>
      </c>
      <c r="C479" t="s">
        <v>2880</v>
      </c>
    </row>
    <row r="480" spans="1:3">
      <c r="A480" t="s">
        <v>3155</v>
      </c>
      <c r="B480">
        <v>6018</v>
      </c>
      <c r="C480" t="s">
        <v>3093</v>
      </c>
    </row>
    <row r="481" spans="1:3">
      <c r="A481" t="s">
        <v>1678</v>
      </c>
      <c r="B481">
        <v>6020</v>
      </c>
      <c r="C481" t="s">
        <v>1679</v>
      </c>
    </row>
    <row r="482" spans="1:3">
      <c r="A482" t="s">
        <v>1680</v>
      </c>
      <c r="B482">
        <v>6030</v>
      </c>
      <c r="C482" t="s">
        <v>1681</v>
      </c>
    </row>
    <row r="483" spans="1:3">
      <c r="A483" t="s">
        <v>1682</v>
      </c>
      <c r="B483">
        <v>6040</v>
      </c>
      <c r="C483" t="s">
        <v>1683</v>
      </c>
    </row>
    <row r="484" spans="1:3">
      <c r="A484" t="s">
        <v>1684</v>
      </c>
      <c r="B484">
        <v>6050</v>
      </c>
      <c r="C484" t="s">
        <v>1685</v>
      </c>
    </row>
    <row r="485" spans="1:3">
      <c r="A485" t="s">
        <v>1686</v>
      </c>
      <c r="B485">
        <v>6060</v>
      </c>
      <c r="C485" t="s">
        <v>1687</v>
      </c>
    </row>
    <row r="486" spans="1:3">
      <c r="A486" t="s">
        <v>1688</v>
      </c>
      <c r="B486">
        <v>6070</v>
      </c>
      <c r="C486" t="s">
        <v>1689</v>
      </c>
    </row>
    <row r="487" spans="1:3">
      <c r="A487" t="s">
        <v>1690</v>
      </c>
      <c r="B487">
        <v>6080</v>
      </c>
      <c r="C487" t="s">
        <v>1691</v>
      </c>
    </row>
    <row r="488" spans="1:3">
      <c r="A488" t="s">
        <v>1692</v>
      </c>
      <c r="B488">
        <v>6090</v>
      </c>
      <c r="C488" t="s">
        <v>1693</v>
      </c>
    </row>
    <row r="489" spans="1:3">
      <c r="A489" t="s">
        <v>1694</v>
      </c>
      <c r="B489">
        <v>6100</v>
      </c>
      <c r="C489" t="s">
        <v>448</v>
      </c>
    </row>
    <row r="490" spans="1:3">
      <c r="A490" t="s">
        <v>3347</v>
      </c>
      <c r="B490">
        <v>6110</v>
      </c>
      <c r="C490" t="s">
        <v>3348</v>
      </c>
    </row>
    <row r="491" spans="1:3">
      <c r="A491" t="s">
        <v>2639</v>
      </c>
      <c r="B491">
        <v>6129</v>
      </c>
      <c r="C491" t="s">
        <v>2640</v>
      </c>
    </row>
    <row r="492" spans="1:3">
      <c r="A492" t="s">
        <v>1695</v>
      </c>
      <c r="B492">
        <v>6136</v>
      </c>
      <c r="C492" t="s">
        <v>1696</v>
      </c>
    </row>
    <row r="493" spans="1:3">
      <c r="A493" t="s">
        <v>2641</v>
      </c>
      <c r="B493">
        <v>6137</v>
      </c>
      <c r="C493" t="s">
        <v>2642</v>
      </c>
    </row>
    <row r="494" spans="1:3">
      <c r="A494" t="s">
        <v>1697</v>
      </c>
      <c r="B494">
        <v>6150</v>
      </c>
      <c r="C494" t="s">
        <v>1698</v>
      </c>
    </row>
    <row r="495" spans="1:3">
      <c r="A495" t="s">
        <v>1699</v>
      </c>
      <c r="B495">
        <v>6170</v>
      </c>
      <c r="C495" t="s">
        <v>1700</v>
      </c>
    </row>
    <row r="496" spans="1:3">
      <c r="A496" t="s">
        <v>1701</v>
      </c>
      <c r="B496">
        <v>6194</v>
      </c>
      <c r="C496" t="s">
        <v>1702</v>
      </c>
    </row>
    <row r="497" spans="1:3">
      <c r="A497" t="s">
        <v>1703</v>
      </c>
      <c r="B497">
        <v>6200</v>
      </c>
      <c r="C497" t="s">
        <v>1704</v>
      </c>
    </row>
    <row r="498" spans="1:3">
      <c r="A498" t="s">
        <v>1705</v>
      </c>
      <c r="B498">
        <v>6210</v>
      </c>
      <c r="C498" t="s">
        <v>1706</v>
      </c>
    </row>
    <row r="499" spans="1:3">
      <c r="A499" t="s">
        <v>1707</v>
      </c>
      <c r="B499">
        <v>6220</v>
      </c>
      <c r="C499" t="s">
        <v>1708</v>
      </c>
    </row>
    <row r="500" spans="1:3">
      <c r="A500" t="s">
        <v>1709</v>
      </c>
      <c r="B500">
        <v>6350</v>
      </c>
      <c r="C500" t="s">
        <v>1710</v>
      </c>
    </row>
    <row r="501" spans="1:3">
      <c r="A501" t="s">
        <v>2643</v>
      </c>
      <c r="B501">
        <v>6998</v>
      </c>
      <c r="C501" t="s">
        <v>2644</v>
      </c>
    </row>
    <row r="502" spans="1:3">
      <c r="A502" t="s">
        <v>1711</v>
      </c>
      <c r="B502">
        <v>7002</v>
      </c>
      <c r="C502" t="s">
        <v>1712</v>
      </c>
    </row>
    <row r="503" spans="1:3">
      <c r="A503" t="s">
        <v>1713</v>
      </c>
      <c r="B503">
        <v>7003</v>
      </c>
      <c r="C503" t="s">
        <v>1714</v>
      </c>
    </row>
    <row r="504" spans="1:3">
      <c r="A504" t="s">
        <v>1715</v>
      </c>
      <c r="B504">
        <v>7004</v>
      </c>
      <c r="C504" t="s">
        <v>1716</v>
      </c>
    </row>
    <row r="505" spans="1:3">
      <c r="A505" t="s">
        <v>1717</v>
      </c>
      <c r="B505">
        <v>7005</v>
      </c>
      <c r="C505" t="s">
        <v>1718</v>
      </c>
    </row>
    <row r="506" spans="1:3">
      <c r="A506" t="s">
        <v>2965</v>
      </c>
      <c r="B506">
        <v>7006</v>
      </c>
      <c r="C506" t="s">
        <v>2966</v>
      </c>
    </row>
    <row r="507" spans="1:3">
      <c r="A507" t="s">
        <v>2967</v>
      </c>
      <c r="B507">
        <v>7007</v>
      </c>
      <c r="C507" t="s">
        <v>2968</v>
      </c>
    </row>
    <row r="508" spans="1:3">
      <c r="A508" t="s">
        <v>2969</v>
      </c>
      <c r="B508">
        <v>7008</v>
      </c>
      <c r="C508" t="s">
        <v>2970</v>
      </c>
    </row>
    <row r="509" spans="1:3">
      <c r="A509" t="s">
        <v>2971</v>
      </c>
      <c r="B509">
        <v>7009</v>
      </c>
      <c r="C509" t="s">
        <v>2972</v>
      </c>
    </row>
    <row r="510" spans="1:3">
      <c r="A510" t="s">
        <v>1719</v>
      </c>
      <c r="B510">
        <v>7010</v>
      </c>
      <c r="C510" t="s">
        <v>1720</v>
      </c>
    </row>
    <row r="511" spans="1:3">
      <c r="A511" t="s">
        <v>1721</v>
      </c>
      <c r="B511">
        <v>7011</v>
      </c>
      <c r="C511" t="s">
        <v>1722</v>
      </c>
    </row>
    <row r="512" spans="1:3">
      <c r="A512" t="s">
        <v>1723</v>
      </c>
      <c r="B512">
        <v>7012</v>
      </c>
      <c r="C512" t="s">
        <v>1724</v>
      </c>
    </row>
    <row r="513" spans="1:3">
      <c r="A513" t="s">
        <v>1725</v>
      </c>
      <c r="B513">
        <v>7013</v>
      </c>
      <c r="C513" t="s">
        <v>1726</v>
      </c>
    </row>
    <row r="514" spans="1:3">
      <c r="A514" t="s">
        <v>2973</v>
      </c>
      <c r="B514">
        <v>7014</v>
      </c>
      <c r="C514" t="s">
        <v>2974</v>
      </c>
    </row>
    <row r="515" spans="1:3">
      <c r="A515" t="s">
        <v>3827</v>
      </c>
      <c r="B515">
        <v>7016</v>
      </c>
      <c r="C515" t="s">
        <v>3828</v>
      </c>
    </row>
    <row r="516" spans="1:3">
      <c r="A516" t="s">
        <v>2975</v>
      </c>
      <c r="B516">
        <v>7017</v>
      </c>
      <c r="C516" t="s">
        <v>2976</v>
      </c>
    </row>
    <row r="517" spans="1:3">
      <c r="A517" t="s">
        <v>2977</v>
      </c>
      <c r="B517">
        <v>7018</v>
      </c>
      <c r="C517" t="s">
        <v>2978</v>
      </c>
    </row>
    <row r="518" spans="1:3">
      <c r="A518" t="s">
        <v>1727</v>
      </c>
      <c r="B518">
        <v>7020</v>
      </c>
      <c r="C518" t="s">
        <v>1728</v>
      </c>
    </row>
    <row r="519" spans="1:3">
      <c r="A519" t="s">
        <v>1729</v>
      </c>
      <c r="B519">
        <v>7030</v>
      </c>
      <c r="C519" t="s">
        <v>1730</v>
      </c>
    </row>
    <row r="520" spans="1:3">
      <c r="A520" t="s">
        <v>1731</v>
      </c>
      <c r="B520">
        <v>7033</v>
      </c>
      <c r="C520" t="s">
        <v>1732</v>
      </c>
    </row>
    <row r="521" spans="1:3">
      <c r="A521" t="s">
        <v>3156</v>
      </c>
      <c r="B521">
        <v>7035</v>
      </c>
      <c r="C521" t="s">
        <v>3094</v>
      </c>
    </row>
    <row r="522" spans="1:3">
      <c r="A522" t="s">
        <v>1733</v>
      </c>
      <c r="B522">
        <v>7040</v>
      </c>
      <c r="C522" t="s">
        <v>1734</v>
      </c>
    </row>
    <row r="523" spans="1:3">
      <c r="A523" t="s">
        <v>2979</v>
      </c>
      <c r="B523">
        <v>7041</v>
      </c>
      <c r="C523" t="s">
        <v>2980</v>
      </c>
    </row>
    <row r="524" spans="1:3">
      <c r="A524" t="s">
        <v>1735</v>
      </c>
      <c r="B524">
        <v>7050</v>
      </c>
      <c r="C524" t="s">
        <v>1736</v>
      </c>
    </row>
    <row r="525" spans="1:3">
      <c r="A525" t="s">
        <v>1737</v>
      </c>
      <c r="B525">
        <v>7060</v>
      </c>
      <c r="C525" t="s">
        <v>1738</v>
      </c>
    </row>
    <row r="526" spans="1:3">
      <c r="A526" t="s">
        <v>1739</v>
      </c>
      <c r="B526">
        <v>7070</v>
      </c>
      <c r="C526" t="s">
        <v>1740</v>
      </c>
    </row>
    <row r="527" spans="1:3">
      <c r="A527" t="s">
        <v>1741</v>
      </c>
      <c r="B527">
        <v>7080</v>
      </c>
      <c r="C527" t="s">
        <v>1742</v>
      </c>
    </row>
    <row r="528" spans="1:3">
      <c r="A528" t="s">
        <v>1743</v>
      </c>
      <c r="B528">
        <v>7081</v>
      </c>
      <c r="C528" t="s">
        <v>1744</v>
      </c>
    </row>
    <row r="529" spans="1:3">
      <c r="A529" t="s">
        <v>1745</v>
      </c>
      <c r="B529">
        <v>7082</v>
      </c>
      <c r="C529" t="s">
        <v>1746</v>
      </c>
    </row>
    <row r="530" spans="1:3">
      <c r="A530" t="s">
        <v>1747</v>
      </c>
      <c r="B530">
        <v>7083</v>
      </c>
      <c r="C530" t="s">
        <v>1748</v>
      </c>
    </row>
    <row r="531" spans="1:3">
      <c r="A531" t="s">
        <v>3829</v>
      </c>
      <c r="B531">
        <v>7084</v>
      </c>
      <c r="C531" t="s">
        <v>3830</v>
      </c>
    </row>
    <row r="532" spans="1:3">
      <c r="A532" t="s">
        <v>1749</v>
      </c>
      <c r="B532">
        <v>7090</v>
      </c>
      <c r="C532" t="s">
        <v>1750</v>
      </c>
    </row>
    <row r="533" spans="1:3">
      <c r="A533" t="s">
        <v>1751</v>
      </c>
      <c r="B533">
        <v>7100</v>
      </c>
      <c r="C533" t="s">
        <v>1752</v>
      </c>
    </row>
    <row r="534" spans="1:3">
      <c r="A534" t="s">
        <v>1753</v>
      </c>
      <c r="B534">
        <v>7101</v>
      </c>
      <c r="C534" t="s">
        <v>1754</v>
      </c>
    </row>
    <row r="535" spans="1:3">
      <c r="A535" t="s">
        <v>1755</v>
      </c>
      <c r="B535">
        <v>7102</v>
      </c>
      <c r="C535" t="s">
        <v>1756</v>
      </c>
    </row>
    <row r="536" spans="1:3">
      <c r="A536" t="s">
        <v>1757</v>
      </c>
      <c r="B536">
        <v>7103</v>
      </c>
      <c r="C536" t="s">
        <v>1758</v>
      </c>
    </row>
    <row r="537" spans="1:3">
      <c r="A537" t="s">
        <v>3157</v>
      </c>
      <c r="B537">
        <v>7104</v>
      </c>
      <c r="C537" t="s">
        <v>3095</v>
      </c>
    </row>
    <row r="538" spans="1:3">
      <c r="A538" t="s">
        <v>1759</v>
      </c>
      <c r="B538">
        <v>7110</v>
      </c>
      <c r="C538" t="s">
        <v>1760</v>
      </c>
    </row>
    <row r="539" spans="1:3">
      <c r="A539" t="s">
        <v>1761</v>
      </c>
      <c r="B539">
        <v>7111</v>
      </c>
      <c r="C539" t="s">
        <v>1762</v>
      </c>
    </row>
    <row r="540" spans="1:3">
      <c r="A540" t="s">
        <v>1763</v>
      </c>
      <c r="B540">
        <v>7112</v>
      </c>
      <c r="C540" t="s">
        <v>1764</v>
      </c>
    </row>
    <row r="541" spans="1:3">
      <c r="A541" t="s">
        <v>1765</v>
      </c>
      <c r="B541">
        <v>7113</v>
      </c>
      <c r="C541" t="s">
        <v>1766</v>
      </c>
    </row>
    <row r="542" spans="1:3">
      <c r="A542" t="s">
        <v>1767</v>
      </c>
      <c r="B542">
        <v>7114</v>
      </c>
      <c r="C542" t="s">
        <v>1768</v>
      </c>
    </row>
    <row r="543" spans="1:3">
      <c r="A543" t="s">
        <v>3158</v>
      </c>
      <c r="B543">
        <v>7115</v>
      </c>
      <c r="C543" t="s">
        <v>3096</v>
      </c>
    </row>
    <row r="544" spans="1:3">
      <c r="A544" t="s">
        <v>1769</v>
      </c>
      <c r="B544">
        <v>7120</v>
      </c>
      <c r="C544" t="s">
        <v>1770</v>
      </c>
    </row>
    <row r="545" spans="1:3">
      <c r="A545" t="s">
        <v>1771</v>
      </c>
      <c r="B545">
        <v>7121</v>
      </c>
      <c r="C545" t="s">
        <v>1772</v>
      </c>
    </row>
    <row r="546" spans="1:3">
      <c r="A546" t="s">
        <v>1773</v>
      </c>
      <c r="B546">
        <v>7128</v>
      </c>
      <c r="C546" t="s">
        <v>1774</v>
      </c>
    </row>
    <row r="547" spans="1:3">
      <c r="A547" t="s">
        <v>1775</v>
      </c>
      <c r="B547">
        <v>7129</v>
      </c>
      <c r="C547" t="s">
        <v>1776</v>
      </c>
    </row>
    <row r="548" spans="1:3">
      <c r="A548" t="s">
        <v>1777</v>
      </c>
      <c r="B548">
        <v>7130</v>
      </c>
      <c r="C548" t="s">
        <v>1778</v>
      </c>
    </row>
    <row r="549" spans="1:3">
      <c r="A549" t="s">
        <v>1779</v>
      </c>
      <c r="B549">
        <v>7140</v>
      </c>
      <c r="C549" t="s">
        <v>1780</v>
      </c>
    </row>
    <row r="550" spans="1:3">
      <c r="A550" t="s">
        <v>1781</v>
      </c>
      <c r="B550">
        <v>7141</v>
      </c>
      <c r="C550" t="s">
        <v>1782</v>
      </c>
    </row>
    <row r="551" spans="1:3">
      <c r="A551" t="s">
        <v>1783</v>
      </c>
      <c r="B551">
        <v>7146</v>
      </c>
      <c r="C551" t="s">
        <v>1784</v>
      </c>
    </row>
    <row r="552" spans="1:3">
      <c r="A552" t="s">
        <v>1785</v>
      </c>
      <c r="B552">
        <v>7149</v>
      </c>
      <c r="C552" t="s">
        <v>1786</v>
      </c>
    </row>
    <row r="553" spans="1:3">
      <c r="A553" t="s">
        <v>1787</v>
      </c>
      <c r="B553">
        <v>7150</v>
      </c>
      <c r="C553" t="s">
        <v>1788</v>
      </c>
    </row>
    <row r="554" spans="1:3">
      <c r="A554" t="s">
        <v>1789</v>
      </c>
      <c r="B554">
        <v>7151</v>
      </c>
      <c r="C554" t="s">
        <v>1790</v>
      </c>
    </row>
    <row r="555" spans="1:3">
      <c r="A555" t="s">
        <v>1791</v>
      </c>
      <c r="B555">
        <v>7152</v>
      </c>
      <c r="C555" t="s">
        <v>1792</v>
      </c>
    </row>
    <row r="556" spans="1:3">
      <c r="A556" t="s">
        <v>1793</v>
      </c>
      <c r="B556">
        <v>7153</v>
      </c>
      <c r="C556" t="s">
        <v>1794</v>
      </c>
    </row>
    <row r="557" spans="1:3">
      <c r="A557" t="s">
        <v>1795</v>
      </c>
      <c r="B557">
        <v>7154</v>
      </c>
      <c r="C557" t="s">
        <v>1796</v>
      </c>
    </row>
    <row r="558" spans="1:3">
      <c r="A558" t="s">
        <v>1797</v>
      </c>
      <c r="B558">
        <v>7155</v>
      </c>
      <c r="C558" t="s">
        <v>1798</v>
      </c>
    </row>
    <row r="559" spans="1:3">
      <c r="A559" t="s">
        <v>1799</v>
      </c>
      <c r="B559">
        <v>7156</v>
      </c>
      <c r="C559" t="s">
        <v>1800</v>
      </c>
    </row>
    <row r="560" spans="1:3">
      <c r="A560" t="s">
        <v>1801</v>
      </c>
      <c r="B560">
        <v>7158</v>
      </c>
      <c r="C560" t="s">
        <v>1802</v>
      </c>
    </row>
    <row r="561" spans="1:3">
      <c r="A561" t="s">
        <v>1803</v>
      </c>
      <c r="B561">
        <v>7159</v>
      </c>
      <c r="C561" t="s">
        <v>1804</v>
      </c>
    </row>
    <row r="562" spans="1:3">
      <c r="A562" t="s">
        <v>1805</v>
      </c>
      <c r="B562">
        <v>7160</v>
      </c>
      <c r="C562" t="s">
        <v>1806</v>
      </c>
    </row>
    <row r="563" spans="1:3">
      <c r="A563" t="s">
        <v>1807</v>
      </c>
      <c r="B563">
        <v>7161</v>
      </c>
      <c r="C563" t="s">
        <v>1808</v>
      </c>
    </row>
    <row r="564" spans="1:3">
      <c r="A564" t="s">
        <v>1809</v>
      </c>
      <c r="B564">
        <v>7162</v>
      </c>
      <c r="C564" t="s">
        <v>1810</v>
      </c>
    </row>
    <row r="565" spans="1:3">
      <c r="A565" t="s">
        <v>1811</v>
      </c>
      <c r="B565">
        <v>7171</v>
      </c>
      <c r="C565" t="s">
        <v>1812</v>
      </c>
    </row>
    <row r="566" spans="1:3">
      <c r="A566" t="s">
        <v>1813</v>
      </c>
      <c r="B566">
        <v>7180</v>
      </c>
      <c r="C566" t="s">
        <v>1814</v>
      </c>
    </row>
    <row r="567" spans="1:3">
      <c r="A567" t="s">
        <v>1815</v>
      </c>
      <c r="B567">
        <v>7182</v>
      </c>
      <c r="C567" t="s">
        <v>1816</v>
      </c>
    </row>
    <row r="568" spans="1:3">
      <c r="A568" t="s">
        <v>1817</v>
      </c>
      <c r="B568">
        <v>7190</v>
      </c>
      <c r="C568" t="s">
        <v>1818</v>
      </c>
    </row>
    <row r="569" spans="1:3">
      <c r="A569" t="s">
        <v>1819</v>
      </c>
      <c r="B569">
        <v>7191</v>
      </c>
      <c r="C569" t="s">
        <v>1820</v>
      </c>
    </row>
    <row r="570" spans="1:3">
      <c r="A570" t="s">
        <v>1821</v>
      </c>
      <c r="B570">
        <v>7194</v>
      </c>
      <c r="C570" t="s">
        <v>1822</v>
      </c>
    </row>
    <row r="571" spans="1:3">
      <c r="A571" t="s">
        <v>1823</v>
      </c>
      <c r="B571">
        <v>7195</v>
      </c>
      <c r="C571" t="s">
        <v>1824</v>
      </c>
    </row>
    <row r="572" spans="1:3">
      <c r="A572" t="s">
        <v>1825</v>
      </c>
      <c r="B572">
        <v>7200</v>
      </c>
      <c r="C572" t="s">
        <v>1826</v>
      </c>
    </row>
    <row r="573" spans="1:3">
      <c r="A573" t="s">
        <v>1827</v>
      </c>
      <c r="B573">
        <v>7201</v>
      </c>
      <c r="C573" t="s">
        <v>1828</v>
      </c>
    </row>
    <row r="574" spans="1:3">
      <c r="A574" t="s">
        <v>1829</v>
      </c>
      <c r="B574">
        <v>7204</v>
      </c>
      <c r="C574" t="s">
        <v>1830</v>
      </c>
    </row>
    <row r="575" spans="1:3">
      <c r="A575" t="s">
        <v>1831</v>
      </c>
      <c r="B575">
        <v>7205</v>
      </c>
      <c r="C575" t="s">
        <v>1832</v>
      </c>
    </row>
    <row r="576" spans="1:3">
      <c r="A576" t="s">
        <v>1833</v>
      </c>
      <c r="B576">
        <v>7210</v>
      </c>
      <c r="C576" t="s">
        <v>1834</v>
      </c>
    </row>
    <row r="577" spans="1:3">
      <c r="A577" t="s">
        <v>1835</v>
      </c>
      <c r="B577">
        <v>7211</v>
      </c>
      <c r="C577" t="s">
        <v>1836</v>
      </c>
    </row>
    <row r="578" spans="1:3">
      <c r="A578" t="s">
        <v>1837</v>
      </c>
      <c r="B578">
        <v>7212</v>
      </c>
      <c r="C578" t="s">
        <v>1838</v>
      </c>
    </row>
    <row r="579" spans="1:3">
      <c r="A579" t="s">
        <v>1839</v>
      </c>
      <c r="B579">
        <v>7213</v>
      </c>
      <c r="C579" t="s">
        <v>1840</v>
      </c>
    </row>
    <row r="580" spans="1:3">
      <c r="A580" t="s">
        <v>1841</v>
      </c>
      <c r="B580">
        <v>7216</v>
      </c>
      <c r="C580" t="s">
        <v>1842</v>
      </c>
    </row>
    <row r="581" spans="1:3">
      <c r="A581" t="s">
        <v>1843</v>
      </c>
      <c r="B581">
        <v>7220</v>
      </c>
      <c r="C581" t="s">
        <v>1844</v>
      </c>
    </row>
    <row r="582" spans="1:3">
      <c r="A582" t="s">
        <v>1845</v>
      </c>
      <c r="B582">
        <v>7230</v>
      </c>
      <c r="C582" t="s">
        <v>1846</v>
      </c>
    </row>
    <row r="583" spans="1:3">
      <c r="A583" t="s">
        <v>1847</v>
      </c>
      <c r="B583">
        <v>7231</v>
      </c>
      <c r="C583" t="s">
        <v>1848</v>
      </c>
    </row>
    <row r="584" spans="1:3">
      <c r="A584" t="s">
        <v>1849</v>
      </c>
      <c r="B584">
        <v>7240</v>
      </c>
      <c r="C584" t="s">
        <v>1850</v>
      </c>
    </row>
    <row r="585" spans="1:3">
      <c r="A585" t="s">
        <v>1851</v>
      </c>
      <c r="B585">
        <v>7245</v>
      </c>
      <c r="C585" t="s">
        <v>1852</v>
      </c>
    </row>
    <row r="586" spans="1:3">
      <c r="A586" t="s">
        <v>3349</v>
      </c>
      <c r="B586">
        <v>7247</v>
      </c>
      <c r="C586" t="s">
        <v>2096</v>
      </c>
    </row>
    <row r="587" spans="1:3">
      <c r="A587" t="s">
        <v>1853</v>
      </c>
      <c r="B587">
        <v>7250</v>
      </c>
      <c r="C587" t="s">
        <v>1854</v>
      </c>
    </row>
    <row r="588" spans="1:3">
      <c r="A588" t="s">
        <v>1855</v>
      </c>
      <c r="B588">
        <v>7251</v>
      </c>
      <c r="C588" t="s">
        <v>1856</v>
      </c>
    </row>
    <row r="589" spans="1:3">
      <c r="A589" t="s">
        <v>1857</v>
      </c>
      <c r="B589">
        <v>7252</v>
      </c>
      <c r="C589" t="s">
        <v>1858</v>
      </c>
    </row>
    <row r="590" spans="1:3">
      <c r="A590" t="s">
        <v>1859</v>
      </c>
      <c r="B590">
        <v>7253</v>
      </c>
      <c r="C590" t="s">
        <v>1860</v>
      </c>
    </row>
    <row r="591" spans="1:3">
      <c r="A591" t="s">
        <v>1861</v>
      </c>
      <c r="B591">
        <v>7254</v>
      </c>
      <c r="C591" t="s">
        <v>1862</v>
      </c>
    </row>
    <row r="592" spans="1:3">
      <c r="A592" t="s">
        <v>1863</v>
      </c>
      <c r="B592">
        <v>7256</v>
      </c>
      <c r="C592" t="s">
        <v>1864</v>
      </c>
    </row>
    <row r="593" spans="1:3">
      <c r="A593" t="s">
        <v>1865</v>
      </c>
      <c r="B593">
        <v>7260</v>
      </c>
      <c r="C593" t="s">
        <v>1866</v>
      </c>
    </row>
    <row r="594" spans="1:3">
      <c r="A594" t="s">
        <v>1867</v>
      </c>
      <c r="B594">
        <v>7261</v>
      </c>
      <c r="C594" t="s">
        <v>1868</v>
      </c>
    </row>
    <row r="595" spans="1:3">
      <c r="A595" t="s">
        <v>1869</v>
      </c>
      <c r="B595">
        <v>7270</v>
      </c>
      <c r="C595" t="s">
        <v>1870</v>
      </c>
    </row>
    <row r="596" spans="1:3">
      <c r="A596" t="s">
        <v>1871</v>
      </c>
      <c r="B596">
        <v>7271</v>
      </c>
      <c r="C596" t="s">
        <v>1872</v>
      </c>
    </row>
    <row r="597" spans="1:3">
      <c r="A597" t="s">
        <v>1873</v>
      </c>
      <c r="B597">
        <v>7280</v>
      </c>
      <c r="C597" t="s">
        <v>1874</v>
      </c>
    </row>
    <row r="598" spans="1:3">
      <c r="A598" t="s">
        <v>1875</v>
      </c>
      <c r="B598">
        <v>7290</v>
      </c>
      <c r="C598" t="s">
        <v>1876</v>
      </c>
    </row>
    <row r="599" spans="1:3">
      <c r="A599" t="s">
        <v>1877</v>
      </c>
      <c r="B599">
        <v>7291</v>
      </c>
      <c r="C599" t="s">
        <v>1878</v>
      </c>
    </row>
    <row r="600" spans="1:3">
      <c r="A600" t="s">
        <v>3831</v>
      </c>
      <c r="B600">
        <v>7292</v>
      </c>
      <c r="C600" t="s">
        <v>3832</v>
      </c>
    </row>
    <row r="601" spans="1:3">
      <c r="A601" t="s">
        <v>1879</v>
      </c>
      <c r="B601">
        <v>7300</v>
      </c>
      <c r="C601" t="s">
        <v>1880</v>
      </c>
    </row>
    <row r="602" spans="1:3">
      <c r="A602" t="s">
        <v>1881</v>
      </c>
      <c r="B602">
        <v>7301</v>
      </c>
      <c r="C602" t="s">
        <v>1882</v>
      </c>
    </row>
    <row r="603" spans="1:3">
      <c r="A603" t="s">
        <v>1883</v>
      </c>
      <c r="B603">
        <v>7304</v>
      </c>
      <c r="C603" t="s">
        <v>1884</v>
      </c>
    </row>
    <row r="604" spans="1:3">
      <c r="A604" t="s">
        <v>1885</v>
      </c>
      <c r="B604">
        <v>7305</v>
      </c>
      <c r="C604" t="s">
        <v>1886</v>
      </c>
    </row>
    <row r="605" spans="1:3">
      <c r="A605" t="s">
        <v>1887</v>
      </c>
      <c r="B605">
        <v>7311</v>
      </c>
      <c r="C605" t="s">
        <v>1888</v>
      </c>
    </row>
    <row r="606" spans="1:3">
      <c r="A606" t="s">
        <v>1889</v>
      </c>
      <c r="B606">
        <v>7320</v>
      </c>
      <c r="C606" t="s">
        <v>1890</v>
      </c>
    </row>
    <row r="607" spans="1:3">
      <c r="A607" t="s">
        <v>1891</v>
      </c>
      <c r="B607">
        <v>7330</v>
      </c>
      <c r="C607" t="s">
        <v>1892</v>
      </c>
    </row>
    <row r="608" spans="1:3">
      <c r="A608" t="s">
        <v>1893</v>
      </c>
      <c r="B608">
        <v>7331</v>
      </c>
      <c r="C608" t="s">
        <v>1894</v>
      </c>
    </row>
    <row r="609" spans="1:3">
      <c r="A609" t="s">
        <v>1895</v>
      </c>
      <c r="B609">
        <v>7340</v>
      </c>
      <c r="C609" t="s">
        <v>1896</v>
      </c>
    </row>
    <row r="610" spans="1:3">
      <c r="A610" t="s">
        <v>1897</v>
      </c>
      <c r="B610">
        <v>7341</v>
      </c>
      <c r="C610" t="s">
        <v>1898</v>
      </c>
    </row>
    <row r="611" spans="1:3">
      <c r="A611" t="s">
        <v>1899</v>
      </c>
      <c r="B611">
        <v>7350</v>
      </c>
      <c r="C611" t="s">
        <v>1900</v>
      </c>
    </row>
    <row r="612" spans="1:3">
      <c r="A612" t="s">
        <v>1901</v>
      </c>
      <c r="B612">
        <v>7360</v>
      </c>
      <c r="C612" t="s">
        <v>1902</v>
      </c>
    </row>
    <row r="613" spans="1:3">
      <c r="A613" t="s">
        <v>1903</v>
      </c>
      <c r="B613">
        <v>7361</v>
      </c>
      <c r="C613" t="s">
        <v>1904</v>
      </c>
    </row>
    <row r="614" spans="1:3">
      <c r="A614" t="s">
        <v>1905</v>
      </c>
      <c r="B614">
        <v>7370</v>
      </c>
      <c r="C614" t="s">
        <v>1906</v>
      </c>
    </row>
    <row r="615" spans="1:3">
      <c r="A615" t="s">
        <v>1907</v>
      </c>
      <c r="B615">
        <v>7380</v>
      </c>
      <c r="C615" t="s">
        <v>1908</v>
      </c>
    </row>
    <row r="616" spans="1:3">
      <c r="A616" t="s">
        <v>2881</v>
      </c>
      <c r="B616">
        <v>7383</v>
      </c>
      <c r="C616" t="s">
        <v>2882</v>
      </c>
    </row>
    <row r="617" spans="1:3">
      <c r="A617" t="s">
        <v>1909</v>
      </c>
      <c r="B617">
        <v>7390</v>
      </c>
      <c r="C617" t="s">
        <v>1910</v>
      </c>
    </row>
    <row r="618" spans="1:3">
      <c r="A618" t="s">
        <v>1911</v>
      </c>
      <c r="B618">
        <v>7400</v>
      </c>
      <c r="C618" t="s">
        <v>1912</v>
      </c>
    </row>
    <row r="619" spans="1:3">
      <c r="A619" t="s">
        <v>1913</v>
      </c>
      <c r="B619">
        <v>7401</v>
      </c>
      <c r="C619" t="s">
        <v>1914</v>
      </c>
    </row>
    <row r="620" spans="1:3">
      <c r="A620" t="s">
        <v>1915</v>
      </c>
      <c r="B620">
        <v>7403</v>
      </c>
      <c r="C620" t="s">
        <v>1916</v>
      </c>
    </row>
    <row r="621" spans="1:3">
      <c r="A621" t="s">
        <v>1917</v>
      </c>
      <c r="B621">
        <v>7405</v>
      </c>
      <c r="C621" t="s">
        <v>1918</v>
      </c>
    </row>
    <row r="622" spans="1:3">
      <c r="A622" t="s">
        <v>1919</v>
      </c>
      <c r="B622">
        <v>7409</v>
      </c>
      <c r="C622" t="s">
        <v>1920</v>
      </c>
    </row>
    <row r="623" spans="1:3">
      <c r="A623" t="s">
        <v>1921</v>
      </c>
      <c r="B623">
        <v>7410</v>
      </c>
      <c r="C623" t="s">
        <v>1922</v>
      </c>
    </row>
    <row r="624" spans="1:3">
      <c r="A624" t="s">
        <v>1923</v>
      </c>
      <c r="B624">
        <v>7411</v>
      </c>
      <c r="C624" t="s">
        <v>1924</v>
      </c>
    </row>
    <row r="625" spans="1:3">
      <c r="A625" t="s">
        <v>1925</v>
      </c>
      <c r="B625">
        <v>7420</v>
      </c>
      <c r="C625" t="s">
        <v>1926</v>
      </c>
    </row>
    <row r="626" spans="1:3">
      <c r="A626" t="s">
        <v>1927</v>
      </c>
      <c r="B626">
        <v>7421</v>
      </c>
      <c r="C626" t="s">
        <v>1928</v>
      </c>
    </row>
    <row r="627" spans="1:3">
      <c r="A627" t="s">
        <v>1929</v>
      </c>
      <c r="B627">
        <v>7422</v>
      </c>
      <c r="C627" t="s">
        <v>1930</v>
      </c>
    </row>
    <row r="628" spans="1:3">
      <c r="A628" t="s">
        <v>1931</v>
      </c>
      <c r="B628">
        <v>7430</v>
      </c>
      <c r="C628" t="s">
        <v>1932</v>
      </c>
    </row>
    <row r="629" spans="1:3">
      <c r="A629" t="s">
        <v>1933</v>
      </c>
      <c r="B629">
        <v>7440</v>
      </c>
      <c r="C629" t="s">
        <v>1934</v>
      </c>
    </row>
    <row r="630" spans="1:3">
      <c r="A630" t="s">
        <v>1935</v>
      </c>
      <c r="B630">
        <v>7450</v>
      </c>
      <c r="C630" t="s">
        <v>1936</v>
      </c>
    </row>
    <row r="631" spans="1:3">
      <c r="A631" t="s">
        <v>1937</v>
      </c>
      <c r="B631">
        <v>7451</v>
      </c>
      <c r="C631" t="s">
        <v>1938</v>
      </c>
    </row>
    <row r="632" spans="1:3">
      <c r="A632" t="s">
        <v>1939</v>
      </c>
      <c r="B632">
        <v>7460</v>
      </c>
      <c r="C632" t="s">
        <v>1940</v>
      </c>
    </row>
    <row r="633" spans="1:3">
      <c r="A633" t="s">
        <v>1941</v>
      </c>
      <c r="B633">
        <v>7461</v>
      </c>
      <c r="C633" t="s">
        <v>1942</v>
      </c>
    </row>
    <row r="634" spans="1:3">
      <c r="A634" t="s">
        <v>1943</v>
      </c>
      <c r="B634">
        <v>7470</v>
      </c>
      <c r="C634" t="s">
        <v>1944</v>
      </c>
    </row>
    <row r="635" spans="1:3">
      <c r="A635" t="s">
        <v>1945</v>
      </c>
      <c r="B635">
        <v>7471</v>
      </c>
      <c r="C635" t="s">
        <v>1946</v>
      </c>
    </row>
    <row r="636" spans="1:3">
      <c r="A636" t="s">
        <v>1947</v>
      </c>
      <c r="B636">
        <v>7480</v>
      </c>
      <c r="C636" t="s">
        <v>1948</v>
      </c>
    </row>
    <row r="637" spans="1:3">
      <c r="A637" t="s">
        <v>1949</v>
      </c>
      <c r="B637">
        <v>7481</v>
      </c>
      <c r="C637" t="s">
        <v>1950</v>
      </c>
    </row>
    <row r="638" spans="1:3">
      <c r="A638" t="s">
        <v>1951</v>
      </c>
      <c r="B638">
        <v>7490</v>
      </c>
      <c r="C638" t="s">
        <v>1952</v>
      </c>
    </row>
    <row r="639" spans="1:3">
      <c r="A639" t="s">
        <v>1953</v>
      </c>
      <c r="B639">
        <v>7500</v>
      </c>
      <c r="C639" t="s">
        <v>1954</v>
      </c>
    </row>
    <row r="640" spans="1:3">
      <c r="A640" t="s">
        <v>1955</v>
      </c>
      <c r="B640">
        <v>7510</v>
      </c>
      <c r="C640" t="s">
        <v>1956</v>
      </c>
    </row>
    <row r="641" spans="1:3">
      <c r="A641" t="s">
        <v>1957</v>
      </c>
      <c r="B641">
        <v>7520</v>
      </c>
      <c r="C641" t="s">
        <v>1958</v>
      </c>
    </row>
    <row r="642" spans="1:3">
      <c r="A642" t="s">
        <v>1959</v>
      </c>
      <c r="B642">
        <v>7530</v>
      </c>
      <c r="C642" t="s">
        <v>1960</v>
      </c>
    </row>
    <row r="643" spans="1:3">
      <c r="A643" t="s">
        <v>1961</v>
      </c>
      <c r="B643">
        <v>7531</v>
      </c>
      <c r="C643" t="s">
        <v>1962</v>
      </c>
    </row>
    <row r="644" spans="1:3">
      <c r="A644" t="s">
        <v>1963</v>
      </c>
      <c r="B644">
        <v>7540</v>
      </c>
      <c r="C644" t="s">
        <v>1964</v>
      </c>
    </row>
    <row r="645" spans="1:3">
      <c r="A645" t="s">
        <v>1965</v>
      </c>
      <c r="B645">
        <v>7541</v>
      </c>
      <c r="C645" t="s">
        <v>1966</v>
      </c>
    </row>
    <row r="646" spans="1:3">
      <c r="A646" t="s">
        <v>1967</v>
      </c>
      <c r="B646">
        <v>7550</v>
      </c>
      <c r="C646" t="s">
        <v>1968</v>
      </c>
    </row>
    <row r="647" spans="1:3">
      <c r="A647" t="s">
        <v>1969</v>
      </c>
      <c r="B647">
        <v>7551</v>
      </c>
      <c r="C647" t="s">
        <v>1970</v>
      </c>
    </row>
    <row r="648" spans="1:3">
      <c r="A648" t="s">
        <v>1971</v>
      </c>
      <c r="B648">
        <v>7552</v>
      </c>
      <c r="C648" t="s">
        <v>1972</v>
      </c>
    </row>
    <row r="649" spans="1:3">
      <c r="A649" t="s">
        <v>1973</v>
      </c>
      <c r="B649">
        <v>7553</v>
      </c>
      <c r="C649" t="s">
        <v>1178</v>
      </c>
    </row>
    <row r="650" spans="1:3">
      <c r="A650" t="s">
        <v>1974</v>
      </c>
      <c r="B650">
        <v>7560</v>
      </c>
      <c r="C650" t="s">
        <v>1975</v>
      </c>
    </row>
    <row r="651" spans="1:3">
      <c r="A651" t="s">
        <v>1976</v>
      </c>
      <c r="B651">
        <v>7561</v>
      </c>
      <c r="C651" t="s">
        <v>1977</v>
      </c>
    </row>
    <row r="652" spans="1:3">
      <c r="A652" t="s">
        <v>2732</v>
      </c>
      <c r="B652">
        <v>7562</v>
      </c>
      <c r="C652" t="s">
        <v>2733</v>
      </c>
    </row>
    <row r="653" spans="1:3">
      <c r="A653" t="s">
        <v>1978</v>
      </c>
      <c r="B653">
        <v>7570</v>
      </c>
      <c r="C653" t="s">
        <v>1979</v>
      </c>
    </row>
    <row r="654" spans="1:3">
      <c r="A654" t="s">
        <v>1980</v>
      </c>
      <c r="B654">
        <v>7580</v>
      </c>
      <c r="C654" t="s">
        <v>1981</v>
      </c>
    </row>
    <row r="655" spans="1:3">
      <c r="A655" t="s">
        <v>1982</v>
      </c>
      <c r="B655">
        <v>7581</v>
      </c>
      <c r="C655" t="s">
        <v>1983</v>
      </c>
    </row>
    <row r="656" spans="1:3">
      <c r="A656" t="s">
        <v>1984</v>
      </c>
      <c r="B656">
        <v>7584</v>
      </c>
      <c r="C656" t="s">
        <v>1985</v>
      </c>
    </row>
    <row r="657" spans="1:3">
      <c r="A657" t="s">
        <v>1986</v>
      </c>
      <c r="B657">
        <v>7600</v>
      </c>
      <c r="C657" t="s">
        <v>1987</v>
      </c>
    </row>
    <row r="658" spans="1:3">
      <c r="A658" t="s">
        <v>1988</v>
      </c>
      <c r="B658">
        <v>7601</v>
      </c>
      <c r="C658" t="s">
        <v>1989</v>
      </c>
    </row>
    <row r="659" spans="1:3">
      <c r="A659" t="s">
        <v>1990</v>
      </c>
      <c r="B659">
        <v>7604</v>
      </c>
      <c r="C659" t="s">
        <v>1991</v>
      </c>
    </row>
    <row r="660" spans="1:3">
      <c r="A660" t="s">
        <v>1992</v>
      </c>
      <c r="B660">
        <v>7610</v>
      </c>
      <c r="C660" t="s">
        <v>1993</v>
      </c>
    </row>
    <row r="661" spans="1:3">
      <c r="A661" t="s">
        <v>1994</v>
      </c>
      <c r="B661">
        <v>7611</v>
      </c>
      <c r="C661" t="s">
        <v>1995</v>
      </c>
    </row>
    <row r="662" spans="1:3">
      <c r="A662" t="s">
        <v>1996</v>
      </c>
      <c r="B662">
        <v>7614</v>
      </c>
      <c r="C662" t="s">
        <v>1997</v>
      </c>
    </row>
    <row r="663" spans="1:3">
      <c r="A663" t="s">
        <v>2734</v>
      </c>
      <c r="B663">
        <v>7620</v>
      </c>
      <c r="C663" t="s">
        <v>2735</v>
      </c>
    </row>
    <row r="664" spans="1:3">
      <c r="A664" t="s">
        <v>1998</v>
      </c>
      <c r="B664">
        <v>7660</v>
      </c>
      <c r="C664" t="s">
        <v>1999</v>
      </c>
    </row>
    <row r="665" spans="1:3">
      <c r="A665" t="s">
        <v>2000</v>
      </c>
      <c r="B665">
        <v>7690</v>
      </c>
      <c r="C665" t="s">
        <v>2001</v>
      </c>
    </row>
    <row r="666" spans="1:3">
      <c r="A666" t="s">
        <v>2002</v>
      </c>
      <c r="B666">
        <v>7710</v>
      </c>
      <c r="C666" t="s">
        <v>2003</v>
      </c>
    </row>
    <row r="667" spans="1:3">
      <c r="A667" t="s">
        <v>2004</v>
      </c>
      <c r="B667">
        <v>7720</v>
      </c>
      <c r="C667" t="s">
        <v>2005</v>
      </c>
    </row>
    <row r="668" spans="1:3">
      <c r="A668" t="s">
        <v>2006</v>
      </c>
      <c r="B668">
        <v>7740</v>
      </c>
      <c r="C668" t="s">
        <v>2007</v>
      </c>
    </row>
    <row r="669" spans="1:3">
      <c r="A669" t="s">
        <v>2008</v>
      </c>
      <c r="B669">
        <v>7750</v>
      </c>
      <c r="C669" t="s">
        <v>2009</v>
      </c>
    </row>
    <row r="670" spans="1:3">
      <c r="A670" t="s">
        <v>2010</v>
      </c>
      <c r="B670">
        <v>7751</v>
      </c>
      <c r="C670" t="s">
        <v>2011</v>
      </c>
    </row>
    <row r="671" spans="1:3">
      <c r="A671" t="s">
        <v>2012</v>
      </c>
      <c r="B671">
        <v>7754</v>
      </c>
      <c r="C671" t="s">
        <v>2013</v>
      </c>
    </row>
    <row r="672" spans="1:3">
      <c r="A672" t="s">
        <v>2014</v>
      </c>
      <c r="B672">
        <v>7760</v>
      </c>
      <c r="C672" t="s">
        <v>2015</v>
      </c>
    </row>
    <row r="673" spans="1:3">
      <c r="A673" t="s">
        <v>2016</v>
      </c>
      <c r="B673">
        <v>7770</v>
      </c>
      <c r="C673" t="s">
        <v>2017</v>
      </c>
    </row>
    <row r="674" spans="1:3">
      <c r="A674" t="s">
        <v>2018</v>
      </c>
      <c r="B674">
        <v>7799</v>
      </c>
      <c r="C674" t="s">
        <v>2019</v>
      </c>
    </row>
    <row r="675" spans="1:3">
      <c r="A675" t="s">
        <v>2020</v>
      </c>
      <c r="B675">
        <v>7800</v>
      </c>
      <c r="C675" t="s">
        <v>2021</v>
      </c>
    </row>
    <row r="676" spans="1:3">
      <c r="A676" t="s">
        <v>2022</v>
      </c>
      <c r="B676">
        <v>7810</v>
      </c>
      <c r="C676" t="s">
        <v>2023</v>
      </c>
    </row>
    <row r="677" spans="1:3">
      <c r="A677" t="s">
        <v>2024</v>
      </c>
      <c r="B677">
        <v>7820</v>
      </c>
      <c r="C677" t="s">
        <v>2025</v>
      </c>
    </row>
    <row r="678" spans="1:3">
      <c r="A678" t="s">
        <v>2026</v>
      </c>
      <c r="B678">
        <v>7821</v>
      </c>
      <c r="C678" t="s">
        <v>2027</v>
      </c>
    </row>
    <row r="679" spans="1:3">
      <c r="A679" t="s">
        <v>2028</v>
      </c>
      <c r="B679">
        <v>7822</v>
      </c>
      <c r="C679" t="s">
        <v>2029</v>
      </c>
    </row>
    <row r="680" spans="1:3">
      <c r="A680" t="s">
        <v>2030</v>
      </c>
      <c r="B680">
        <v>7823</v>
      </c>
      <c r="C680" t="s">
        <v>2031</v>
      </c>
    </row>
    <row r="681" spans="1:3">
      <c r="A681" t="s">
        <v>2032</v>
      </c>
      <c r="B681">
        <v>7824</v>
      </c>
      <c r="C681" t="s">
        <v>2033</v>
      </c>
    </row>
    <row r="682" spans="1:3">
      <c r="A682" t="s">
        <v>2034</v>
      </c>
      <c r="B682">
        <v>7825</v>
      </c>
      <c r="C682" t="s">
        <v>2025</v>
      </c>
    </row>
    <row r="683" spans="1:3">
      <c r="A683" t="s">
        <v>2035</v>
      </c>
      <c r="B683">
        <v>7826</v>
      </c>
      <c r="C683" t="s">
        <v>2036</v>
      </c>
    </row>
    <row r="684" spans="1:3">
      <c r="A684" t="s">
        <v>2037</v>
      </c>
      <c r="B684">
        <v>7827</v>
      </c>
      <c r="C684" t="s">
        <v>2038</v>
      </c>
    </row>
    <row r="685" spans="1:3">
      <c r="A685" t="s">
        <v>3350</v>
      </c>
      <c r="B685">
        <v>7850</v>
      </c>
      <c r="C685" t="s">
        <v>3351</v>
      </c>
    </row>
    <row r="686" spans="1:3">
      <c r="A686" t="s">
        <v>3159</v>
      </c>
      <c r="B686">
        <v>7861</v>
      </c>
      <c r="C686" t="s">
        <v>3097</v>
      </c>
    </row>
    <row r="687" spans="1:3">
      <c r="A687" t="s">
        <v>3160</v>
      </c>
      <c r="B687">
        <v>7864</v>
      </c>
      <c r="C687" t="s">
        <v>3098</v>
      </c>
    </row>
    <row r="688" spans="1:3">
      <c r="A688" t="s">
        <v>2039</v>
      </c>
      <c r="B688">
        <v>7870</v>
      </c>
      <c r="C688" t="s">
        <v>2040</v>
      </c>
    </row>
    <row r="689" spans="1:3">
      <c r="A689" t="s">
        <v>3833</v>
      </c>
      <c r="B689">
        <v>7902</v>
      </c>
      <c r="C689" t="s">
        <v>3834</v>
      </c>
    </row>
    <row r="690" spans="1:3">
      <c r="A690" t="s">
        <v>3835</v>
      </c>
      <c r="B690">
        <v>7903</v>
      </c>
      <c r="C690" t="s">
        <v>3836</v>
      </c>
    </row>
    <row r="691" spans="1:3">
      <c r="A691" t="s">
        <v>2041</v>
      </c>
      <c r="B691">
        <v>7909</v>
      </c>
      <c r="C691" t="s">
        <v>2042</v>
      </c>
    </row>
    <row r="692" spans="1:3">
      <c r="A692" t="s">
        <v>2043</v>
      </c>
      <c r="B692">
        <v>7922</v>
      </c>
      <c r="C692" t="s">
        <v>2044</v>
      </c>
    </row>
    <row r="693" spans="1:3">
      <c r="A693" t="s">
        <v>2045</v>
      </c>
      <c r="B693">
        <v>7930</v>
      </c>
      <c r="C693" t="s">
        <v>2046</v>
      </c>
    </row>
    <row r="694" spans="1:3">
      <c r="A694" t="s">
        <v>2047</v>
      </c>
      <c r="B694">
        <v>7940</v>
      </c>
      <c r="C694" t="s">
        <v>2048</v>
      </c>
    </row>
    <row r="695" spans="1:3">
      <c r="A695" t="s">
        <v>2049</v>
      </c>
      <c r="B695">
        <v>7941</v>
      </c>
      <c r="C695" t="s">
        <v>2050</v>
      </c>
    </row>
    <row r="696" spans="1:3">
      <c r="A696" t="s">
        <v>2051</v>
      </c>
      <c r="B696">
        <v>7944</v>
      </c>
      <c r="C696" t="s">
        <v>2052</v>
      </c>
    </row>
    <row r="697" spans="1:3">
      <c r="A697" t="s">
        <v>3352</v>
      </c>
      <c r="B697">
        <v>7950</v>
      </c>
      <c r="C697" t="s">
        <v>3353</v>
      </c>
    </row>
    <row r="698" spans="1:3">
      <c r="A698" t="s">
        <v>2053</v>
      </c>
      <c r="B698">
        <v>7951</v>
      </c>
      <c r="C698" t="s">
        <v>2042</v>
      </c>
    </row>
    <row r="699" spans="1:3">
      <c r="A699" t="s">
        <v>2054</v>
      </c>
      <c r="B699">
        <v>7952</v>
      </c>
      <c r="C699" t="s">
        <v>2055</v>
      </c>
    </row>
    <row r="700" spans="1:3">
      <c r="A700" t="s">
        <v>3354</v>
      </c>
      <c r="B700">
        <v>7955</v>
      </c>
      <c r="C700" t="s">
        <v>3355</v>
      </c>
    </row>
    <row r="701" spans="1:3">
      <c r="A701" t="s">
        <v>2056</v>
      </c>
      <c r="B701">
        <v>7960</v>
      </c>
      <c r="C701" t="s">
        <v>2057</v>
      </c>
    </row>
    <row r="702" spans="1:3">
      <c r="A702" t="s">
        <v>2058</v>
      </c>
      <c r="B702">
        <v>7980</v>
      </c>
      <c r="C702" t="s">
        <v>2059</v>
      </c>
    </row>
    <row r="703" spans="1:3">
      <c r="A703" t="s">
        <v>2060</v>
      </c>
      <c r="B703">
        <v>7995</v>
      </c>
      <c r="C703" t="s">
        <v>2061</v>
      </c>
    </row>
    <row r="704" spans="1:3">
      <c r="A704" t="s">
        <v>2062</v>
      </c>
      <c r="B704">
        <v>7997</v>
      </c>
      <c r="C704" t="s">
        <v>2063</v>
      </c>
    </row>
    <row r="705" spans="1:3">
      <c r="A705" t="s">
        <v>2645</v>
      </c>
      <c r="B705">
        <v>7998</v>
      </c>
      <c r="C705" t="s">
        <v>2646</v>
      </c>
    </row>
    <row r="706" spans="1:3">
      <c r="A706" t="s">
        <v>2064</v>
      </c>
      <c r="B706">
        <v>8050</v>
      </c>
      <c r="C706" t="s">
        <v>2065</v>
      </c>
    </row>
    <row r="707" spans="1:3">
      <c r="A707" t="s">
        <v>3356</v>
      </c>
      <c r="B707">
        <v>8060</v>
      </c>
      <c r="C707" t="s">
        <v>3357</v>
      </c>
    </row>
    <row r="708" spans="1:3">
      <c r="A708" t="s">
        <v>3358</v>
      </c>
      <c r="B708">
        <v>8061</v>
      </c>
      <c r="C708" t="s">
        <v>3359</v>
      </c>
    </row>
    <row r="709" spans="1:3">
      <c r="A709" t="s">
        <v>3360</v>
      </c>
      <c r="B709">
        <v>8062</v>
      </c>
      <c r="C709" t="s">
        <v>3361</v>
      </c>
    </row>
    <row r="710" spans="1:3">
      <c r="A710" t="s">
        <v>3362</v>
      </c>
      <c r="B710">
        <v>8063</v>
      </c>
      <c r="C710" t="s">
        <v>3363</v>
      </c>
    </row>
    <row r="711" spans="1:3">
      <c r="A711" t="s">
        <v>3364</v>
      </c>
      <c r="B711">
        <v>8064</v>
      </c>
      <c r="C711" t="s">
        <v>3365</v>
      </c>
    </row>
    <row r="712" spans="1:3">
      <c r="A712" t="s">
        <v>3366</v>
      </c>
      <c r="B712">
        <v>8065</v>
      </c>
      <c r="C712" t="s">
        <v>3367</v>
      </c>
    </row>
    <row r="713" spans="1:3">
      <c r="A713" t="s">
        <v>3368</v>
      </c>
      <c r="B713">
        <v>8066</v>
      </c>
      <c r="C713" t="s">
        <v>3369</v>
      </c>
    </row>
    <row r="714" spans="1:3">
      <c r="A714" t="s">
        <v>2066</v>
      </c>
      <c r="B714">
        <v>8070</v>
      </c>
      <c r="C714" t="s">
        <v>1581</v>
      </c>
    </row>
    <row r="715" spans="1:3">
      <c r="A715" t="s">
        <v>2067</v>
      </c>
      <c r="B715">
        <v>8071</v>
      </c>
      <c r="C715" t="s">
        <v>2068</v>
      </c>
    </row>
    <row r="716" spans="1:3">
      <c r="A716" t="s">
        <v>2069</v>
      </c>
      <c r="B716">
        <v>8072</v>
      </c>
      <c r="C716" t="s">
        <v>2070</v>
      </c>
    </row>
    <row r="717" spans="1:3">
      <c r="A717" t="s">
        <v>2071</v>
      </c>
      <c r="B717">
        <v>8074</v>
      </c>
      <c r="C717" t="s">
        <v>2072</v>
      </c>
    </row>
    <row r="718" spans="1:3">
      <c r="A718" t="s">
        <v>2073</v>
      </c>
      <c r="B718">
        <v>8075</v>
      </c>
      <c r="C718" t="s">
        <v>2074</v>
      </c>
    </row>
    <row r="719" spans="1:3">
      <c r="A719" t="s">
        <v>2075</v>
      </c>
      <c r="B719">
        <v>8076</v>
      </c>
      <c r="C719" t="s">
        <v>2076</v>
      </c>
    </row>
    <row r="720" spans="1:3">
      <c r="A720" t="s">
        <v>2077</v>
      </c>
      <c r="B720">
        <v>8110</v>
      </c>
      <c r="C720" t="s">
        <v>2078</v>
      </c>
    </row>
    <row r="721" spans="1:3">
      <c r="A721" t="s">
        <v>2079</v>
      </c>
      <c r="B721">
        <v>8111</v>
      </c>
      <c r="C721" t="s">
        <v>2080</v>
      </c>
    </row>
    <row r="722" spans="1:3">
      <c r="A722" t="s">
        <v>2081</v>
      </c>
      <c r="B722">
        <v>8120</v>
      </c>
      <c r="C722" t="s">
        <v>2082</v>
      </c>
    </row>
    <row r="723" spans="1:3">
      <c r="A723" t="s">
        <v>2083</v>
      </c>
      <c r="B723">
        <v>8130</v>
      </c>
      <c r="C723" t="s">
        <v>2084</v>
      </c>
    </row>
    <row r="724" spans="1:3">
      <c r="A724" t="s">
        <v>2085</v>
      </c>
      <c r="B724">
        <v>8131</v>
      </c>
      <c r="C724" t="s">
        <v>2086</v>
      </c>
    </row>
    <row r="725" spans="1:3">
      <c r="A725" t="s">
        <v>2087</v>
      </c>
      <c r="B725">
        <v>8140</v>
      </c>
      <c r="C725" t="s">
        <v>2088</v>
      </c>
    </row>
    <row r="726" spans="1:3">
      <c r="A726" t="s">
        <v>2089</v>
      </c>
      <c r="B726">
        <v>8150</v>
      </c>
      <c r="C726" t="s">
        <v>2090</v>
      </c>
    </row>
    <row r="727" spans="1:3">
      <c r="A727" t="s">
        <v>2091</v>
      </c>
      <c r="B727">
        <v>8170</v>
      </c>
      <c r="C727" t="s">
        <v>2092</v>
      </c>
    </row>
    <row r="728" spans="1:3">
      <c r="A728" t="s">
        <v>2093</v>
      </c>
      <c r="B728">
        <v>8171</v>
      </c>
      <c r="C728" t="s">
        <v>2094</v>
      </c>
    </row>
    <row r="729" spans="1:3">
      <c r="A729" t="s">
        <v>2095</v>
      </c>
      <c r="B729">
        <v>8194</v>
      </c>
      <c r="C729" t="s">
        <v>2096</v>
      </c>
    </row>
    <row r="730" spans="1:3">
      <c r="A730" t="s">
        <v>2097</v>
      </c>
      <c r="B730">
        <v>8199</v>
      </c>
      <c r="C730" t="s">
        <v>2098</v>
      </c>
    </row>
    <row r="731" spans="1:3">
      <c r="A731" t="s">
        <v>2099</v>
      </c>
      <c r="B731">
        <v>8200</v>
      </c>
      <c r="C731" t="s">
        <v>2100</v>
      </c>
    </row>
    <row r="732" spans="1:3">
      <c r="A732" t="s">
        <v>2101</v>
      </c>
      <c r="B732">
        <v>8201</v>
      </c>
      <c r="C732" t="s">
        <v>2102</v>
      </c>
    </row>
    <row r="733" spans="1:3">
      <c r="A733" t="s">
        <v>2103</v>
      </c>
      <c r="B733">
        <v>8204</v>
      </c>
      <c r="C733" t="s">
        <v>2104</v>
      </c>
    </row>
    <row r="734" spans="1:3">
      <c r="A734" t="s">
        <v>2105</v>
      </c>
      <c r="B734">
        <v>8207</v>
      </c>
      <c r="C734" t="s">
        <v>2096</v>
      </c>
    </row>
    <row r="735" spans="1:3">
      <c r="A735" t="s">
        <v>2106</v>
      </c>
      <c r="B735">
        <v>8208</v>
      </c>
      <c r="C735" t="s">
        <v>2096</v>
      </c>
    </row>
    <row r="736" spans="1:3">
      <c r="A736" t="s">
        <v>2107</v>
      </c>
      <c r="B736">
        <v>8209</v>
      </c>
      <c r="C736" t="s">
        <v>2096</v>
      </c>
    </row>
    <row r="737" spans="1:3">
      <c r="A737" t="s">
        <v>2108</v>
      </c>
      <c r="B737">
        <v>8210</v>
      </c>
      <c r="C737" t="s">
        <v>2109</v>
      </c>
    </row>
    <row r="738" spans="1:3">
      <c r="A738" t="s">
        <v>2110</v>
      </c>
      <c r="B738">
        <v>8212</v>
      </c>
      <c r="C738" t="s">
        <v>2096</v>
      </c>
    </row>
    <row r="739" spans="1:3">
      <c r="A739" t="s">
        <v>2111</v>
      </c>
      <c r="B739">
        <v>8213</v>
      </c>
      <c r="C739" t="s">
        <v>2112</v>
      </c>
    </row>
    <row r="740" spans="1:3">
      <c r="A740" t="s">
        <v>2113</v>
      </c>
      <c r="B740">
        <v>8214</v>
      </c>
      <c r="C740" t="s">
        <v>2114</v>
      </c>
    </row>
    <row r="741" spans="1:3">
      <c r="A741" t="s">
        <v>2115</v>
      </c>
      <c r="B741">
        <v>8215</v>
      </c>
      <c r="C741" t="s">
        <v>2116</v>
      </c>
    </row>
    <row r="742" spans="1:3">
      <c r="A742" t="s">
        <v>2117</v>
      </c>
      <c r="B742">
        <v>8216</v>
      </c>
      <c r="C742" t="s">
        <v>2118</v>
      </c>
    </row>
    <row r="743" spans="1:3">
      <c r="A743" t="s">
        <v>2119</v>
      </c>
      <c r="B743">
        <v>8218</v>
      </c>
      <c r="C743" t="s">
        <v>2096</v>
      </c>
    </row>
    <row r="744" spans="1:3">
      <c r="A744" t="s">
        <v>2120</v>
      </c>
      <c r="B744">
        <v>8219</v>
      </c>
      <c r="C744" t="s">
        <v>2121</v>
      </c>
    </row>
    <row r="745" spans="1:3">
      <c r="A745" t="s">
        <v>3370</v>
      </c>
      <c r="B745">
        <v>8220</v>
      </c>
      <c r="C745" t="s">
        <v>2096</v>
      </c>
    </row>
    <row r="746" spans="1:3">
      <c r="A746" t="s">
        <v>2122</v>
      </c>
      <c r="B746">
        <v>8221</v>
      </c>
      <c r="C746" t="s">
        <v>2096</v>
      </c>
    </row>
    <row r="747" spans="1:3">
      <c r="A747" t="s">
        <v>2123</v>
      </c>
      <c r="B747">
        <v>8236</v>
      </c>
      <c r="C747" t="s">
        <v>2124</v>
      </c>
    </row>
    <row r="748" spans="1:3">
      <c r="A748" t="s">
        <v>2125</v>
      </c>
      <c r="B748">
        <v>8238</v>
      </c>
      <c r="C748" t="s">
        <v>2096</v>
      </c>
    </row>
    <row r="749" spans="1:3">
      <c r="A749" t="s">
        <v>2126</v>
      </c>
      <c r="B749">
        <v>8239</v>
      </c>
      <c r="C749" t="s">
        <v>2096</v>
      </c>
    </row>
    <row r="750" spans="1:3">
      <c r="A750" t="s">
        <v>2127</v>
      </c>
      <c r="B750">
        <v>8242</v>
      </c>
      <c r="C750" t="s">
        <v>2128</v>
      </c>
    </row>
    <row r="751" spans="1:3">
      <c r="A751" t="s">
        <v>2129</v>
      </c>
      <c r="B751">
        <v>8247</v>
      </c>
      <c r="C751" t="s">
        <v>2096</v>
      </c>
    </row>
    <row r="752" spans="1:3">
      <c r="A752" t="s">
        <v>2130</v>
      </c>
      <c r="B752">
        <v>8260</v>
      </c>
      <c r="C752" t="s">
        <v>2131</v>
      </c>
    </row>
    <row r="753" spans="1:3">
      <c r="A753" t="s">
        <v>2132</v>
      </c>
      <c r="B753">
        <v>8268</v>
      </c>
      <c r="C753" t="s">
        <v>2133</v>
      </c>
    </row>
    <row r="754" spans="1:3">
      <c r="A754" t="s">
        <v>2134</v>
      </c>
      <c r="B754">
        <v>8720</v>
      </c>
      <c r="C754" t="s">
        <v>2135</v>
      </c>
    </row>
    <row r="755" spans="1:3">
      <c r="A755" t="s">
        <v>2136</v>
      </c>
      <c r="B755">
        <v>8777</v>
      </c>
      <c r="C755" t="s">
        <v>2096</v>
      </c>
    </row>
    <row r="756" spans="1:3">
      <c r="A756" t="s">
        <v>2137</v>
      </c>
      <c r="B756">
        <v>8778</v>
      </c>
      <c r="C756" t="s">
        <v>2096</v>
      </c>
    </row>
    <row r="757" spans="1:3">
      <c r="A757" t="s">
        <v>2138</v>
      </c>
      <c r="B757">
        <v>8799</v>
      </c>
      <c r="C757" t="s">
        <v>2096</v>
      </c>
    </row>
    <row r="758" spans="1:3">
      <c r="A758" t="s">
        <v>2139</v>
      </c>
      <c r="B758">
        <v>8937</v>
      </c>
      <c r="C758" t="s">
        <v>2140</v>
      </c>
    </row>
    <row r="759" spans="1:3">
      <c r="A759" t="s">
        <v>2141</v>
      </c>
      <c r="B759">
        <v>8949</v>
      </c>
      <c r="C759" t="s">
        <v>2142</v>
      </c>
    </row>
    <row r="760" spans="1:3">
      <c r="A760" t="s">
        <v>2143</v>
      </c>
      <c r="B760">
        <v>8951</v>
      </c>
      <c r="C760" t="s">
        <v>2144</v>
      </c>
    </row>
    <row r="761" spans="1:3">
      <c r="A761" t="s">
        <v>2145</v>
      </c>
      <c r="B761">
        <v>8994</v>
      </c>
      <c r="C761" t="s">
        <v>2146</v>
      </c>
    </row>
    <row r="762" spans="1:3">
      <c r="A762" t="s">
        <v>2647</v>
      </c>
      <c r="B762">
        <v>8998</v>
      </c>
      <c r="C762" t="s">
        <v>2648</v>
      </c>
    </row>
    <row r="763" spans="1:3">
      <c r="A763" t="s">
        <v>2147</v>
      </c>
      <c r="B763">
        <v>9010</v>
      </c>
      <c r="C763" t="s">
        <v>2148</v>
      </c>
    </row>
    <row r="764" spans="1:3">
      <c r="A764" t="s">
        <v>2149</v>
      </c>
      <c r="B764">
        <v>9011</v>
      </c>
      <c r="C764" t="s">
        <v>2150</v>
      </c>
    </row>
    <row r="765" spans="1:3">
      <c r="A765" t="s">
        <v>2151</v>
      </c>
      <c r="B765">
        <v>9012</v>
      </c>
      <c r="C765" t="s">
        <v>2152</v>
      </c>
    </row>
    <row r="766" spans="1:3">
      <c r="A766" t="s">
        <v>2153</v>
      </c>
      <c r="B766">
        <v>9013</v>
      </c>
      <c r="C766" t="s">
        <v>2154</v>
      </c>
    </row>
    <row r="767" spans="1:3">
      <c r="A767" t="s">
        <v>2155</v>
      </c>
      <c r="B767">
        <v>9014</v>
      </c>
      <c r="C767" t="s">
        <v>2156</v>
      </c>
    </row>
    <row r="768" spans="1:3">
      <c r="A768" t="s">
        <v>3371</v>
      </c>
      <c r="B768">
        <v>9015</v>
      </c>
      <c r="C768" t="s">
        <v>3372</v>
      </c>
    </row>
    <row r="769" spans="1:3">
      <c r="A769" t="s">
        <v>2157</v>
      </c>
      <c r="B769">
        <v>9016</v>
      </c>
      <c r="C769" t="s">
        <v>2158</v>
      </c>
    </row>
    <row r="770" spans="1:3">
      <c r="A770" t="s">
        <v>2159</v>
      </c>
      <c r="B770">
        <v>9017</v>
      </c>
      <c r="C770" t="s">
        <v>2160</v>
      </c>
    </row>
    <row r="771" spans="1:3">
      <c r="A771" t="s">
        <v>2161</v>
      </c>
      <c r="B771">
        <v>9018</v>
      </c>
      <c r="C771" t="s">
        <v>2162</v>
      </c>
    </row>
    <row r="772" spans="1:3">
      <c r="A772" t="s">
        <v>2883</v>
      </c>
      <c r="B772">
        <v>9019</v>
      </c>
      <c r="C772" t="s">
        <v>2884</v>
      </c>
    </row>
    <row r="773" spans="1:3">
      <c r="A773" t="s">
        <v>2163</v>
      </c>
      <c r="B773">
        <v>9020</v>
      </c>
      <c r="C773" t="s">
        <v>2164</v>
      </c>
    </row>
    <row r="774" spans="1:3">
      <c r="A774" t="s">
        <v>2165</v>
      </c>
      <c r="B774">
        <v>9021</v>
      </c>
      <c r="C774" t="s">
        <v>2166</v>
      </c>
    </row>
    <row r="775" spans="1:3">
      <c r="A775" t="s">
        <v>2167</v>
      </c>
      <c r="B775">
        <v>9022</v>
      </c>
      <c r="C775" t="s">
        <v>2168</v>
      </c>
    </row>
    <row r="776" spans="1:3">
      <c r="A776" t="s">
        <v>2169</v>
      </c>
      <c r="B776">
        <v>9023</v>
      </c>
      <c r="C776" t="s">
        <v>2170</v>
      </c>
    </row>
    <row r="777" spans="1:3">
      <c r="A777" t="s">
        <v>2171</v>
      </c>
      <c r="B777">
        <v>9024</v>
      </c>
      <c r="C777" t="s">
        <v>2172</v>
      </c>
    </row>
    <row r="778" spans="1:3">
      <c r="A778" t="s">
        <v>2981</v>
      </c>
      <c r="B778">
        <v>9025</v>
      </c>
      <c r="C778" t="s">
        <v>2982</v>
      </c>
    </row>
    <row r="779" spans="1:3">
      <c r="A779" t="s">
        <v>2983</v>
      </c>
      <c r="B779">
        <v>9026</v>
      </c>
      <c r="C779" t="s">
        <v>2984</v>
      </c>
    </row>
    <row r="780" spans="1:3">
      <c r="A780" t="s">
        <v>2985</v>
      </c>
      <c r="B780">
        <v>9027</v>
      </c>
      <c r="C780" t="s">
        <v>2986</v>
      </c>
    </row>
    <row r="781" spans="1:3">
      <c r="A781" t="s">
        <v>2885</v>
      </c>
      <c r="B781">
        <v>9028</v>
      </c>
      <c r="C781" t="s">
        <v>2886</v>
      </c>
    </row>
    <row r="782" spans="1:3">
      <c r="A782" t="s">
        <v>3161</v>
      </c>
      <c r="B782">
        <v>9029</v>
      </c>
      <c r="C782" t="s">
        <v>3099</v>
      </c>
    </row>
    <row r="783" spans="1:3">
      <c r="A783" t="s">
        <v>2173</v>
      </c>
      <c r="B783">
        <v>9030</v>
      </c>
      <c r="C783" t="s">
        <v>2174</v>
      </c>
    </row>
    <row r="784" spans="1:3">
      <c r="A784" t="s">
        <v>2175</v>
      </c>
      <c r="B784">
        <v>9031</v>
      </c>
      <c r="C784" t="s">
        <v>2176</v>
      </c>
    </row>
    <row r="785" spans="1:3">
      <c r="A785" t="s">
        <v>2177</v>
      </c>
      <c r="B785">
        <v>9032</v>
      </c>
      <c r="C785" t="s">
        <v>2178</v>
      </c>
    </row>
    <row r="786" spans="1:3">
      <c r="A786" t="s">
        <v>2179</v>
      </c>
      <c r="B786">
        <v>9033</v>
      </c>
      <c r="C786" t="s">
        <v>2180</v>
      </c>
    </row>
    <row r="787" spans="1:3">
      <c r="A787" t="s">
        <v>2181</v>
      </c>
      <c r="B787">
        <v>9034</v>
      </c>
      <c r="C787" t="s">
        <v>2182</v>
      </c>
    </row>
    <row r="788" spans="1:3">
      <c r="A788" t="s">
        <v>2183</v>
      </c>
      <c r="B788">
        <v>9035</v>
      </c>
      <c r="C788" t="s">
        <v>2184</v>
      </c>
    </row>
    <row r="789" spans="1:3">
      <c r="A789" t="s">
        <v>2185</v>
      </c>
      <c r="B789">
        <v>9036</v>
      </c>
      <c r="C789" t="s">
        <v>2186</v>
      </c>
    </row>
    <row r="790" spans="1:3">
      <c r="A790" t="s">
        <v>2987</v>
      </c>
      <c r="B790">
        <v>9037</v>
      </c>
      <c r="C790" t="s">
        <v>2988</v>
      </c>
    </row>
    <row r="791" spans="1:3">
      <c r="A791" t="s">
        <v>2989</v>
      </c>
      <c r="B791">
        <v>9038</v>
      </c>
      <c r="C791" t="s">
        <v>2990</v>
      </c>
    </row>
    <row r="792" spans="1:3">
      <c r="A792" t="s">
        <v>2991</v>
      </c>
      <c r="B792">
        <v>9039</v>
      </c>
      <c r="C792" t="s">
        <v>2992</v>
      </c>
    </row>
    <row r="793" spans="1:3">
      <c r="A793" t="s">
        <v>2187</v>
      </c>
      <c r="B793">
        <v>9040</v>
      </c>
      <c r="C793" t="s">
        <v>2188</v>
      </c>
    </row>
    <row r="794" spans="1:3">
      <c r="A794" t="s">
        <v>2189</v>
      </c>
      <c r="B794">
        <v>9041</v>
      </c>
      <c r="C794" t="s">
        <v>2190</v>
      </c>
    </row>
    <row r="795" spans="1:3">
      <c r="A795" t="s">
        <v>2191</v>
      </c>
      <c r="B795">
        <v>9042</v>
      </c>
      <c r="C795" t="s">
        <v>2192</v>
      </c>
    </row>
    <row r="796" spans="1:3">
      <c r="A796" t="s">
        <v>2193</v>
      </c>
      <c r="B796">
        <v>9043</v>
      </c>
      <c r="C796" t="s">
        <v>2194</v>
      </c>
    </row>
    <row r="797" spans="1:3">
      <c r="A797" t="s">
        <v>2195</v>
      </c>
      <c r="B797">
        <v>9044</v>
      </c>
      <c r="C797" t="s">
        <v>2196</v>
      </c>
    </row>
    <row r="798" spans="1:3">
      <c r="A798" t="s">
        <v>2887</v>
      </c>
      <c r="B798">
        <v>9045</v>
      </c>
      <c r="C798" t="s">
        <v>2888</v>
      </c>
    </row>
    <row r="799" spans="1:3">
      <c r="A799" t="s">
        <v>2993</v>
      </c>
      <c r="B799">
        <v>9046</v>
      </c>
      <c r="C799" t="s">
        <v>2994</v>
      </c>
    </row>
    <row r="800" spans="1:3">
      <c r="A800" t="s">
        <v>3162</v>
      </c>
      <c r="B800">
        <v>9047</v>
      </c>
      <c r="C800" t="s">
        <v>3100</v>
      </c>
    </row>
    <row r="801" spans="1:3">
      <c r="A801" t="s">
        <v>3163</v>
      </c>
      <c r="B801">
        <v>9048</v>
      </c>
      <c r="C801" t="s">
        <v>3101</v>
      </c>
    </row>
    <row r="802" spans="1:3">
      <c r="A802" t="s">
        <v>3373</v>
      </c>
      <c r="B802">
        <v>9049</v>
      </c>
      <c r="C802" t="s">
        <v>3374</v>
      </c>
    </row>
    <row r="803" spans="1:3">
      <c r="A803" t="s">
        <v>2197</v>
      </c>
      <c r="B803">
        <v>9050</v>
      </c>
      <c r="C803" t="s">
        <v>2198</v>
      </c>
    </row>
    <row r="804" spans="1:3">
      <c r="A804" t="s">
        <v>2199</v>
      </c>
      <c r="B804">
        <v>9051</v>
      </c>
      <c r="C804" t="s">
        <v>2200</v>
      </c>
    </row>
    <row r="805" spans="1:3">
      <c r="A805" t="s">
        <v>2201</v>
      </c>
      <c r="B805">
        <v>9052</v>
      </c>
      <c r="C805" t="s">
        <v>2202</v>
      </c>
    </row>
    <row r="806" spans="1:3">
      <c r="A806" t="s">
        <v>2203</v>
      </c>
      <c r="B806">
        <v>9053</v>
      </c>
      <c r="C806" t="s">
        <v>2204</v>
      </c>
    </row>
    <row r="807" spans="1:3">
      <c r="A807" t="s">
        <v>2205</v>
      </c>
      <c r="B807">
        <v>9054</v>
      </c>
      <c r="C807" t="s">
        <v>2206</v>
      </c>
    </row>
    <row r="808" spans="1:3">
      <c r="A808" t="s">
        <v>2207</v>
      </c>
      <c r="B808">
        <v>9055</v>
      </c>
      <c r="C808" t="s">
        <v>2208</v>
      </c>
    </row>
    <row r="809" spans="1:3">
      <c r="A809" t="s">
        <v>2995</v>
      </c>
      <c r="B809">
        <v>9056</v>
      </c>
      <c r="C809" t="s">
        <v>2996</v>
      </c>
    </row>
    <row r="810" spans="1:3">
      <c r="A810" t="s">
        <v>3164</v>
      </c>
      <c r="B810">
        <v>9057</v>
      </c>
      <c r="C810" t="s">
        <v>3102</v>
      </c>
    </row>
    <row r="811" spans="1:3">
      <c r="A811" t="s">
        <v>3375</v>
      </c>
      <c r="B811">
        <v>9058</v>
      </c>
      <c r="C811" t="s">
        <v>3376</v>
      </c>
    </row>
    <row r="812" spans="1:3">
      <c r="A812" t="s">
        <v>3377</v>
      </c>
      <c r="B812">
        <v>9059</v>
      </c>
      <c r="C812" t="s">
        <v>3378</v>
      </c>
    </row>
    <row r="813" spans="1:3">
      <c r="A813" t="s">
        <v>2209</v>
      </c>
      <c r="B813">
        <v>9060</v>
      </c>
      <c r="C813" t="s">
        <v>2210</v>
      </c>
    </row>
    <row r="814" spans="1:3">
      <c r="A814" t="s">
        <v>2211</v>
      </c>
      <c r="B814">
        <v>9061</v>
      </c>
      <c r="C814" t="s">
        <v>2212</v>
      </c>
    </row>
    <row r="815" spans="1:3">
      <c r="A815" t="s">
        <v>3379</v>
      </c>
      <c r="B815">
        <v>9062</v>
      </c>
      <c r="C815" t="s">
        <v>3380</v>
      </c>
    </row>
    <row r="816" spans="1:3">
      <c r="A816" t="s">
        <v>3381</v>
      </c>
      <c r="B816">
        <v>9063</v>
      </c>
      <c r="C816" t="s">
        <v>3333</v>
      </c>
    </row>
    <row r="817" spans="1:3">
      <c r="A817" t="s">
        <v>3382</v>
      </c>
      <c r="B817">
        <v>9064</v>
      </c>
      <c r="C817" t="s">
        <v>3383</v>
      </c>
    </row>
    <row r="818" spans="1:3">
      <c r="A818" t="s">
        <v>3837</v>
      </c>
      <c r="B818">
        <v>9065</v>
      </c>
      <c r="C818" t="s">
        <v>3838</v>
      </c>
    </row>
    <row r="819" spans="1:3">
      <c r="A819" t="s">
        <v>3839</v>
      </c>
      <c r="B819">
        <v>9068</v>
      </c>
      <c r="C819" t="s">
        <v>3840</v>
      </c>
    </row>
    <row r="820" spans="1:3">
      <c r="A820" t="s">
        <v>2213</v>
      </c>
      <c r="B820">
        <v>9070</v>
      </c>
      <c r="C820" t="s">
        <v>2214</v>
      </c>
    </row>
    <row r="821" spans="1:3">
      <c r="A821" t="s">
        <v>3165</v>
      </c>
      <c r="B821">
        <v>9071</v>
      </c>
      <c r="C821" t="s">
        <v>3103</v>
      </c>
    </row>
    <row r="822" spans="1:3">
      <c r="A822" t="s">
        <v>3166</v>
      </c>
      <c r="B822">
        <v>9072</v>
      </c>
      <c r="C822" t="s">
        <v>3104</v>
      </c>
    </row>
    <row r="823" spans="1:3">
      <c r="A823" t="s">
        <v>3384</v>
      </c>
      <c r="B823">
        <v>9073</v>
      </c>
      <c r="C823" t="s">
        <v>3385</v>
      </c>
    </row>
    <row r="824" spans="1:3">
      <c r="A824" t="s">
        <v>3841</v>
      </c>
      <c r="B824">
        <v>9074</v>
      </c>
      <c r="C824" t="s">
        <v>3822</v>
      </c>
    </row>
    <row r="825" spans="1:3">
      <c r="A825" t="s">
        <v>3842</v>
      </c>
      <c r="B825">
        <v>9075</v>
      </c>
      <c r="C825" t="s">
        <v>3843</v>
      </c>
    </row>
    <row r="826" spans="1:3">
      <c r="A826" t="s">
        <v>2215</v>
      </c>
      <c r="B826">
        <v>9080</v>
      </c>
      <c r="C826" t="s">
        <v>2216</v>
      </c>
    </row>
    <row r="827" spans="1:3">
      <c r="A827" t="s">
        <v>2217</v>
      </c>
      <c r="B827">
        <v>9081</v>
      </c>
      <c r="C827" t="s">
        <v>2218</v>
      </c>
    </row>
    <row r="828" spans="1:3">
      <c r="A828" t="s">
        <v>2219</v>
      </c>
      <c r="B828">
        <v>9082</v>
      </c>
      <c r="C828" t="s">
        <v>2220</v>
      </c>
    </row>
    <row r="829" spans="1:3">
      <c r="A829" t="s">
        <v>3844</v>
      </c>
      <c r="B829">
        <v>9083</v>
      </c>
      <c r="C829" t="s">
        <v>3845</v>
      </c>
    </row>
    <row r="830" spans="1:3">
      <c r="A830" t="s">
        <v>2221</v>
      </c>
      <c r="B830">
        <v>9090</v>
      </c>
      <c r="C830" t="s">
        <v>2222</v>
      </c>
    </row>
    <row r="831" spans="1:3">
      <c r="A831" t="s">
        <v>2223</v>
      </c>
      <c r="B831">
        <v>9091</v>
      </c>
      <c r="C831" t="s">
        <v>2224</v>
      </c>
    </row>
    <row r="832" spans="1:3">
      <c r="A832" t="s">
        <v>2225</v>
      </c>
      <c r="B832">
        <v>9092</v>
      </c>
      <c r="C832" t="s">
        <v>2226</v>
      </c>
    </row>
    <row r="833" spans="1:3">
      <c r="A833" t="s">
        <v>3846</v>
      </c>
      <c r="B833">
        <v>9093</v>
      </c>
      <c r="C833" t="s">
        <v>3824</v>
      </c>
    </row>
    <row r="834" spans="1:3">
      <c r="A834" t="s">
        <v>2227</v>
      </c>
      <c r="B834">
        <v>9094</v>
      </c>
      <c r="C834" t="s">
        <v>2228</v>
      </c>
    </row>
    <row r="835" spans="1:3">
      <c r="A835" t="s">
        <v>2229</v>
      </c>
      <c r="B835">
        <v>9095</v>
      </c>
      <c r="C835" t="s">
        <v>2230</v>
      </c>
    </row>
    <row r="836" spans="1:3">
      <c r="A836" t="s">
        <v>3847</v>
      </c>
      <c r="B836">
        <v>9096</v>
      </c>
      <c r="C836" t="s">
        <v>3848</v>
      </c>
    </row>
    <row r="837" spans="1:3">
      <c r="A837" t="s">
        <v>3849</v>
      </c>
      <c r="B837">
        <v>9097</v>
      </c>
      <c r="C837" t="s">
        <v>3850</v>
      </c>
    </row>
    <row r="838" spans="1:3">
      <c r="A838" t="s">
        <v>2231</v>
      </c>
      <c r="B838">
        <v>9100</v>
      </c>
      <c r="C838" t="s">
        <v>2232</v>
      </c>
    </row>
    <row r="839" spans="1:3">
      <c r="A839" t="s">
        <v>2233</v>
      </c>
      <c r="B839">
        <v>9101</v>
      </c>
      <c r="C839" t="s">
        <v>2234</v>
      </c>
    </row>
    <row r="840" spans="1:3">
      <c r="A840" t="s">
        <v>2235</v>
      </c>
      <c r="B840">
        <v>9102</v>
      </c>
      <c r="C840" t="s">
        <v>2236</v>
      </c>
    </row>
    <row r="841" spans="1:3">
      <c r="A841" t="s">
        <v>2237</v>
      </c>
      <c r="B841">
        <v>9103</v>
      </c>
      <c r="C841" t="s">
        <v>2238</v>
      </c>
    </row>
    <row r="842" spans="1:3">
      <c r="A842" t="s">
        <v>2239</v>
      </c>
      <c r="B842">
        <v>9104</v>
      </c>
      <c r="C842" t="s">
        <v>2240</v>
      </c>
    </row>
    <row r="843" spans="1:3">
      <c r="A843" t="s">
        <v>2241</v>
      </c>
      <c r="B843">
        <v>9105</v>
      </c>
      <c r="C843" t="s">
        <v>2242</v>
      </c>
    </row>
    <row r="844" spans="1:3">
      <c r="A844" t="s">
        <v>2243</v>
      </c>
      <c r="B844">
        <v>9106</v>
      </c>
      <c r="C844" t="s">
        <v>2244</v>
      </c>
    </row>
    <row r="845" spans="1:3">
      <c r="A845" t="s">
        <v>2245</v>
      </c>
      <c r="B845">
        <v>9107</v>
      </c>
      <c r="C845" t="s">
        <v>2246</v>
      </c>
    </row>
    <row r="846" spans="1:3">
      <c r="A846" t="s">
        <v>2247</v>
      </c>
      <c r="B846">
        <v>9110</v>
      </c>
      <c r="C846" t="s">
        <v>2248</v>
      </c>
    </row>
    <row r="847" spans="1:3">
      <c r="A847" t="s">
        <v>2249</v>
      </c>
      <c r="B847">
        <v>9112</v>
      </c>
      <c r="C847" t="s">
        <v>2250</v>
      </c>
    </row>
    <row r="848" spans="1:3">
      <c r="A848" t="s">
        <v>2251</v>
      </c>
      <c r="B848">
        <v>9113</v>
      </c>
      <c r="C848" t="s">
        <v>2252</v>
      </c>
    </row>
    <row r="849" spans="1:3">
      <c r="A849" t="s">
        <v>2253</v>
      </c>
      <c r="B849">
        <v>9114</v>
      </c>
      <c r="C849" t="s">
        <v>2254</v>
      </c>
    </row>
    <row r="850" spans="1:3">
      <c r="A850" t="s">
        <v>2255</v>
      </c>
      <c r="B850">
        <v>9117</v>
      </c>
      <c r="C850" t="s">
        <v>2256</v>
      </c>
    </row>
    <row r="851" spans="1:3">
      <c r="A851" t="s">
        <v>2997</v>
      </c>
      <c r="B851">
        <v>9119</v>
      </c>
      <c r="C851" t="s">
        <v>2998</v>
      </c>
    </row>
    <row r="852" spans="1:3">
      <c r="A852" t="s">
        <v>2257</v>
      </c>
      <c r="B852">
        <v>9120</v>
      </c>
      <c r="C852" t="s">
        <v>2258</v>
      </c>
    </row>
    <row r="853" spans="1:3">
      <c r="A853" t="s">
        <v>2259</v>
      </c>
      <c r="B853">
        <v>9121</v>
      </c>
      <c r="C853" t="s">
        <v>2260</v>
      </c>
    </row>
    <row r="854" spans="1:3">
      <c r="A854" t="s">
        <v>2261</v>
      </c>
      <c r="B854">
        <v>9130</v>
      </c>
      <c r="C854" t="s">
        <v>2262</v>
      </c>
    </row>
    <row r="855" spans="1:3">
      <c r="A855" t="s">
        <v>2263</v>
      </c>
      <c r="B855">
        <v>9131</v>
      </c>
      <c r="C855" t="s">
        <v>2264</v>
      </c>
    </row>
    <row r="856" spans="1:3">
      <c r="A856" t="s">
        <v>2265</v>
      </c>
      <c r="B856">
        <v>9140</v>
      </c>
      <c r="C856" t="s">
        <v>2266</v>
      </c>
    </row>
    <row r="857" spans="1:3">
      <c r="A857" t="s">
        <v>2267</v>
      </c>
      <c r="B857">
        <v>9141</v>
      </c>
      <c r="C857" t="s">
        <v>2268</v>
      </c>
    </row>
    <row r="858" spans="1:3">
      <c r="A858" t="s">
        <v>2269</v>
      </c>
      <c r="B858">
        <v>9142</v>
      </c>
      <c r="C858" t="s">
        <v>2270</v>
      </c>
    </row>
    <row r="859" spans="1:3">
      <c r="A859" t="s">
        <v>2271</v>
      </c>
      <c r="B859">
        <v>9143</v>
      </c>
      <c r="C859" t="s">
        <v>2272</v>
      </c>
    </row>
    <row r="860" spans="1:3">
      <c r="A860" t="s">
        <v>2273</v>
      </c>
      <c r="B860">
        <v>9150</v>
      </c>
      <c r="C860" t="s">
        <v>2274</v>
      </c>
    </row>
    <row r="861" spans="1:3">
      <c r="A861" t="s">
        <v>2275</v>
      </c>
      <c r="B861">
        <v>9151</v>
      </c>
      <c r="C861" t="s">
        <v>2276</v>
      </c>
    </row>
    <row r="862" spans="1:3">
      <c r="A862" t="s">
        <v>2277</v>
      </c>
      <c r="B862">
        <v>9154</v>
      </c>
      <c r="C862" t="s">
        <v>2278</v>
      </c>
    </row>
    <row r="863" spans="1:3">
      <c r="A863" t="s">
        <v>2279</v>
      </c>
      <c r="B863">
        <v>9155</v>
      </c>
      <c r="C863" t="s">
        <v>2280</v>
      </c>
    </row>
    <row r="864" spans="1:3">
      <c r="A864" t="s">
        <v>2281</v>
      </c>
      <c r="B864">
        <v>9156</v>
      </c>
      <c r="C864" t="s">
        <v>2282</v>
      </c>
    </row>
    <row r="865" spans="1:3">
      <c r="A865" t="s">
        <v>2736</v>
      </c>
      <c r="B865">
        <v>9159</v>
      </c>
      <c r="C865" t="s">
        <v>2737</v>
      </c>
    </row>
    <row r="866" spans="1:3">
      <c r="A866" t="s">
        <v>2283</v>
      </c>
      <c r="B866">
        <v>9160</v>
      </c>
      <c r="C866" t="s">
        <v>2284</v>
      </c>
    </row>
    <row r="867" spans="1:3">
      <c r="A867" t="s">
        <v>2285</v>
      </c>
      <c r="B867">
        <v>9161</v>
      </c>
      <c r="C867" t="s">
        <v>2286</v>
      </c>
    </row>
    <row r="868" spans="1:3">
      <c r="A868" t="s">
        <v>2287</v>
      </c>
      <c r="B868">
        <v>9163</v>
      </c>
      <c r="C868" t="s">
        <v>2288</v>
      </c>
    </row>
    <row r="869" spans="1:3">
      <c r="A869" t="s">
        <v>2289</v>
      </c>
      <c r="B869">
        <v>9166</v>
      </c>
      <c r="C869" t="s">
        <v>2290</v>
      </c>
    </row>
    <row r="870" spans="1:3">
      <c r="A870" t="s">
        <v>2291</v>
      </c>
      <c r="B870">
        <v>9168</v>
      </c>
      <c r="C870" t="s">
        <v>2292</v>
      </c>
    </row>
    <row r="871" spans="1:3">
      <c r="A871" t="s">
        <v>2649</v>
      </c>
      <c r="B871">
        <v>9170</v>
      </c>
      <c r="C871" t="s">
        <v>2650</v>
      </c>
    </row>
    <row r="872" spans="1:3">
      <c r="A872" t="s">
        <v>2999</v>
      </c>
      <c r="B872">
        <v>9172</v>
      </c>
      <c r="C872" t="s">
        <v>3000</v>
      </c>
    </row>
    <row r="873" spans="1:3">
      <c r="A873" t="s">
        <v>2293</v>
      </c>
      <c r="B873">
        <v>9180</v>
      </c>
      <c r="C873" t="s">
        <v>2294</v>
      </c>
    </row>
    <row r="874" spans="1:3">
      <c r="A874" t="s">
        <v>2295</v>
      </c>
      <c r="B874">
        <v>9190</v>
      </c>
      <c r="C874" t="s">
        <v>2296</v>
      </c>
    </row>
    <row r="875" spans="1:3">
      <c r="A875" t="s">
        <v>2297</v>
      </c>
      <c r="B875">
        <v>9191</v>
      </c>
      <c r="C875" t="s">
        <v>2298</v>
      </c>
    </row>
    <row r="876" spans="1:3">
      <c r="A876" t="s">
        <v>2299</v>
      </c>
      <c r="B876">
        <v>9194</v>
      </c>
      <c r="C876" t="s">
        <v>2300</v>
      </c>
    </row>
    <row r="877" spans="1:3">
      <c r="A877" t="s">
        <v>2301</v>
      </c>
      <c r="B877">
        <v>9199</v>
      </c>
      <c r="C877" t="s">
        <v>2302</v>
      </c>
    </row>
    <row r="878" spans="1:3">
      <c r="A878" t="s">
        <v>2303</v>
      </c>
      <c r="B878">
        <v>9200</v>
      </c>
      <c r="C878" t="s">
        <v>2304</v>
      </c>
    </row>
    <row r="879" spans="1:3">
      <c r="A879" t="s">
        <v>2305</v>
      </c>
      <c r="B879">
        <v>9201</v>
      </c>
      <c r="C879" t="s">
        <v>2306</v>
      </c>
    </row>
    <row r="880" spans="1:3">
      <c r="A880" t="s">
        <v>2307</v>
      </c>
      <c r="B880">
        <v>9202</v>
      </c>
      <c r="C880" t="s">
        <v>2308</v>
      </c>
    </row>
    <row r="881" spans="1:3">
      <c r="A881" t="s">
        <v>2889</v>
      </c>
      <c r="B881">
        <v>9210</v>
      </c>
      <c r="C881" t="s">
        <v>2890</v>
      </c>
    </row>
    <row r="882" spans="1:3">
      <c r="A882" t="s">
        <v>2309</v>
      </c>
      <c r="B882">
        <v>9220</v>
      </c>
      <c r="C882" t="s">
        <v>2310</v>
      </c>
    </row>
    <row r="883" spans="1:3">
      <c r="A883" t="s">
        <v>2311</v>
      </c>
      <c r="B883">
        <v>9221</v>
      </c>
      <c r="C883" t="s">
        <v>2312</v>
      </c>
    </row>
    <row r="884" spans="1:3">
      <c r="A884" t="s">
        <v>2313</v>
      </c>
      <c r="B884">
        <v>9222</v>
      </c>
      <c r="C884" t="s">
        <v>2314</v>
      </c>
    </row>
    <row r="885" spans="1:3">
      <c r="A885" t="s">
        <v>2315</v>
      </c>
      <c r="B885">
        <v>9223</v>
      </c>
      <c r="C885" t="s">
        <v>2316</v>
      </c>
    </row>
    <row r="886" spans="1:3">
      <c r="A886" t="s">
        <v>2317</v>
      </c>
      <c r="B886">
        <v>9224</v>
      </c>
      <c r="C886" t="s">
        <v>2318</v>
      </c>
    </row>
    <row r="887" spans="1:3">
      <c r="A887" t="s">
        <v>2319</v>
      </c>
      <c r="B887">
        <v>9225</v>
      </c>
      <c r="C887" t="s">
        <v>2320</v>
      </c>
    </row>
    <row r="888" spans="1:3">
      <c r="A888" t="s">
        <v>2321</v>
      </c>
      <c r="B888">
        <v>9226</v>
      </c>
      <c r="C888" t="s">
        <v>2322</v>
      </c>
    </row>
    <row r="889" spans="1:3">
      <c r="A889" t="s">
        <v>2323</v>
      </c>
      <c r="B889">
        <v>9227</v>
      </c>
      <c r="C889" t="s">
        <v>2324</v>
      </c>
    </row>
    <row r="890" spans="1:3">
      <c r="A890" t="s">
        <v>2325</v>
      </c>
      <c r="B890">
        <v>9228</v>
      </c>
      <c r="C890" t="s">
        <v>2326</v>
      </c>
    </row>
    <row r="891" spans="1:3">
      <c r="A891" t="s">
        <v>2327</v>
      </c>
      <c r="B891">
        <v>9240</v>
      </c>
      <c r="C891" t="s">
        <v>2328</v>
      </c>
    </row>
    <row r="892" spans="1:3">
      <c r="A892" t="s">
        <v>2329</v>
      </c>
      <c r="B892">
        <v>9250</v>
      </c>
      <c r="C892" t="s">
        <v>2330</v>
      </c>
    </row>
    <row r="893" spans="1:3">
      <c r="A893" t="s">
        <v>2331</v>
      </c>
      <c r="B893">
        <v>9251</v>
      </c>
      <c r="C893" t="s">
        <v>2332</v>
      </c>
    </row>
    <row r="894" spans="1:3">
      <c r="A894" t="s">
        <v>2333</v>
      </c>
      <c r="B894">
        <v>9253</v>
      </c>
      <c r="C894" t="s">
        <v>2334</v>
      </c>
    </row>
    <row r="895" spans="1:3">
      <c r="A895" t="s">
        <v>2335</v>
      </c>
      <c r="B895">
        <v>9254</v>
      </c>
      <c r="C895" t="s">
        <v>2336</v>
      </c>
    </row>
    <row r="896" spans="1:3">
      <c r="A896" t="s">
        <v>2337</v>
      </c>
      <c r="B896">
        <v>9255</v>
      </c>
      <c r="C896" t="s">
        <v>2338</v>
      </c>
    </row>
    <row r="897" spans="1:3">
      <c r="A897" t="s">
        <v>2339</v>
      </c>
      <c r="B897">
        <v>9256</v>
      </c>
      <c r="C897" t="s">
        <v>2340</v>
      </c>
    </row>
    <row r="898" spans="1:3">
      <c r="A898" t="s">
        <v>2341</v>
      </c>
      <c r="B898">
        <v>9260</v>
      </c>
      <c r="C898" t="s">
        <v>2342</v>
      </c>
    </row>
    <row r="899" spans="1:3">
      <c r="A899" t="s">
        <v>2343</v>
      </c>
      <c r="B899">
        <v>9261</v>
      </c>
      <c r="C899" t="s">
        <v>2344</v>
      </c>
    </row>
    <row r="900" spans="1:3">
      <c r="A900" t="s">
        <v>2345</v>
      </c>
      <c r="B900">
        <v>9262</v>
      </c>
      <c r="C900" t="s">
        <v>2346</v>
      </c>
    </row>
    <row r="901" spans="1:3">
      <c r="A901" t="s">
        <v>2347</v>
      </c>
      <c r="B901">
        <v>9270</v>
      </c>
      <c r="C901" t="s">
        <v>2348</v>
      </c>
    </row>
    <row r="902" spans="1:3">
      <c r="A902" t="s">
        <v>2349</v>
      </c>
      <c r="B902">
        <v>9271</v>
      </c>
      <c r="C902" t="s">
        <v>2350</v>
      </c>
    </row>
    <row r="903" spans="1:3">
      <c r="A903" t="s">
        <v>2351</v>
      </c>
      <c r="B903">
        <v>9272</v>
      </c>
      <c r="C903" t="s">
        <v>2352</v>
      </c>
    </row>
    <row r="904" spans="1:3">
      <c r="A904" t="s">
        <v>2353</v>
      </c>
      <c r="B904">
        <v>9280</v>
      </c>
      <c r="C904" t="s">
        <v>2354</v>
      </c>
    </row>
    <row r="905" spans="1:3">
      <c r="A905" t="s">
        <v>2355</v>
      </c>
      <c r="B905">
        <v>9281</v>
      </c>
      <c r="C905" t="s">
        <v>2354</v>
      </c>
    </row>
    <row r="906" spans="1:3">
      <c r="A906" t="s">
        <v>2356</v>
      </c>
      <c r="B906">
        <v>9282</v>
      </c>
      <c r="C906" t="s">
        <v>2357</v>
      </c>
    </row>
    <row r="907" spans="1:3">
      <c r="A907" t="s">
        <v>2358</v>
      </c>
      <c r="B907">
        <v>9300</v>
      </c>
      <c r="C907" t="s">
        <v>2359</v>
      </c>
    </row>
    <row r="908" spans="1:3">
      <c r="A908" t="s">
        <v>2360</v>
      </c>
      <c r="B908">
        <v>9301</v>
      </c>
      <c r="C908" t="s">
        <v>2361</v>
      </c>
    </row>
    <row r="909" spans="1:3">
      <c r="A909" t="s">
        <v>2362</v>
      </c>
      <c r="B909">
        <v>9302</v>
      </c>
      <c r="C909" t="s">
        <v>2363</v>
      </c>
    </row>
    <row r="910" spans="1:3">
      <c r="A910" t="s">
        <v>2364</v>
      </c>
      <c r="B910">
        <v>9307</v>
      </c>
      <c r="C910" t="s">
        <v>2365</v>
      </c>
    </row>
    <row r="911" spans="1:3">
      <c r="A911" t="s">
        <v>2366</v>
      </c>
      <c r="B911">
        <v>9310</v>
      </c>
      <c r="C911" t="s">
        <v>2367</v>
      </c>
    </row>
    <row r="912" spans="1:3">
      <c r="A912" t="s">
        <v>2368</v>
      </c>
      <c r="B912">
        <v>9311</v>
      </c>
      <c r="C912" t="s">
        <v>2369</v>
      </c>
    </row>
    <row r="913" spans="1:3">
      <c r="A913" t="s">
        <v>2370</v>
      </c>
      <c r="B913">
        <v>9312</v>
      </c>
      <c r="C913" t="s">
        <v>2371</v>
      </c>
    </row>
    <row r="914" spans="1:3">
      <c r="A914" t="s">
        <v>2372</v>
      </c>
      <c r="B914">
        <v>9320</v>
      </c>
      <c r="C914" t="s">
        <v>2373</v>
      </c>
    </row>
    <row r="915" spans="1:3">
      <c r="A915" t="s">
        <v>2374</v>
      </c>
      <c r="B915">
        <v>9321</v>
      </c>
      <c r="C915" t="s">
        <v>2375</v>
      </c>
    </row>
    <row r="916" spans="1:3">
      <c r="A916" t="s">
        <v>2376</v>
      </c>
      <c r="B916">
        <v>9322</v>
      </c>
      <c r="C916" t="s">
        <v>2377</v>
      </c>
    </row>
    <row r="917" spans="1:3">
      <c r="A917" t="s">
        <v>2378</v>
      </c>
      <c r="B917">
        <v>9330</v>
      </c>
      <c r="C917" t="s">
        <v>2379</v>
      </c>
    </row>
    <row r="918" spans="1:3">
      <c r="A918" t="s">
        <v>2380</v>
      </c>
      <c r="B918">
        <v>9331</v>
      </c>
      <c r="C918" t="s">
        <v>2381</v>
      </c>
    </row>
    <row r="919" spans="1:3">
      <c r="A919" t="s">
        <v>2382</v>
      </c>
      <c r="B919">
        <v>9332</v>
      </c>
      <c r="C919" t="s">
        <v>2383</v>
      </c>
    </row>
    <row r="920" spans="1:3">
      <c r="A920" t="s">
        <v>2384</v>
      </c>
      <c r="B920">
        <v>9340</v>
      </c>
      <c r="C920" t="s">
        <v>2385</v>
      </c>
    </row>
    <row r="921" spans="1:3">
      <c r="A921" t="s">
        <v>2386</v>
      </c>
      <c r="B921">
        <v>9341</v>
      </c>
      <c r="C921" t="s">
        <v>2387</v>
      </c>
    </row>
    <row r="922" spans="1:3">
      <c r="A922" t="s">
        <v>2388</v>
      </c>
      <c r="B922">
        <v>9350</v>
      </c>
      <c r="C922" t="s">
        <v>2389</v>
      </c>
    </row>
    <row r="923" spans="1:3">
      <c r="A923" t="s">
        <v>2390</v>
      </c>
      <c r="B923">
        <v>9351</v>
      </c>
      <c r="C923" t="s">
        <v>2391</v>
      </c>
    </row>
    <row r="924" spans="1:3">
      <c r="A924" t="s">
        <v>2392</v>
      </c>
      <c r="B924">
        <v>9352</v>
      </c>
      <c r="C924" t="s">
        <v>2393</v>
      </c>
    </row>
    <row r="925" spans="1:3">
      <c r="A925" t="s">
        <v>2394</v>
      </c>
      <c r="B925">
        <v>9360</v>
      </c>
      <c r="C925" t="s">
        <v>2395</v>
      </c>
    </row>
    <row r="926" spans="1:3">
      <c r="A926" t="s">
        <v>2396</v>
      </c>
      <c r="B926">
        <v>9362</v>
      </c>
      <c r="C926" t="s">
        <v>1872</v>
      </c>
    </row>
    <row r="927" spans="1:3">
      <c r="A927" t="s">
        <v>2651</v>
      </c>
      <c r="B927">
        <v>9366</v>
      </c>
      <c r="C927" t="s">
        <v>2652</v>
      </c>
    </row>
    <row r="928" spans="1:3">
      <c r="A928" t="s">
        <v>2397</v>
      </c>
      <c r="B928">
        <v>9370</v>
      </c>
      <c r="C928" t="s">
        <v>2398</v>
      </c>
    </row>
    <row r="929" spans="1:3">
      <c r="A929" t="s">
        <v>2399</v>
      </c>
      <c r="B929">
        <v>9380</v>
      </c>
      <c r="C929" t="s">
        <v>2400</v>
      </c>
    </row>
    <row r="930" spans="1:3">
      <c r="A930" t="s">
        <v>2401</v>
      </c>
      <c r="B930">
        <v>9390</v>
      </c>
      <c r="C930" t="s">
        <v>2402</v>
      </c>
    </row>
    <row r="931" spans="1:3">
      <c r="A931" t="s">
        <v>2403</v>
      </c>
      <c r="B931">
        <v>9400</v>
      </c>
      <c r="C931" t="s">
        <v>2404</v>
      </c>
    </row>
    <row r="932" spans="1:3">
      <c r="A932" t="s">
        <v>2405</v>
      </c>
      <c r="B932">
        <v>9401</v>
      </c>
      <c r="C932" t="s">
        <v>2406</v>
      </c>
    </row>
    <row r="933" spans="1:3">
      <c r="A933" t="s">
        <v>2407</v>
      </c>
      <c r="B933">
        <v>9402</v>
      </c>
      <c r="C933" t="s">
        <v>2408</v>
      </c>
    </row>
    <row r="934" spans="1:3">
      <c r="A934" t="s">
        <v>2409</v>
      </c>
      <c r="B934">
        <v>9403</v>
      </c>
      <c r="C934" t="s">
        <v>2410</v>
      </c>
    </row>
    <row r="935" spans="1:3">
      <c r="A935" t="s">
        <v>2411</v>
      </c>
      <c r="B935">
        <v>9404</v>
      </c>
      <c r="C935" t="s">
        <v>2412</v>
      </c>
    </row>
    <row r="936" spans="1:3">
      <c r="A936" t="s">
        <v>2413</v>
      </c>
      <c r="B936">
        <v>9409</v>
      </c>
      <c r="C936" t="s">
        <v>2414</v>
      </c>
    </row>
    <row r="937" spans="1:3">
      <c r="A937" t="s">
        <v>2415</v>
      </c>
      <c r="B937">
        <v>9410</v>
      </c>
      <c r="C937" t="s">
        <v>2416</v>
      </c>
    </row>
    <row r="938" spans="1:3">
      <c r="A938" t="s">
        <v>2417</v>
      </c>
      <c r="B938">
        <v>9420</v>
      </c>
      <c r="C938" t="s">
        <v>2418</v>
      </c>
    </row>
    <row r="939" spans="1:3">
      <c r="A939" t="s">
        <v>2419</v>
      </c>
      <c r="B939">
        <v>9430</v>
      </c>
      <c r="C939" t="s">
        <v>2420</v>
      </c>
    </row>
    <row r="940" spans="1:3">
      <c r="A940" t="s">
        <v>2421</v>
      </c>
      <c r="B940">
        <v>9431</v>
      </c>
      <c r="C940" t="s">
        <v>2422</v>
      </c>
    </row>
    <row r="941" spans="1:3">
      <c r="A941" t="s">
        <v>2423</v>
      </c>
      <c r="B941">
        <v>9440</v>
      </c>
      <c r="C941" t="s">
        <v>2424</v>
      </c>
    </row>
    <row r="942" spans="1:3">
      <c r="A942" t="s">
        <v>2425</v>
      </c>
      <c r="B942">
        <v>9450</v>
      </c>
      <c r="C942" t="s">
        <v>2426</v>
      </c>
    </row>
    <row r="943" spans="1:3">
      <c r="A943" t="s">
        <v>2427</v>
      </c>
      <c r="B943">
        <v>9454</v>
      </c>
      <c r="C943" t="s">
        <v>2428</v>
      </c>
    </row>
    <row r="944" spans="1:3">
      <c r="A944" t="s">
        <v>2429</v>
      </c>
      <c r="B944">
        <v>9460</v>
      </c>
      <c r="C944" t="s">
        <v>2430</v>
      </c>
    </row>
    <row r="945" spans="1:3">
      <c r="A945" t="s">
        <v>2431</v>
      </c>
      <c r="B945">
        <v>9461</v>
      </c>
      <c r="C945" t="s">
        <v>2432</v>
      </c>
    </row>
    <row r="946" spans="1:3">
      <c r="A946" t="s">
        <v>2433</v>
      </c>
      <c r="B946">
        <v>9470</v>
      </c>
      <c r="C946" t="s">
        <v>2434</v>
      </c>
    </row>
    <row r="947" spans="1:3">
      <c r="A947" t="s">
        <v>2435</v>
      </c>
      <c r="B947">
        <v>9471</v>
      </c>
      <c r="C947" t="s">
        <v>2436</v>
      </c>
    </row>
    <row r="948" spans="1:3">
      <c r="A948" t="s">
        <v>3001</v>
      </c>
      <c r="B948">
        <v>9480</v>
      </c>
      <c r="C948" t="s">
        <v>3002</v>
      </c>
    </row>
    <row r="949" spans="1:3">
      <c r="A949" t="s">
        <v>2437</v>
      </c>
      <c r="B949">
        <v>9490</v>
      </c>
      <c r="C949" t="s">
        <v>2438</v>
      </c>
    </row>
    <row r="950" spans="1:3">
      <c r="A950" t="s">
        <v>3386</v>
      </c>
      <c r="B950">
        <v>9491</v>
      </c>
      <c r="C950" t="s">
        <v>3387</v>
      </c>
    </row>
    <row r="951" spans="1:3">
      <c r="A951" t="s">
        <v>2439</v>
      </c>
      <c r="B951">
        <v>9500</v>
      </c>
      <c r="C951" t="s">
        <v>2440</v>
      </c>
    </row>
    <row r="952" spans="1:3">
      <c r="A952" t="s">
        <v>2441</v>
      </c>
      <c r="B952">
        <v>9510</v>
      </c>
      <c r="C952" t="s">
        <v>2442</v>
      </c>
    </row>
    <row r="953" spans="1:3">
      <c r="A953" t="s">
        <v>2443</v>
      </c>
      <c r="B953">
        <v>9511</v>
      </c>
      <c r="C953" t="s">
        <v>2444</v>
      </c>
    </row>
    <row r="954" spans="1:3">
      <c r="A954" t="s">
        <v>2445</v>
      </c>
      <c r="B954">
        <v>9512</v>
      </c>
      <c r="C954" t="s">
        <v>2446</v>
      </c>
    </row>
    <row r="955" spans="1:3">
      <c r="A955" t="s">
        <v>2447</v>
      </c>
      <c r="B955">
        <v>9513</v>
      </c>
      <c r="C955" t="s">
        <v>2448</v>
      </c>
    </row>
    <row r="956" spans="1:3">
      <c r="A956" t="s">
        <v>2449</v>
      </c>
      <c r="B956">
        <v>9520</v>
      </c>
      <c r="C956" t="s">
        <v>2450</v>
      </c>
    </row>
    <row r="957" spans="1:3">
      <c r="A957" t="s">
        <v>2451</v>
      </c>
      <c r="B957">
        <v>9530</v>
      </c>
      <c r="C957" t="s">
        <v>3003</v>
      </c>
    </row>
    <row r="958" spans="1:3">
      <c r="A958" t="s">
        <v>2452</v>
      </c>
      <c r="B958">
        <v>9540</v>
      </c>
      <c r="C958" t="s">
        <v>2453</v>
      </c>
    </row>
    <row r="959" spans="1:3">
      <c r="A959" t="s">
        <v>2454</v>
      </c>
      <c r="B959">
        <v>9550</v>
      </c>
      <c r="C959" t="s">
        <v>2455</v>
      </c>
    </row>
    <row r="960" spans="1:3">
      <c r="A960" t="s">
        <v>2456</v>
      </c>
      <c r="B960">
        <v>9570</v>
      </c>
      <c r="C960" t="s">
        <v>2457</v>
      </c>
    </row>
    <row r="961" spans="1:3">
      <c r="A961" t="s">
        <v>3004</v>
      </c>
      <c r="B961">
        <v>9580</v>
      </c>
      <c r="C961" t="s">
        <v>3005</v>
      </c>
    </row>
    <row r="962" spans="1:3">
      <c r="A962" t="s">
        <v>2458</v>
      </c>
      <c r="B962">
        <v>9590</v>
      </c>
      <c r="C962" t="s">
        <v>2459</v>
      </c>
    </row>
    <row r="963" spans="1:3">
      <c r="A963" t="s">
        <v>2460</v>
      </c>
      <c r="B963">
        <v>9600</v>
      </c>
      <c r="C963" t="s">
        <v>2461</v>
      </c>
    </row>
    <row r="964" spans="1:3">
      <c r="A964" t="s">
        <v>2462</v>
      </c>
      <c r="B964">
        <v>9601</v>
      </c>
      <c r="C964" t="s">
        <v>2463</v>
      </c>
    </row>
    <row r="965" spans="1:3">
      <c r="A965" t="s">
        <v>2653</v>
      </c>
      <c r="B965">
        <v>9616</v>
      </c>
      <c r="C965" t="s">
        <v>2654</v>
      </c>
    </row>
    <row r="966" spans="1:3">
      <c r="A966" t="s">
        <v>2464</v>
      </c>
      <c r="B966">
        <v>9630</v>
      </c>
      <c r="C966" t="s">
        <v>2465</v>
      </c>
    </row>
    <row r="967" spans="1:3">
      <c r="A967" t="s">
        <v>2466</v>
      </c>
      <c r="B967">
        <v>9640</v>
      </c>
      <c r="C967" t="s">
        <v>2467</v>
      </c>
    </row>
    <row r="968" spans="1:3">
      <c r="A968" t="s">
        <v>2468</v>
      </c>
      <c r="B968">
        <v>9650</v>
      </c>
      <c r="C968" t="s">
        <v>2469</v>
      </c>
    </row>
    <row r="969" spans="1:3">
      <c r="A969" t="s">
        <v>2470</v>
      </c>
      <c r="B969">
        <v>9660</v>
      </c>
      <c r="C969" t="s">
        <v>2471</v>
      </c>
    </row>
    <row r="970" spans="1:3">
      <c r="A970" t="s">
        <v>2738</v>
      </c>
      <c r="B970">
        <v>9670</v>
      </c>
      <c r="C970" t="s">
        <v>2739</v>
      </c>
    </row>
    <row r="971" spans="1:3">
      <c r="A971" t="s">
        <v>2740</v>
      </c>
      <c r="B971">
        <v>9680</v>
      </c>
      <c r="C971" t="s">
        <v>2741</v>
      </c>
    </row>
    <row r="972" spans="1:3">
      <c r="A972" t="s">
        <v>2742</v>
      </c>
      <c r="B972">
        <v>9690</v>
      </c>
      <c r="C972" t="s">
        <v>2743</v>
      </c>
    </row>
    <row r="973" spans="1:3">
      <c r="A973" t="s">
        <v>2472</v>
      </c>
      <c r="B973">
        <v>9700</v>
      </c>
      <c r="C973" t="s">
        <v>2473</v>
      </c>
    </row>
    <row r="974" spans="1:3">
      <c r="A974" t="s">
        <v>2744</v>
      </c>
      <c r="B974">
        <v>9710</v>
      </c>
      <c r="C974" t="s">
        <v>2745</v>
      </c>
    </row>
    <row r="975" spans="1:3">
      <c r="A975" t="s">
        <v>3006</v>
      </c>
      <c r="B975">
        <v>9730</v>
      </c>
      <c r="C975" t="s">
        <v>3007</v>
      </c>
    </row>
    <row r="976" spans="1:3">
      <c r="A976" t="s">
        <v>3008</v>
      </c>
      <c r="B976">
        <v>9740</v>
      </c>
      <c r="C976" t="s">
        <v>3009</v>
      </c>
    </row>
    <row r="977" spans="1:3">
      <c r="A977" t="s">
        <v>2474</v>
      </c>
      <c r="B977">
        <v>9750</v>
      </c>
      <c r="C977" t="s">
        <v>2475</v>
      </c>
    </row>
    <row r="978" spans="1:3">
      <c r="A978" t="s">
        <v>2476</v>
      </c>
      <c r="B978">
        <v>9765</v>
      </c>
      <c r="C978" t="s">
        <v>2477</v>
      </c>
    </row>
    <row r="979" spans="1:3">
      <c r="A979" t="s">
        <v>2478</v>
      </c>
      <c r="B979">
        <v>9770</v>
      </c>
      <c r="C979" t="s">
        <v>2479</v>
      </c>
    </row>
    <row r="980" spans="1:3">
      <c r="A980" t="s">
        <v>2746</v>
      </c>
      <c r="B980">
        <v>9780</v>
      </c>
      <c r="C980" t="s">
        <v>2747</v>
      </c>
    </row>
    <row r="981" spans="1:3">
      <c r="A981" t="s">
        <v>2748</v>
      </c>
      <c r="B981">
        <v>9790</v>
      </c>
      <c r="C981" t="s">
        <v>2749</v>
      </c>
    </row>
    <row r="982" spans="1:3">
      <c r="A982" t="s">
        <v>2480</v>
      </c>
      <c r="B982">
        <v>9799</v>
      </c>
      <c r="C982" t="s">
        <v>2481</v>
      </c>
    </row>
    <row r="983" spans="1:3">
      <c r="A983" t="s">
        <v>2482</v>
      </c>
      <c r="B983">
        <v>9800</v>
      </c>
      <c r="C983" t="s">
        <v>2483</v>
      </c>
    </row>
    <row r="984" spans="1:3">
      <c r="A984" t="s">
        <v>2484</v>
      </c>
      <c r="B984">
        <v>9810</v>
      </c>
      <c r="C984" t="s">
        <v>2485</v>
      </c>
    </row>
    <row r="985" spans="1:3">
      <c r="A985" t="s">
        <v>2486</v>
      </c>
      <c r="B985">
        <v>9820</v>
      </c>
      <c r="C985" t="s">
        <v>2487</v>
      </c>
    </row>
    <row r="986" spans="1:3">
      <c r="A986" t="s">
        <v>2750</v>
      </c>
      <c r="B986">
        <v>9830</v>
      </c>
      <c r="C986" t="s">
        <v>2751</v>
      </c>
    </row>
    <row r="987" spans="1:3">
      <c r="A987" t="s">
        <v>2752</v>
      </c>
      <c r="B987">
        <v>9840</v>
      </c>
      <c r="C987" t="s">
        <v>2753</v>
      </c>
    </row>
    <row r="988" spans="1:3">
      <c r="A988" t="s">
        <v>2754</v>
      </c>
      <c r="B988">
        <v>9850</v>
      </c>
      <c r="C988" t="s">
        <v>2755</v>
      </c>
    </row>
    <row r="989" spans="1:3">
      <c r="A989" t="s">
        <v>2488</v>
      </c>
      <c r="B989">
        <v>9860</v>
      </c>
      <c r="C989" t="s">
        <v>2489</v>
      </c>
    </row>
    <row r="990" spans="1:3">
      <c r="A990" t="s">
        <v>2891</v>
      </c>
      <c r="B990">
        <v>9870</v>
      </c>
      <c r="C990" t="s">
        <v>2892</v>
      </c>
    </row>
    <row r="991" spans="1:3">
      <c r="A991" t="s">
        <v>2490</v>
      </c>
      <c r="B991">
        <v>9880</v>
      </c>
      <c r="C991" t="s">
        <v>2491</v>
      </c>
    </row>
    <row r="992" spans="1:3">
      <c r="A992" t="s">
        <v>2492</v>
      </c>
      <c r="B992">
        <v>9900</v>
      </c>
      <c r="C992" t="s">
        <v>1412</v>
      </c>
    </row>
    <row r="993" spans="1:3">
      <c r="A993" t="s">
        <v>3010</v>
      </c>
      <c r="B993">
        <v>9910</v>
      </c>
      <c r="C993" t="s">
        <v>3011</v>
      </c>
    </row>
    <row r="994" spans="1:3">
      <c r="A994" t="s">
        <v>2493</v>
      </c>
      <c r="B994">
        <v>9912</v>
      </c>
      <c r="C994" t="s">
        <v>2494</v>
      </c>
    </row>
    <row r="995" spans="1:3">
      <c r="A995" t="s">
        <v>3012</v>
      </c>
      <c r="B995">
        <v>9920</v>
      </c>
      <c r="C995" t="s">
        <v>3013</v>
      </c>
    </row>
    <row r="996" spans="1:3">
      <c r="A996" t="s">
        <v>2495</v>
      </c>
      <c r="B996">
        <v>9949</v>
      </c>
      <c r="C996" t="s">
        <v>2496</v>
      </c>
    </row>
    <row r="997" spans="1:3">
      <c r="A997" t="s">
        <v>2756</v>
      </c>
      <c r="B997">
        <v>9992</v>
      </c>
      <c r="C997" t="s">
        <v>2757</v>
      </c>
    </row>
    <row r="998" spans="1:3">
      <c r="A998" t="s">
        <v>2655</v>
      </c>
      <c r="B998">
        <v>9998</v>
      </c>
      <c r="C998" t="s">
        <v>2656</v>
      </c>
    </row>
    <row r="999" spans="1:3">
      <c r="A999" t="s">
        <v>2497</v>
      </c>
      <c r="B999">
        <v>10000</v>
      </c>
      <c r="C999" t="s">
        <v>2498</v>
      </c>
    </row>
    <row r="1000" spans="1:3">
      <c r="A1000" t="s">
        <v>2499</v>
      </c>
      <c r="B1000">
        <v>10001</v>
      </c>
      <c r="C1000" t="s">
        <v>2500</v>
      </c>
    </row>
    <row r="1001" spans="1:3">
      <c r="A1001" t="s">
        <v>2501</v>
      </c>
      <c r="B1001">
        <v>10002</v>
      </c>
      <c r="C1001" t="s">
        <v>2502</v>
      </c>
    </row>
    <row r="1002" spans="1:3">
      <c r="A1002" t="s">
        <v>2503</v>
      </c>
      <c r="B1002">
        <v>10003</v>
      </c>
      <c r="C1002" t="s">
        <v>2504</v>
      </c>
    </row>
    <row r="1003" spans="1:3">
      <c r="A1003" t="s">
        <v>2505</v>
      </c>
      <c r="B1003">
        <v>10006</v>
      </c>
      <c r="C1003" t="s">
        <v>2506</v>
      </c>
    </row>
    <row r="1004" spans="1:3">
      <c r="A1004" t="s">
        <v>2507</v>
      </c>
      <c r="B1004">
        <v>10007</v>
      </c>
      <c r="C1004" t="s">
        <v>2508</v>
      </c>
    </row>
    <row r="1005" spans="1:3">
      <c r="A1005" t="s">
        <v>2509</v>
      </c>
      <c r="B1005">
        <v>10008</v>
      </c>
      <c r="C1005" t="s">
        <v>2510</v>
      </c>
    </row>
    <row r="1006" spans="1:3">
      <c r="A1006" t="s">
        <v>2511</v>
      </c>
      <c r="B1006">
        <v>10010</v>
      </c>
      <c r="C1006" t="s">
        <v>2512</v>
      </c>
    </row>
    <row r="1007" spans="1:3">
      <c r="A1007" t="s">
        <v>3014</v>
      </c>
      <c r="B1007">
        <v>10020</v>
      </c>
      <c r="C1007" t="s">
        <v>3015</v>
      </c>
    </row>
    <row r="1008" spans="1:3">
      <c r="A1008" t="s">
        <v>3016</v>
      </c>
      <c r="B1008">
        <v>10030</v>
      </c>
      <c r="C1008" t="s">
        <v>2935</v>
      </c>
    </row>
    <row r="1009" spans="1:3">
      <c r="A1009" t="s">
        <v>2513</v>
      </c>
      <c r="B1009">
        <v>10040</v>
      </c>
      <c r="C1009" t="s">
        <v>2514</v>
      </c>
    </row>
    <row r="1010" spans="1:3">
      <c r="A1010" t="s">
        <v>3017</v>
      </c>
      <c r="B1010">
        <v>10050</v>
      </c>
      <c r="C1010" t="s">
        <v>3018</v>
      </c>
    </row>
    <row r="1011" spans="1:3">
      <c r="A1011" t="s">
        <v>3019</v>
      </c>
      <c r="B1011">
        <v>10060</v>
      </c>
      <c r="C1011" t="s">
        <v>3020</v>
      </c>
    </row>
    <row r="1012" spans="1:3">
      <c r="A1012" t="s">
        <v>2515</v>
      </c>
      <c r="B1012">
        <v>10070</v>
      </c>
      <c r="C1012" t="s">
        <v>2516</v>
      </c>
    </row>
    <row r="1013" spans="1:3">
      <c r="A1013" t="s">
        <v>3021</v>
      </c>
      <c r="B1013">
        <v>10100</v>
      </c>
      <c r="C1013" t="s">
        <v>3022</v>
      </c>
    </row>
    <row r="1014" spans="1:3">
      <c r="A1014" t="s">
        <v>3023</v>
      </c>
      <c r="B1014">
        <v>10110</v>
      </c>
      <c r="C1014" t="s">
        <v>3024</v>
      </c>
    </row>
    <row r="1015" spans="1:3">
      <c r="A1015" t="s">
        <v>3025</v>
      </c>
      <c r="B1015">
        <v>10120</v>
      </c>
      <c r="C1015" t="s">
        <v>3026</v>
      </c>
    </row>
    <row r="1016" spans="1:3">
      <c r="A1016" t="s">
        <v>3027</v>
      </c>
      <c r="B1016">
        <v>10130</v>
      </c>
      <c r="C1016" t="s">
        <v>3028</v>
      </c>
    </row>
    <row r="1017" spans="1:3">
      <c r="A1017" t="s">
        <v>3029</v>
      </c>
      <c r="B1017">
        <v>10140</v>
      </c>
      <c r="C1017" t="s">
        <v>3030</v>
      </c>
    </row>
    <row r="1018" spans="1:3">
      <c r="A1018" t="s">
        <v>3031</v>
      </c>
      <c r="B1018">
        <v>10150</v>
      </c>
      <c r="C1018" t="s">
        <v>3032</v>
      </c>
    </row>
    <row r="1019" spans="1:3">
      <c r="A1019" t="s">
        <v>3033</v>
      </c>
      <c r="B1019">
        <v>10160</v>
      </c>
      <c r="C1019" t="s">
        <v>3034</v>
      </c>
    </row>
    <row r="1020" spans="1:3">
      <c r="A1020" t="s">
        <v>3035</v>
      </c>
      <c r="B1020">
        <v>10170</v>
      </c>
      <c r="C1020" t="s">
        <v>3036</v>
      </c>
    </row>
    <row r="1021" spans="1:3">
      <c r="A1021" t="s">
        <v>3037</v>
      </c>
      <c r="B1021">
        <v>10180</v>
      </c>
      <c r="C1021" t="s">
        <v>3038</v>
      </c>
    </row>
    <row r="1022" spans="1:3">
      <c r="A1022" t="s">
        <v>3039</v>
      </c>
      <c r="B1022">
        <v>10190</v>
      </c>
      <c r="C1022" t="s">
        <v>3040</v>
      </c>
    </row>
    <row r="1023" spans="1:3">
      <c r="A1023" t="s">
        <v>3041</v>
      </c>
      <c r="B1023">
        <v>10200</v>
      </c>
      <c r="C1023" t="s">
        <v>3042</v>
      </c>
    </row>
    <row r="1024" spans="1:3">
      <c r="A1024" t="s">
        <v>3043</v>
      </c>
      <c r="B1024">
        <v>10210</v>
      </c>
      <c r="C1024" t="s">
        <v>3044</v>
      </c>
    </row>
    <row r="1025" spans="1:3">
      <c r="A1025" t="s">
        <v>3045</v>
      </c>
      <c r="B1025">
        <v>10220</v>
      </c>
      <c r="C1025" t="s">
        <v>3046</v>
      </c>
    </row>
    <row r="1026" spans="1:3">
      <c r="A1026" t="s">
        <v>3047</v>
      </c>
      <c r="B1026">
        <v>10230</v>
      </c>
      <c r="C1026" t="s">
        <v>3048</v>
      </c>
    </row>
    <row r="1027" spans="1:3">
      <c r="A1027" t="s">
        <v>3049</v>
      </c>
      <c r="B1027">
        <v>10240</v>
      </c>
      <c r="C1027" t="s">
        <v>3050</v>
      </c>
    </row>
    <row r="1028" spans="1:3">
      <c r="A1028" t="s">
        <v>3051</v>
      </c>
      <c r="B1028">
        <v>10250</v>
      </c>
      <c r="C1028" t="s">
        <v>3052</v>
      </c>
    </row>
    <row r="1029" spans="1:3">
      <c r="A1029" t="s">
        <v>3053</v>
      </c>
      <c r="B1029">
        <v>10260</v>
      </c>
      <c r="C1029" t="s">
        <v>3054</v>
      </c>
    </row>
    <row r="1030" spans="1:3">
      <c r="A1030" t="s">
        <v>3055</v>
      </c>
      <c r="B1030">
        <v>10310</v>
      </c>
      <c r="C1030" t="s">
        <v>3056</v>
      </c>
    </row>
    <row r="1031" spans="1:3">
      <c r="A1031" t="s">
        <v>3057</v>
      </c>
      <c r="B1031">
        <v>10320</v>
      </c>
      <c r="C1031" t="s">
        <v>3058</v>
      </c>
    </row>
    <row r="1032" spans="1:3">
      <c r="A1032" t="s">
        <v>3059</v>
      </c>
      <c r="B1032">
        <v>10330</v>
      </c>
      <c r="C1032" t="s">
        <v>3060</v>
      </c>
    </row>
    <row r="1033" spans="1:3">
      <c r="A1033" t="s">
        <v>3061</v>
      </c>
      <c r="B1033">
        <v>10350</v>
      </c>
      <c r="C1033" t="s">
        <v>3062</v>
      </c>
    </row>
    <row r="1034" spans="1:3">
      <c r="A1034" t="s">
        <v>3063</v>
      </c>
      <c r="B1034">
        <v>10360</v>
      </c>
      <c r="C1034" t="s">
        <v>3064</v>
      </c>
    </row>
    <row r="1035" spans="1:3">
      <c r="A1035" t="s">
        <v>3065</v>
      </c>
      <c r="B1035">
        <v>10370</v>
      </c>
      <c r="C1035" t="s">
        <v>3066</v>
      </c>
    </row>
    <row r="1036" spans="1:3">
      <c r="A1036" t="s">
        <v>3067</v>
      </c>
      <c r="B1036">
        <v>10380</v>
      </c>
      <c r="C1036" t="s">
        <v>2949</v>
      </c>
    </row>
    <row r="1037" spans="1:3">
      <c r="A1037" t="s">
        <v>3068</v>
      </c>
      <c r="B1037">
        <v>10390</v>
      </c>
      <c r="C1037" t="s">
        <v>3069</v>
      </c>
    </row>
    <row r="1038" spans="1:3">
      <c r="A1038" t="s">
        <v>2517</v>
      </c>
      <c r="B1038">
        <v>10400</v>
      </c>
      <c r="C1038" t="s">
        <v>2518</v>
      </c>
    </row>
    <row r="1039" spans="1:3">
      <c r="A1039" t="s">
        <v>2519</v>
      </c>
      <c r="B1039">
        <v>10410</v>
      </c>
      <c r="C1039" t="s">
        <v>2520</v>
      </c>
    </row>
    <row r="1040" spans="1:3">
      <c r="A1040" t="s">
        <v>3070</v>
      </c>
      <c r="B1040">
        <v>10440</v>
      </c>
      <c r="C1040" t="s">
        <v>3071</v>
      </c>
    </row>
    <row r="1041" spans="1:3">
      <c r="A1041" t="s">
        <v>3167</v>
      </c>
      <c r="B1041">
        <v>10470</v>
      </c>
      <c r="C1041" t="s">
        <v>3105</v>
      </c>
    </row>
    <row r="1042" spans="1:3">
      <c r="A1042" t="s">
        <v>3168</v>
      </c>
      <c r="B1042">
        <v>10480</v>
      </c>
      <c r="C1042" t="s">
        <v>3106</v>
      </c>
    </row>
    <row r="1043" spans="1:3">
      <c r="A1043" t="s">
        <v>3169</v>
      </c>
      <c r="B1043">
        <v>10490</v>
      </c>
      <c r="C1043" t="s">
        <v>3107</v>
      </c>
    </row>
    <row r="1044" spans="1:3">
      <c r="A1044" t="s">
        <v>2521</v>
      </c>
      <c r="B1044">
        <v>10520</v>
      </c>
      <c r="C1044" t="s">
        <v>2522</v>
      </c>
    </row>
    <row r="1045" spans="1:3">
      <c r="A1045" t="s">
        <v>3170</v>
      </c>
      <c r="B1045">
        <v>10570</v>
      </c>
      <c r="C1045" t="s">
        <v>3108</v>
      </c>
    </row>
    <row r="1046" spans="1:3">
      <c r="A1046" t="s">
        <v>3171</v>
      </c>
      <c r="B1046">
        <v>10590</v>
      </c>
      <c r="C1046" t="s">
        <v>3109</v>
      </c>
    </row>
    <row r="1047" spans="1:3">
      <c r="A1047" t="s">
        <v>2523</v>
      </c>
      <c r="B1047">
        <v>10600</v>
      </c>
      <c r="C1047" t="s">
        <v>1548</v>
      </c>
    </row>
    <row r="1048" spans="1:3">
      <c r="A1048" t="s">
        <v>2524</v>
      </c>
      <c r="B1048">
        <v>10610</v>
      </c>
      <c r="C1048" t="s">
        <v>2525</v>
      </c>
    </row>
    <row r="1049" spans="1:3">
      <c r="A1049" t="s">
        <v>3172</v>
      </c>
      <c r="B1049">
        <v>10640</v>
      </c>
      <c r="C1049" t="s">
        <v>3110</v>
      </c>
    </row>
    <row r="1050" spans="1:3">
      <c r="A1050" t="s">
        <v>3173</v>
      </c>
      <c r="B1050">
        <v>10650</v>
      </c>
      <c r="C1050" t="s">
        <v>3111</v>
      </c>
    </row>
    <row r="1051" spans="1:3">
      <c r="A1051" t="s">
        <v>3174</v>
      </c>
      <c r="B1051">
        <v>10690</v>
      </c>
      <c r="C1051" t="s">
        <v>3112</v>
      </c>
    </row>
    <row r="1052" spans="1:3">
      <c r="A1052" t="s">
        <v>3175</v>
      </c>
      <c r="B1052">
        <v>10700</v>
      </c>
      <c r="C1052" t="s">
        <v>3113</v>
      </c>
    </row>
    <row r="1053" spans="1:3">
      <c r="A1053" t="s">
        <v>3176</v>
      </c>
      <c r="B1053">
        <v>10710</v>
      </c>
      <c r="C1053" t="s">
        <v>3086</v>
      </c>
    </row>
    <row r="1054" spans="1:3">
      <c r="A1054" t="s">
        <v>3177</v>
      </c>
      <c r="B1054">
        <v>10720</v>
      </c>
      <c r="C1054" t="s">
        <v>3114</v>
      </c>
    </row>
    <row r="1055" spans="1:3">
      <c r="A1055" t="s">
        <v>3178</v>
      </c>
      <c r="B1055">
        <v>10740</v>
      </c>
      <c r="C1055" t="s">
        <v>3115</v>
      </c>
    </row>
    <row r="1056" spans="1:3">
      <c r="A1056" t="s">
        <v>3179</v>
      </c>
      <c r="B1056">
        <v>10750</v>
      </c>
      <c r="C1056" t="s">
        <v>3116</v>
      </c>
    </row>
    <row r="1057" spans="1:3">
      <c r="A1057" t="s">
        <v>3180</v>
      </c>
      <c r="B1057">
        <v>10760</v>
      </c>
      <c r="C1057" t="s">
        <v>3117</v>
      </c>
    </row>
    <row r="1058" spans="1:3">
      <c r="A1058" t="s">
        <v>3181</v>
      </c>
      <c r="B1058">
        <v>10780</v>
      </c>
      <c r="C1058" t="s">
        <v>3118</v>
      </c>
    </row>
    <row r="1059" spans="1:3">
      <c r="A1059" t="s">
        <v>3182</v>
      </c>
      <c r="B1059">
        <v>10810</v>
      </c>
      <c r="C1059" t="s">
        <v>3119</v>
      </c>
    </row>
    <row r="1060" spans="1:3">
      <c r="A1060" t="s">
        <v>3183</v>
      </c>
      <c r="B1060">
        <v>10820</v>
      </c>
      <c r="C1060" t="s">
        <v>3120</v>
      </c>
    </row>
    <row r="1061" spans="1:3">
      <c r="A1061" t="s">
        <v>3184</v>
      </c>
      <c r="B1061">
        <v>10830</v>
      </c>
      <c r="C1061" t="s">
        <v>3121</v>
      </c>
    </row>
    <row r="1062" spans="1:3">
      <c r="A1062" t="s">
        <v>3185</v>
      </c>
      <c r="B1062">
        <v>10840</v>
      </c>
      <c r="C1062" t="s">
        <v>3122</v>
      </c>
    </row>
    <row r="1063" spans="1:3">
      <c r="A1063" t="s">
        <v>2526</v>
      </c>
      <c r="B1063">
        <v>10880</v>
      </c>
      <c r="C1063" t="s">
        <v>2527</v>
      </c>
    </row>
    <row r="1064" spans="1:3">
      <c r="A1064" t="s">
        <v>2528</v>
      </c>
      <c r="B1064">
        <v>10881</v>
      </c>
      <c r="C1064" t="s">
        <v>2529</v>
      </c>
    </row>
    <row r="1065" spans="1:3">
      <c r="A1065" t="s">
        <v>2530</v>
      </c>
      <c r="B1065">
        <v>10900</v>
      </c>
      <c r="C1065" t="s">
        <v>2531</v>
      </c>
    </row>
    <row r="1066" spans="1:3">
      <c r="A1066" t="s">
        <v>3388</v>
      </c>
      <c r="B1066">
        <v>10940</v>
      </c>
      <c r="C1066" t="s">
        <v>3389</v>
      </c>
    </row>
    <row r="1067" spans="1:3">
      <c r="A1067" t="s">
        <v>2532</v>
      </c>
      <c r="B1067">
        <v>10941</v>
      </c>
      <c r="C1067" t="s">
        <v>2533</v>
      </c>
    </row>
    <row r="1068" spans="1:3">
      <c r="A1068" t="s">
        <v>2534</v>
      </c>
      <c r="B1068">
        <v>10960</v>
      </c>
      <c r="C1068" t="s">
        <v>2535</v>
      </c>
    </row>
    <row r="1069" spans="1:3">
      <c r="A1069" t="s">
        <v>2536</v>
      </c>
      <c r="B1069">
        <v>10970</v>
      </c>
      <c r="C1069" t="s">
        <v>2537</v>
      </c>
    </row>
    <row r="1070" spans="1:3">
      <c r="A1070" t="s">
        <v>2657</v>
      </c>
      <c r="B1070">
        <v>10998</v>
      </c>
      <c r="C1070" t="s">
        <v>2658</v>
      </c>
    </row>
    <row r="1071" spans="1:3">
      <c r="A1071" t="s">
        <v>2538</v>
      </c>
      <c r="B1071">
        <v>12010</v>
      </c>
      <c r="C1071" t="s">
        <v>1489</v>
      </c>
    </row>
    <row r="1072" spans="1:3">
      <c r="A1072" t="s">
        <v>3186</v>
      </c>
      <c r="B1072">
        <v>12030</v>
      </c>
      <c r="C1072" t="s">
        <v>3123</v>
      </c>
    </row>
    <row r="1073" spans="1:3">
      <c r="A1073" t="s">
        <v>3187</v>
      </c>
      <c r="B1073">
        <v>12050</v>
      </c>
      <c r="C1073" t="s">
        <v>3124</v>
      </c>
    </row>
    <row r="1074" spans="1:3">
      <c r="A1074" t="s">
        <v>2539</v>
      </c>
      <c r="B1074">
        <v>12080</v>
      </c>
      <c r="C1074" t="s">
        <v>2540</v>
      </c>
    </row>
    <row r="1075" spans="1:3">
      <c r="A1075" t="s">
        <v>3188</v>
      </c>
      <c r="B1075">
        <v>12100</v>
      </c>
      <c r="C1075" t="s">
        <v>3125</v>
      </c>
    </row>
    <row r="1076" spans="1:3">
      <c r="A1076" t="s">
        <v>3189</v>
      </c>
      <c r="B1076">
        <v>12110</v>
      </c>
      <c r="C1076" t="s">
        <v>3085</v>
      </c>
    </row>
    <row r="1077" spans="1:3">
      <c r="A1077" t="s">
        <v>3190</v>
      </c>
      <c r="B1077">
        <v>12120</v>
      </c>
      <c r="C1077" t="s">
        <v>3126</v>
      </c>
    </row>
    <row r="1078" spans="1:3">
      <c r="A1078" t="s">
        <v>3191</v>
      </c>
      <c r="B1078">
        <v>12130</v>
      </c>
      <c r="C1078" t="s">
        <v>3127</v>
      </c>
    </row>
    <row r="1079" spans="1:3">
      <c r="A1079" t="s">
        <v>3192</v>
      </c>
      <c r="B1079">
        <v>12140</v>
      </c>
      <c r="C1079" t="s">
        <v>3128</v>
      </c>
    </row>
    <row r="1080" spans="1:3">
      <c r="A1080" t="s">
        <v>3193</v>
      </c>
      <c r="B1080">
        <v>12150</v>
      </c>
      <c r="C1080" t="s">
        <v>3129</v>
      </c>
    </row>
    <row r="1081" spans="1:3">
      <c r="A1081" t="s">
        <v>3194</v>
      </c>
      <c r="B1081">
        <v>12160</v>
      </c>
      <c r="C1081" t="s">
        <v>3130</v>
      </c>
    </row>
    <row r="1082" spans="1:3">
      <c r="A1082" t="s">
        <v>3195</v>
      </c>
      <c r="B1082">
        <v>12170</v>
      </c>
      <c r="C1082" t="s">
        <v>3131</v>
      </c>
    </row>
    <row r="1083" spans="1:3">
      <c r="A1083" t="s">
        <v>3196</v>
      </c>
      <c r="B1083">
        <v>12180</v>
      </c>
      <c r="C1083" t="s">
        <v>3132</v>
      </c>
    </row>
    <row r="1084" spans="1:3">
      <c r="A1084" t="s">
        <v>3197</v>
      </c>
      <c r="B1084">
        <v>12200</v>
      </c>
      <c r="C1084" t="s">
        <v>3133</v>
      </c>
    </row>
    <row r="1085" spans="1:3">
      <c r="A1085" t="s">
        <v>3198</v>
      </c>
      <c r="B1085">
        <v>12210</v>
      </c>
      <c r="C1085" t="s">
        <v>3134</v>
      </c>
    </row>
    <row r="1086" spans="1:3">
      <c r="A1086" t="s">
        <v>3199</v>
      </c>
      <c r="B1086">
        <v>12220</v>
      </c>
      <c r="C1086" t="s">
        <v>3135</v>
      </c>
    </row>
    <row r="1087" spans="1:3">
      <c r="A1087" t="s">
        <v>3200</v>
      </c>
      <c r="B1087">
        <v>12230</v>
      </c>
      <c r="C1087" t="s">
        <v>3136</v>
      </c>
    </row>
    <row r="1088" spans="1:3">
      <c r="A1088" t="s">
        <v>3201</v>
      </c>
      <c r="B1088">
        <v>12240</v>
      </c>
      <c r="C1088" t="s">
        <v>3137</v>
      </c>
    </row>
    <row r="1089" spans="1:3">
      <c r="A1089" t="s">
        <v>3202</v>
      </c>
      <c r="B1089">
        <v>12250</v>
      </c>
      <c r="C1089" t="s">
        <v>3138</v>
      </c>
    </row>
    <row r="1090" spans="1:3">
      <c r="A1090" t="s">
        <v>3203</v>
      </c>
      <c r="B1090">
        <v>12260</v>
      </c>
      <c r="C1090" t="s">
        <v>3139</v>
      </c>
    </row>
    <row r="1091" spans="1:3">
      <c r="A1091" t="s">
        <v>3204</v>
      </c>
      <c r="B1091">
        <v>12270</v>
      </c>
      <c r="C1091" t="s">
        <v>3140</v>
      </c>
    </row>
    <row r="1092" spans="1:3">
      <c r="A1092" t="s">
        <v>3205</v>
      </c>
      <c r="B1092">
        <v>12280</v>
      </c>
      <c r="C1092" t="s">
        <v>3141</v>
      </c>
    </row>
    <row r="1093" spans="1:3">
      <c r="A1093" t="s">
        <v>3206</v>
      </c>
      <c r="B1093">
        <v>12290</v>
      </c>
      <c r="C1093" t="s">
        <v>3142</v>
      </c>
    </row>
    <row r="1094" spans="1:3">
      <c r="A1094" t="s">
        <v>3207</v>
      </c>
      <c r="B1094">
        <v>12300</v>
      </c>
      <c r="C1094" t="s">
        <v>3143</v>
      </c>
    </row>
    <row r="1095" spans="1:3">
      <c r="A1095" t="s">
        <v>3208</v>
      </c>
      <c r="B1095">
        <v>12310</v>
      </c>
      <c r="C1095" t="s">
        <v>3144</v>
      </c>
    </row>
    <row r="1096" spans="1:3">
      <c r="A1096" t="s">
        <v>3390</v>
      </c>
      <c r="B1096">
        <v>12320</v>
      </c>
      <c r="C1096" t="s">
        <v>3391</v>
      </c>
    </row>
    <row r="1097" spans="1:3">
      <c r="A1097" t="s">
        <v>3392</v>
      </c>
      <c r="B1097">
        <v>12330</v>
      </c>
      <c r="C1097" t="s">
        <v>3393</v>
      </c>
    </row>
    <row r="1098" spans="1:3">
      <c r="A1098" t="s">
        <v>3394</v>
      </c>
      <c r="B1098">
        <v>12340</v>
      </c>
      <c r="C1098" t="s">
        <v>3395</v>
      </c>
    </row>
    <row r="1099" spans="1:3">
      <c r="A1099" t="s">
        <v>3396</v>
      </c>
      <c r="B1099">
        <v>12350</v>
      </c>
      <c r="C1099" t="s">
        <v>3397</v>
      </c>
    </row>
    <row r="1100" spans="1:3">
      <c r="A1100" t="s">
        <v>3398</v>
      </c>
      <c r="B1100">
        <v>12360</v>
      </c>
      <c r="C1100" t="s">
        <v>3399</v>
      </c>
    </row>
    <row r="1101" spans="1:3">
      <c r="A1101" t="s">
        <v>3400</v>
      </c>
      <c r="B1101">
        <v>12370</v>
      </c>
      <c r="C1101" t="s">
        <v>3401</v>
      </c>
    </row>
    <row r="1102" spans="1:3">
      <c r="A1102" t="s">
        <v>3402</v>
      </c>
      <c r="B1102">
        <v>12380</v>
      </c>
      <c r="C1102" t="s">
        <v>3403</v>
      </c>
    </row>
    <row r="1103" spans="1:3">
      <c r="A1103" t="s">
        <v>3404</v>
      </c>
      <c r="B1103">
        <v>12390</v>
      </c>
      <c r="C1103" t="s">
        <v>3405</v>
      </c>
    </row>
    <row r="1104" spans="1:3">
      <c r="A1104" t="s">
        <v>2541</v>
      </c>
      <c r="B1104">
        <v>12400</v>
      </c>
      <c r="C1104" t="s">
        <v>2542</v>
      </c>
    </row>
    <row r="1105" spans="1:3">
      <c r="A1105" t="s">
        <v>3406</v>
      </c>
      <c r="B1105">
        <v>12410</v>
      </c>
      <c r="C1105" t="s">
        <v>3407</v>
      </c>
    </row>
    <row r="1106" spans="1:3">
      <c r="A1106" t="s">
        <v>3408</v>
      </c>
      <c r="B1106">
        <v>12420</v>
      </c>
      <c r="C1106" t="s">
        <v>3409</v>
      </c>
    </row>
    <row r="1107" spans="1:3">
      <c r="A1107" t="s">
        <v>3410</v>
      </c>
      <c r="B1107">
        <v>12430</v>
      </c>
      <c r="C1107" t="s">
        <v>3411</v>
      </c>
    </row>
    <row r="1108" spans="1:3">
      <c r="A1108" t="s">
        <v>3412</v>
      </c>
      <c r="B1108">
        <v>12440</v>
      </c>
      <c r="C1108" t="s">
        <v>3413</v>
      </c>
    </row>
    <row r="1109" spans="1:3">
      <c r="A1109" t="s">
        <v>3414</v>
      </c>
      <c r="B1109">
        <v>12450</v>
      </c>
      <c r="C1109" t="s">
        <v>3415</v>
      </c>
    </row>
    <row r="1110" spans="1:3">
      <c r="A1110" t="s">
        <v>3851</v>
      </c>
      <c r="B1110">
        <v>12460</v>
      </c>
      <c r="C1110" t="s">
        <v>3852</v>
      </c>
    </row>
    <row r="1111" spans="1:3">
      <c r="A1111" t="s">
        <v>3853</v>
      </c>
      <c r="B1111">
        <v>12480</v>
      </c>
      <c r="C1111" t="s">
        <v>3854</v>
      </c>
    </row>
    <row r="1112" spans="1:3">
      <c r="A1112" t="s">
        <v>2543</v>
      </c>
      <c r="B1112">
        <v>12490</v>
      </c>
      <c r="C1112" t="s">
        <v>2544</v>
      </c>
    </row>
    <row r="1113" spans="1:3">
      <c r="A1113" t="s">
        <v>3416</v>
      </c>
      <c r="B1113">
        <v>12500</v>
      </c>
      <c r="C1113" t="s">
        <v>3417</v>
      </c>
    </row>
    <row r="1114" spans="1:3">
      <c r="A1114" t="s">
        <v>3418</v>
      </c>
      <c r="B1114">
        <v>12510</v>
      </c>
      <c r="C1114" t="s">
        <v>3419</v>
      </c>
    </row>
    <row r="1115" spans="1:3">
      <c r="A1115" t="s">
        <v>3420</v>
      </c>
      <c r="B1115">
        <v>12520</v>
      </c>
      <c r="C1115" t="s">
        <v>3421</v>
      </c>
    </row>
    <row r="1116" spans="1:3">
      <c r="A1116" t="s">
        <v>3422</v>
      </c>
      <c r="B1116">
        <v>12530</v>
      </c>
      <c r="C1116" t="s">
        <v>3423</v>
      </c>
    </row>
    <row r="1117" spans="1:3">
      <c r="A1117" t="s">
        <v>3424</v>
      </c>
      <c r="B1117">
        <v>12540</v>
      </c>
      <c r="C1117" t="s">
        <v>3425</v>
      </c>
    </row>
    <row r="1118" spans="1:3">
      <c r="A1118" t="s">
        <v>3855</v>
      </c>
      <c r="B1118">
        <v>12550</v>
      </c>
      <c r="C1118" t="s">
        <v>3856</v>
      </c>
    </row>
    <row r="1119" spans="1:3">
      <c r="A1119" t="s">
        <v>3857</v>
      </c>
      <c r="B1119">
        <v>12560</v>
      </c>
      <c r="C1119" t="s">
        <v>3858</v>
      </c>
    </row>
    <row r="1120" spans="1:3">
      <c r="A1120" t="s">
        <v>3859</v>
      </c>
      <c r="B1120">
        <v>12570</v>
      </c>
      <c r="C1120" t="s">
        <v>3860</v>
      </c>
    </row>
    <row r="1121" spans="1:3">
      <c r="A1121" t="s">
        <v>3861</v>
      </c>
      <c r="B1121">
        <v>12580</v>
      </c>
      <c r="C1121" t="s">
        <v>3862</v>
      </c>
    </row>
    <row r="1122" spans="1:3">
      <c r="A1122" t="s">
        <v>3863</v>
      </c>
      <c r="B1122">
        <v>12590</v>
      </c>
      <c r="C1122" t="s">
        <v>3864</v>
      </c>
    </row>
    <row r="1123" spans="1:3">
      <c r="A1123" t="s">
        <v>3865</v>
      </c>
      <c r="B1123">
        <v>12600</v>
      </c>
      <c r="C1123" t="s">
        <v>3866</v>
      </c>
    </row>
    <row r="1124" spans="1:3">
      <c r="A1124" t="s">
        <v>3867</v>
      </c>
      <c r="B1124">
        <v>12610</v>
      </c>
      <c r="C1124" t="s">
        <v>3868</v>
      </c>
    </row>
    <row r="1125" spans="1:3">
      <c r="A1125" t="s">
        <v>3869</v>
      </c>
      <c r="B1125">
        <v>12620</v>
      </c>
      <c r="C1125" t="s">
        <v>3870</v>
      </c>
    </row>
    <row r="1126" spans="1:3">
      <c r="A1126" t="s">
        <v>3871</v>
      </c>
      <c r="B1126">
        <v>12640</v>
      </c>
      <c r="C1126" t="s">
        <v>3872</v>
      </c>
    </row>
    <row r="1127" spans="1:3">
      <c r="A1127" t="s">
        <v>3873</v>
      </c>
      <c r="B1127">
        <v>12660</v>
      </c>
      <c r="C1127" t="s">
        <v>3874</v>
      </c>
    </row>
    <row r="1128" spans="1:3">
      <c r="A1128" t="s">
        <v>3875</v>
      </c>
      <c r="B1128">
        <v>12700</v>
      </c>
      <c r="C1128" t="s">
        <v>3876</v>
      </c>
    </row>
    <row r="1129" spans="1:3">
      <c r="A1129" t="s">
        <v>3877</v>
      </c>
      <c r="B1129">
        <v>12710</v>
      </c>
      <c r="C1129" t="s">
        <v>3878</v>
      </c>
    </row>
    <row r="1130" spans="1:3">
      <c r="A1130" t="s">
        <v>3879</v>
      </c>
      <c r="B1130">
        <v>12800</v>
      </c>
      <c r="C1130" t="s">
        <v>3880</v>
      </c>
    </row>
    <row r="1131" spans="1:3">
      <c r="A1131" t="s">
        <v>3881</v>
      </c>
      <c r="B1131">
        <v>12830</v>
      </c>
      <c r="C1131" t="s">
        <v>3882</v>
      </c>
    </row>
    <row r="1132" spans="1:3">
      <c r="A1132" t="s">
        <v>2545</v>
      </c>
      <c r="B1132">
        <v>12840</v>
      </c>
      <c r="C1132" t="s">
        <v>2546</v>
      </c>
    </row>
    <row r="1133" spans="1:3">
      <c r="A1133" t="s">
        <v>2547</v>
      </c>
      <c r="B1133">
        <v>12900</v>
      </c>
      <c r="C1133" t="s">
        <v>2548</v>
      </c>
    </row>
    <row r="1134" spans="1:3">
      <c r="A1134" t="s">
        <v>2549</v>
      </c>
      <c r="B1134">
        <v>12920</v>
      </c>
      <c r="C1134" t="s">
        <v>2550</v>
      </c>
    </row>
    <row r="1135" spans="1:3">
      <c r="A1135" t="s">
        <v>3883</v>
      </c>
      <c r="B1135">
        <v>12930</v>
      </c>
      <c r="C1135" t="s">
        <v>3884</v>
      </c>
    </row>
    <row r="1136" spans="1:3">
      <c r="A1136" t="s">
        <v>3885</v>
      </c>
      <c r="B1136">
        <v>12940</v>
      </c>
      <c r="C1136" t="s">
        <v>3886</v>
      </c>
    </row>
    <row r="1137" spans="1:3">
      <c r="A1137" t="s">
        <v>3887</v>
      </c>
      <c r="B1137">
        <v>12950</v>
      </c>
      <c r="C1137" t="s">
        <v>3888</v>
      </c>
    </row>
    <row r="1138" spans="1:3">
      <c r="A1138" t="s">
        <v>3889</v>
      </c>
      <c r="B1138">
        <v>12960</v>
      </c>
      <c r="C1138" t="s">
        <v>3890</v>
      </c>
    </row>
    <row r="1139" spans="1:3">
      <c r="A1139" t="s">
        <v>3891</v>
      </c>
      <c r="B1139">
        <v>12970</v>
      </c>
      <c r="C1139" t="s">
        <v>3892</v>
      </c>
    </row>
    <row r="1140" spans="1:3">
      <c r="A1140" t="s">
        <v>3893</v>
      </c>
      <c r="B1140">
        <v>12980</v>
      </c>
      <c r="C1140" t="s">
        <v>3894</v>
      </c>
    </row>
    <row r="1141" spans="1:3">
      <c r="A1141" t="s">
        <v>3895</v>
      </c>
      <c r="B1141">
        <v>12990</v>
      </c>
      <c r="C1141" t="s">
        <v>3896</v>
      </c>
    </row>
    <row r="1142" spans="1:3">
      <c r="A1142" t="s">
        <v>2551</v>
      </c>
      <c r="B1142">
        <v>13020</v>
      </c>
      <c r="C1142" t="s">
        <v>2552</v>
      </c>
    </row>
    <row r="1143" spans="1:3">
      <c r="A1143" t="s">
        <v>2553</v>
      </c>
      <c r="B1143">
        <v>13021</v>
      </c>
      <c r="C1143" t="s">
        <v>2554</v>
      </c>
    </row>
    <row r="1144" spans="1:3">
      <c r="A1144" t="s">
        <v>2555</v>
      </c>
      <c r="B1144">
        <v>13022</v>
      </c>
      <c r="C1144" t="s">
        <v>2556</v>
      </c>
    </row>
    <row r="1145" spans="1:3">
      <c r="A1145" t="s">
        <v>2557</v>
      </c>
      <c r="B1145">
        <v>13025</v>
      </c>
      <c r="C1145" t="s">
        <v>2558</v>
      </c>
    </row>
    <row r="1146" spans="1:3">
      <c r="A1146" t="s">
        <v>2559</v>
      </c>
      <c r="B1146">
        <v>15000</v>
      </c>
      <c r="C1146" t="s">
        <v>2560</v>
      </c>
    </row>
    <row r="1147" spans="1:3">
      <c r="A1147" t="s">
        <v>2561</v>
      </c>
      <c r="B1147">
        <v>15001</v>
      </c>
      <c r="C1147" t="s">
        <v>2562</v>
      </c>
    </row>
    <row r="1148" spans="1:3">
      <c r="A1148" t="s">
        <v>2563</v>
      </c>
      <c r="B1148">
        <v>15002</v>
      </c>
      <c r="C1148" t="s">
        <v>2564</v>
      </c>
    </row>
    <row r="1149" spans="1:3">
      <c r="A1149" t="s">
        <v>2565</v>
      </c>
      <c r="B1149">
        <v>15003</v>
      </c>
      <c r="C1149" t="s">
        <v>2566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F61"/>
  <sheetViews>
    <sheetView showGridLines="0" zoomScaleNormal="100" zoomScaleSheetLayoutView="80" workbookViewId="0">
      <selection activeCell="B3" sqref="B3:E3"/>
    </sheetView>
  </sheetViews>
  <sheetFormatPr defaultColWidth="8" defaultRowHeight="12.6" customHeight="1"/>
  <cols>
    <col min="1" max="1" width="36" style="626" customWidth="1"/>
    <col min="2" max="2" width="19.88671875" style="631" customWidth="1"/>
    <col min="3" max="3" width="29.88671875" style="626" customWidth="1"/>
    <col min="4" max="4" width="21.33203125" style="626" customWidth="1"/>
    <col min="5" max="5" width="16.6640625" style="626" customWidth="1"/>
    <col min="6" max="6" width="11.88671875" style="626" hidden="1" customWidth="1"/>
    <col min="7" max="16384" width="8" style="626"/>
  </cols>
  <sheetData>
    <row r="1" spans="1:6" ht="12.6" customHeight="1">
      <c r="A1" s="564" t="str">
        <f>'Internal Service Template'!A1:D1</f>
        <v>Agency Number:</v>
      </c>
      <c r="B1" s="1180" t="str">
        <f>'Internal Service Template'!E1</f>
        <v/>
      </c>
      <c r="C1" s="1181"/>
      <c r="D1" s="1181"/>
      <c r="E1" s="1182"/>
      <c r="F1" s="563"/>
    </row>
    <row r="2" spans="1:6" ht="12.75" customHeight="1">
      <c r="A2" s="564" t="str">
        <f>'Internal Service Template'!A2:D2</f>
        <v>Agency Fund Name:</v>
      </c>
      <c r="B2" s="1180" t="str">
        <f>IF('Internal Service Template'!E2="","",'Internal Service Template'!E2)</f>
        <v/>
      </c>
      <c r="C2" s="1181"/>
      <c r="D2" s="1181"/>
      <c r="E2" s="1182"/>
      <c r="F2" s="563"/>
    </row>
    <row r="3" spans="1:6" ht="12.75" customHeight="1">
      <c r="A3" s="564" t="str">
        <f>'Internal Service Template'!A3:D3</f>
        <v>Agency Contact Name:</v>
      </c>
      <c r="B3" s="1176" t="str">
        <f>IF('Internal Service Template'!E3="","",'Internal Service Template'!E3)</f>
        <v/>
      </c>
      <c r="C3" s="1177"/>
      <c r="D3" s="1177"/>
      <c r="E3" s="1178"/>
      <c r="F3" s="627"/>
    </row>
    <row r="4" spans="1:6" ht="12.75" customHeight="1">
      <c r="A4" s="564" t="str">
        <f>'Internal Service Template'!A4:D4</f>
        <v>Agency Contact Phone Number:</v>
      </c>
      <c r="B4" s="1176" t="str">
        <f>IF('Internal Service Template'!E4="","",'Internal Service Template'!E4)</f>
        <v/>
      </c>
      <c r="C4" s="1177"/>
      <c r="D4" s="1177"/>
      <c r="E4" s="1178"/>
      <c r="F4" s="628"/>
    </row>
    <row r="5" spans="1:6" ht="12.75" customHeight="1">
      <c r="A5" s="564" t="str">
        <f>'Internal Service Template'!A5:D5</f>
        <v>Agency Contact E-mail Address:</v>
      </c>
      <c r="B5" s="1183" t="str">
        <f>IF('Internal Service Template'!E5="","",'Internal Service Template'!E5)</f>
        <v/>
      </c>
      <c r="C5" s="1184"/>
      <c r="D5" s="1184"/>
      <c r="E5" s="1185"/>
      <c r="F5" s="629"/>
    </row>
    <row r="6" spans="1:6" ht="12.6" customHeight="1">
      <c r="A6" s="564" t="str">
        <f>'Internal Service Template'!A6:D6</f>
        <v>Date Completed:</v>
      </c>
      <c r="B6" s="1173" t="str">
        <f>IF('Internal Service Template'!E6="","",'Internal Service Template'!E6)</f>
        <v/>
      </c>
      <c r="C6" s="1174"/>
      <c r="D6" s="1174"/>
      <c r="E6" s="1175"/>
      <c r="F6" s="630"/>
    </row>
    <row r="7" spans="1:6" ht="12.6" customHeight="1">
      <c r="A7" s="564" t="str">
        <f>'Internal Service Template'!A7:D7</f>
        <v>Fund Number:</v>
      </c>
      <c r="B7" s="1180" t="str">
        <f>'Internal Service Template'!E7</f>
        <v/>
      </c>
      <c r="C7" s="1181"/>
      <c r="D7" s="1181"/>
      <c r="E7" s="1181"/>
      <c r="F7" s="563"/>
    </row>
    <row r="9" spans="1:6" ht="12.6" customHeight="1">
      <c r="A9" s="86" t="s">
        <v>459</v>
      </c>
    </row>
    <row r="10" spans="1:6" ht="12.6" customHeight="1">
      <c r="A10" s="632" t="str">
        <f>'Internal Service Template'!A34:D34</f>
        <v>For the Year Ended June 30, 2024</v>
      </c>
    </row>
    <row r="11" spans="1:6" ht="12.6" customHeight="1">
      <c r="A11" s="633"/>
      <c r="B11" s="634"/>
      <c r="C11" s="635"/>
      <c r="D11" s="635"/>
      <c r="E11" s="635"/>
      <c r="F11" s="635"/>
    </row>
    <row r="12" spans="1:6" s="636" customFormat="1" ht="36" customHeight="1">
      <c r="B12" s="637"/>
    </row>
    <row r="13" spans="1:6" s="636" customFormat="1" ht="65.25" customHeight="1">
      <c r="B13" s="638" t="s">
        <v>297</v>
      </c>
      <c r="D13" s="638" t="s">
        <v>3903</v>
      </c>
      <c r="F13" s="8"/>
    </row>
    <row r="14" spans="1:6" ht="12.6" customHeight="1">
      <c r="A14" s="639" t="s">
        <v>192</v>
      </c>
      <c r="B14" s="640"/>
    </row>
    <row r="15" spans="1:6" ht="15" customHeight="1">
      <c r="A15" s="641" t="s">
        <v>472</v>
      </c>
      <c r="B15" s="144"/>
      <c r="D15" s="144"/>
    </row>
    <row r="16" spans="1:6" ht="15" customHeight="1">
      <c r="A16" s="641" t="s">
        <v>473</v>
      </c>
      <c r="B16" s="144"/>
      <c r="D16" s="144"/>
    </row>
    <row r="17" spans="1:4" ht="15" customHeight="1">
      <c r="A17" s="641" t="s">
        <v>91</v>
      </c>
      <c r="B17" s="144"/>
      <c r="D17" s="144"/>
    </row>
    <row r="18" spans="1:4" ht="15" customHeight="1">
      <c r="A18" s="641" t="s">
        <v>457</v>
      </c>
      <c r="B18" s="144"/>
      <c r="D18" s="144"/>
    </row>
    <row r="19" spans="1:4" ht="15" customHeight="1">
      <c r="A19" s="641" t="s">
        <v>533</v>
      </c>
      <c r="B19" s="144"/>
      <c r="D19" s="144"/>
    </row>
    <row r="20" spans="1:4" ht="15" customHeight="1">
      <c r="A20" s="641" t="s">
        <v>191</v>
      </c>
      <c r="B20" s="151">
        <f>SUM(B15:B19)</f>
        <v>0</v>
      </c>
      <c r="D20" s="151">
        <f>SUM(D15:D19)</f>
        <v>0</v>
      </c>
    </row>
    <row r="21" spans="1:4" ht="15" customHeight="1">
      <c r="A21" s="642"/>
      <c r="B21" s="50"/>
    </row>
    <row r="22" spans="1:4" ht="10.199999999999999">
      <c r="B22" s="50"/>
    </row>
    <row r="23" spans="1:4" ht="26.4">
      <c r="A23" s="643" t="s">
        <v>17</v>
      </c>
      <c r="B23" s="144"/>
      <c r="D23" s="144"/>
    </row>
    <row r="24" spans="1:4" ht="15" hidden="1" customHeight="1">
      <c r="A24" s="641"/>
      <c r="B24" s="255"/>
      <c r="D24" s="255"/>
    </row>
    <row r="25" spans="1:4" ht="15" hidden="1" customHeight="1">
      <c r="A25" s="641"/>
      <c r="B25" s="255"/>
      <c r="D25" s="255"/>
    </row>
    <row r="26" spans="1:4" ht="15" hidden="1" customHeight="1">
      <c r="A26" s="641"/>
      <c r="B26" s="255"/>
      <c r="D26" s="255"/>
    </row>
    <row r="27" spans="1:4" ht="15" hidden="1" customHeight="1">
      <c r="A27" s="641"/>
      <c r="B27" s="255"/>
      <c r="C27" s="644"/>
      <c r="D27" s="255"/>
    </row>
    <row r="28" spans="1:4" ht="15" customHeight="1">
      <c r="A28" s="645" t="s">
        <v>535</v>
      </c>
      <c r="B28" s="151">
        <f>SUM(B23:B27)</f>
        <v>0</v>
      </c>
      <c r="D28" s="151">
        <f>SUM(D23:D27)</f>
        <v>0</v>
      </c>
    </row>
    <row r="29" spans="1:4" ht="12.6" customHeight="1" thickBot="1">
      <c r="A29" s="645" t="s">
        <v>536</v>
      </c>
      <c r="B29" s="128">
        <f>IF(SUM(B20,B28)=SUM('Internal Service Template'!O57,'Internal Service Template'!O86),SUM(B20,B28),"ERROR")</f>
        <v>0</v>
      </c>
      <c r="C29" s="644"/>
      <c r="D29" s="128">
        <f>IF(SUM(D20,D28)='Internal Service Template'!O86,SUM(D20,D28),"ERROR")</f>
        <v>0</v>
      </c>
    </row>
    <row r="30" spans="1:4" ht="12.6" customHeight="1" thickTop="1">
      <c r="A30" s="646" t="s">
        <v>170</v>
      </c>
      <c r="B30" s="647">
        <f>SUM(B20,B28)-(SUM('Internal Service Template'!O57,'Internal Service Template'!O86))</f>
        <v>0</v>
      </c>
      <c r="D30" s="647">
        <f>SUM(D20,D28)-'Internal Service Template'!O86</f>
        <v>0</v>
      </c>
    </row>
    <row r="32" spans="1:4" ht="12.6" customHeight="1">
      <c r="A32" s="645" t="s">
        <v>488</v>
      </c>
      <c r="B32" s="648">
        <f>'Internal Service Template'!O59</f>
        <v>0</v>
      </c>
      <c r="C32" s="649" t="s">
        <v>819</v>
      </c>
    </row>
    <row r="33" spans="1:5" ht="12.6" customHeight="1">
      <c r="B33" s="650"/>
      <c r="C33" s="649"/>
    </row>
    <row r="34" spans="1:5" ht="12.6" customHeight="1">
      <c r="A34" s="641" t="s">
        <v>534</v>
      </c>
      <c r="B34" s="648">
        <f>'Internal Service Template'!O60</f>
        <v>0</v>
      </c>
      <c r="C34" s="649" t="s">
        <v>820</v>
      </c>
    </row>
    <row r="35" spans="1:5" ht="12.6" customHeight="1">
      <c r="A35" s="641"/>
      <c r="B35" s="651"/>
      <c r="C35" s="649"/>
    </row>
    <row r="36" spans="1:5" ht="12.6" customHeight="1">
      <c r="A36" s="641"/>
      <c r="B36" s="651"/>
      <c r="C36" s="649"/>
    </row>
    <row r="37" spans="1:5" ht="12.6" customHeight="1">
      <c r="A37" s="641"/>
      <c r="B37" s="651"/>
      <c r="C37" s="649"/>
    </row>
    <row r="38" spans="1:5" ht="12.6" customHeight="1">
      <c r="A38" s="652" t="s">
        <v>3443</v>
      </c>
    </row>
    <row r="39" spans="1:5" ht="12.6" customHeight="1">
      <c r="A39" s="645" t="s">
        <v>868</v>
      </c>
    </row>
    <row r="40" spans="1:5" ht="12.6" customHeight="1">
      <c r="A40" s="645" t="s">
        <v>407</v>
      </c>
    </row>
    <row r="41" spans="1:5" ht="12.6" customHeight="1">
      <c r="A41" s="645"/>
    </row>
    <row r="42" spans="1:5" ht="27" customHeight="1">
      <c r="A42" s="1179" t="s">
        <v>869</v>
      </c>
      <c r="B42" s="1100"/>
      <c r="C42" s="1100"/>
      <c r="D42" s="1100"/>
    </row>
    <row r="44" spans="1:5" ht="12.6" customHeight="1">
      <c r="A44" s="653" t="s">
        <v>832</v>
      </c>
      <c r="B44" s="653" t="s">
        <v>889</v>
      </c>
      <c r="C44" s="653" t="s">
        <v>896</v>
      </c>
      <c r="D44" s="653" t="s">
        <v>890</v>
      </c>
      <c r="E44" s="653" t="s">
        <v>341</v>
      </c>
    </row>
    <row r="45" spans="1:5" ht="12.6" customHeight="1">
      <c r="A45" s="289"/>
      <c r="B45" s="156"/>
      <c r="C45" s="654" t="str">
        <f>IF(B45="","",IFERROR(VLOOKUP(B45,'Fund Vlookup'!B:C,2,FALSE),"Verify fund number and Contact DOA"))</f>
        <v/>
      </c>
      <c r="D45" s="152"/>
      <c r="E45" s="144"/>
    </row>
    <row r="46" spans="1:5" ht="12.6" customHeight="1">
      <c r="A46" s="289"/>
      <c r="B46" s="156"/>
      <c r="C46" s="654" t="str">
        <f>IF(B46="","",IFERROR(VLOOKUP(B46,'Fund Vlookup'!B:C,2,FALSE),"Verify fund number and Contact DOA"))</f>
        <v/>
      </c>
      <c r="D46" s="152"/>
      <c r="E46" s="144"/>
    </row>
    <row r="47" spans="1:5" ht="12.6" customHeight="1">
      <c r="A47" s="289"/>
      <c r="B47" s="156"/>
      <c r="C47" s="654" t="str">
        <f>IF(B47="","",IFERROR(VLOOKUP(B47,'Fund Vlookup'!B:C,2,FALSE),"Verify fund number and Contact DOA"))</f>
        <v/>
      </c>
      <c r="D47" s="152"/>
      <c r="E47" s="144"/>
    </row>
    <row r="48" spans="1:5" ht="12.6" customHeight="1">
      <c r="A48" s="289"/>
      <c r="B48" s="156"/>
      <c r="C48" s="654" t="str">
        <f>IF(B48="","",IFERROR(VLOOKUP(B48,'Fund Vlookup'!B:C,2,FALSE),"Verify fund number and Contact DOA"))</f>
        <v/>
      </c>
      <c r="D48" s="152"/>
      <c r="E48" s="144"/>
    </row>
    <row r="49" spans="1:5" ht="12.6" customHeight="1">
      <c r="A49" s="289"/>
      <c r="B49" s="156"/>
      <c r="C49" s="654" t="str">
        <f>IF(B49="","",IFERROR(VLOOKUP(B49,'Fund Vlookup'!B:C,2,FALSE),"Verify fund number and Contact DOA"))</f>
        <v/>
      </c>
      <c r="D49" s="152"/>
      <c r="E49" s="144"/>
    </row>
    <row r="50" spans="1:5" ht="12.6" customHeight="1">
      <c r="A50" s="289"/>
      <c r="B50" s="156"/>
      <c r="C50" s="654" t="str">
        <f>IF(B50="","",IFERROR(VLOOKUP(B50,'Fund Vlookup'!B:C,2,FALSE),"Verify fund number and Contact DOA"))</f>
        <v/>
      </c>
      <c r="D50" s="152"/>
      <c r="E50" s="144"/>
    </row>
    <row r="51" spans="1:5" ht="12.6" customHeight="1">
      <c r="A51" s="289"/>
      <c r="B51" s="156"/>
      <c r="C51" s="654" t="str">
        <f>IF(B51="","",IFERROR(VLOOKUP(B51,'Fund Vlookup'!B:C,2,FALSE),"Verify fund number and Contact DOA"))</f>
        <v/>
      </c>
      <c r="D51" s="152"/>
      <c r="E51" s="144"/>
    </row>
    <row r="52" spans="1:5" ht="12.6" customHeight="1">
      <c r="A52" s="289"/>
      <c r="B52" s="156"/>
      <c r="C52" s="654" t="str">
        <f>IF(B52="","",IFERROR(VLOOKUP(B52,'Fund Vlookup'!B:C,2,FALSE),"Verify fund number and Contact DOA"))</f>
        <v/>
      </c>
      <c r="D52" s="152"/>
      <c r="E52" s="144"/>
    </row>
    <row r="53" spans="1:5" ht="12.6" customHeight="1">
      <c r="B53" s="626"/>
      <c r="C53" s="631"/>
      <c r="D53" s="631"/>
    </row>
    <row r="54" spans="1:5" ht="12.6" customHeight="1" thickBot="1">
      <c r="A54" s="645" t="s">
        <v>461</v>
      </c>
      <c r="B54" s="645"/>
      <c r="C54" s="631"/>
      <c r="D54" s="631"/>
      <c r="E54" s="655">
        <f>IF(SUM(E45:E52)=B32,SUM(E45:E52), "ERROR")</f>
        <v>0</v>
      </c>
    </row>
    <row r="55" spans="1:5" ht="12.6" customHeight="1" thickTop="1">
      <c r="B55" s="626"/>
      <c r="C55" s="631"/>
      <c r="D55" s="646" t="s">
        <v>146</v>
      </c>
      <c r="E55" s="647">
        <f>SUM(E45:E52)-B32</f>
        <v>0</v>
      </c>
    </row>
    <row r="61" spans="1:5" ht="12.6" customHeight="1">
      <c r="A61" s="1179"/>
      <c r="B61" s="1179"/>
      <c r="C61" s="1179"/>
      <c r="D61" s="1179"/>
    </row>
  </sheetData>
  <sheetProtection algorithmName="SHA-512" hashValue="bCfeOAJ0oy51edMWJWBn2/uLvlpLUQ6YMz8Htl+g+OnP08v8AgZynzUNGJ6VkOG+qLVlcnTQg5O+SqcPSsyNqg==" saltValue="QSiY4sHqG5o8n6FVe5xtmw==" spinCount="100000" sheet="1" objects="1" scenarios="1"/>
  <customSheetViews>
    <customSheetView guid="{5CCA66B6-9DBD-4F43-8EC0-0C18444D6068}" scale="85" showGridLines="0" showRuler="0">
      <selection activeCell="A11" sqref="A11"/>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9">
    <mergeCell ref="A61:D61"/>
    <mergeCell ref="A42:D42"/>
    <mergeCell ref="B1:E1"/>
    <mergeCell ref="B2:E2"/>
    <mergeCell ref="B3:E3"/>
    <mergeCell ref="B4:E4"/>
    <mergeCell ref="B5:E5"/>
    <mergeCell ref="B6:E6"/>
    <mergeCell ref="B7:E7"/>
  </mergeCells>
  <phoneticPr fontId="46" type="noConversion"/>
  <dataValidations xWindow="149" yWindow="258" count="6">
    <dataValidation type="whole" allowBlank="1" showInputMessage="1" showErrorMessage="1" error="Enter a whole number." sqref="E45:E52 B15:B19 D15:D19 B24:B27 D24:D27" xr:uid="{00000000-0002-0000-0800-000000000000}">
      <formula1>-9999999999999</formula1>
      <formula2>9999999999999</formula2>
    </dataValidation>
    <dataValidation type="whole" allowBlank="1" showInputMessage="1" showErrorMessage="1" sqref="D20 B32 D28:D30 B28:B30 B34:B37 B20" xr:uid="{00000000-0002-0000-0800-000001000000}">
      <formula1>-9999999999999</formula1>
      <formula2>9999999999999</formula2>
    </dataValidation>
    <dataValidation type="whole" allowBlank="1" showInputMessage="1" showErrorMessage="1" sqref="B21:B22" xr:uid="{00000000-0002-0000-0800-000002000000}">
      <formula1>0</formula1>
      <formula2>9.99999999999999E+26</formula2>
    </dataValidation>
    <dataValidation type="whole" allowBlank="1" showInputMessage="1" showErrorMessage="1" error="Enter a fund number between 1000 and 99999" sqref="B45:B52" xr:uid="{00000000-0002-0000-0800-000003000000}">
      <formula1>1000</formula1>
      <formula2>99999</formula2>
    </dataValidation>
    <dataValidation type="whole" allowBlank="1" showInputMessage="1" showErrorMessage="1" error="Please enter a negative whole number" sqref="B23 D23" xr:uid="{00000000-0002-0000-0800-000005000000}">
      <formula1>-9999999999999</formula1>
      <formula2>0</formula2>
    </dataValidation>
    <dataValidation type="whole" allowBlank="1" showInputMessage="1" showErrorMessage="1" error="Please enter a number between 10000 and 99600" sqref="A45:A52" xr:uid="{367EBD3F-8F37-4861-8875-848100C9E90B}">
      <formula1>10000</formula1>
      <formula2>99600</formula2>
    </dataValidation>
  </dataValidations>
  <pageMargins left="0.75" right="0.32" top="0.74" bottom="0.37" header="0.19" footer="0.17"/>
  <pageSetup scale="69"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260"/>
  <sheetViews>
    <sheetView showGridLines="0" topLeftCell="A151" zoomScale="110" zoomScaleNormal="110" zoomScaleSheetLayoutView="85" workbookViewId="0">
      <selection activeCell="J169" sqref="J169"/>
    </sheetView>
  </sheetViews>
  <sheetFormatPr defaultColWidth="8" defaultRowHeight="12.6" customHeight="1"/>
  <cols>
    <col min="1" max="1" width="32.109375" style="657" customWidth="1"/>
    <col min="2" max="2" width="2.88671875" style="657" customWidth="1"/>
    <col min="3" max="3" width="2.6640625" style="657" customWidth="1"/>
    <col min="4" max="4" width="15.88671875" style="51" customWidth="1"/>
    <col min="5" max="6" width="2" style="657" customWidth="1"/>
    <col min="7" max="7" width="15.88671875" style="51" customWidth="1"/>
    <col min="8" max="8" width="2.5546875" style="657" customWidth="1"/>
    <col min="9" max="9" width="6.109375" style="657" customWidth="1"/>
    <col min="10" max="10" width="16.109375" style="51" customWidth="1"/>
    <col min="11" max="12" width="2" style="657" customWidth="1"/>
    <col min="13" max="13" width="16.5546875" style="51" customWidth="1"/>
    <col min="14" max="14" width="1.6640625" style="51" customWidth="1"/>
    <col min="15" max="15" width="15.88671875" style="657" customWidth="1"/>
    <col min="16" max="16" width="13.44140625" style="657" hidden="1" customWidth="1"/>
    <col min="17" max="17" width="5.44140625" style="657" customWidth="1"/>
    <col min="18" max="19" width="8" style="657" customWidth="1"/>
    <col min="20" max="20" width="10.44140625" style="657" bestFit="1" customWidth="1"/>
    <col min="21" max="16384" width="8" style="657"/>
  </cols>
  <sheetData>
    <row r="1" spans="1:15" ht="14.25" customHeight="1">
      <c r="A1" s="1213" t="str">
        <f>'Internal Service Template'!A1:D1</f>
        <v>Agency Number:</v>
      </c>
      <c r="B1" s="1214"/>
      <c r="C1" s="1215"/>
      <c r="D1" s="1226" t="str">
        <f>'Internal Service Template'!E1</f>
        <v/>
      </c>
      <c r="E1" s="1227"/>
      <c r="F1" s="1227"/>
      <c r="G1" s="1227"/>
      <c r="H1" s="1227"/>
      <c r="I1" s="1227"/>
      <c r="J1" s="1227"/>
      <c r="K1" s="1227"/>
      <c r="L1" s="1227"/>
      <c r="M1" s="1228"/>
      <c r="N1" s="656"/>
    </row>
    <row r="2" spans="1:15" ht="12.75" customHeight="1">
      <c r="A2" s="1213" t="str">
        <f>'Internal Service Template'!A2:D2</f>
        <v>Agency Fund Name:</v>
      </c>
      <c r="B2" s="1214"/>
      <c r="C2" s="1215"/>
      <c r="D2" s="1226" t="str">
        <f>IF('Internal Service Template'!E2="","",'Internal Service Template'!E2)</f>
        <v/>
      </c>
      <c r="E2" s="1227"/>
      <c r="F2" s="1227"/>
      <c r="G2" s="1227"/>
      <c r="H2" s="1227"/>
      <c r="I2" s="1227"/>
      <c r="J2" s="1227"/>
      <c r="K2" s="1227"/>
      <c r="L2" s="1227"/>
      <c r="M2" s="1228"/>
      <c r="N2" s="656"/>
    </row>
    <row r="3" spans="1:15" ht="15" customHeight="1">
      <c r="A3" s="1213" t="str">
        <f>'Internal Service Template'!A3:D3</f>
        <v>Agency Contact Name:</v>
      </c>
      <c r="B3" s="1214"/>
      <c r="C3" s="1215"/>
      <c r="D3" s="1216" t="str">
        <f>IF('Internal Service Template'!E3="","",'Internal Service Template'!E3)</f>
        <v/>
      </c>
      <c r="E3" s="1217"/>
      <c r="F3" s="1217"/>
      <c r="G3" s="1217"/>
      <c r="H3" s="1217"/>
      <c r="I3" s="1217"/>
      <c r="J3" s="1217"/>
      <c r="K3" s="1217"/>
      <c r="L3" s="1217"/>
      <c r="M3" s="1218"/>
      <c r="N3" s="656"/>
    </row>
    <row r="4" spans="1:15" ht="12.75" customHeight="1">
      <c r="A4" s="1213" t="str">
        <f>'Internal Service Template'!A4:D4</f>
        <v>Agency Contact Phone Number:</v>
      </c>
      <c r="B4" s="1214"/>
      <c r="C4" s="1215"/>
      <c r="D4" s="1219" t="str">
        <f>IF('Internal Service Template'!E4="","",'Internal Service Template'!E4)</f>
        <v/>
      </c>
      <c r="E4" s="1220"/>
      <c r="F4" s="1220"/>
      <c r="G4" s="1220"/>
      <c r="H4" s="1220"/>
      <c r="I4" s="1220"/>
      <c r="J4" s="1220"/>
      <c r="K4" s="1220"/>
      <c r="L4" s="1220"/>
      <c r="M4" s="1221"/>
      <c r="N4" s="656"/>
    </row>
    <row r="5" spans="1:15" ht="12.75" customHeight="1">
      <c r="A5" s="1213" t="str">
        <f>'Internal Service Template'!A5:D5</f>
        <v>Agency Contact E-mail Address:</v>
      </c>
      <c r="B5" s="1214"/>
      <c r="C5" s="1215"/>
      <c r="D5" s="1237" t="str">
        <f>IF('Internal Service Template'!E5="","",'Internal Service Template'!E5)</f>
        <v/>
      </c>
      <c r="E5" s="1238"/>
      <c r="F5" s="1238"/>
      <c r="G5" s="1238"/>
      <c r="H5" s="1238"/>
      <c r="I5" s="1238"/>
      <c r="J5" s="1238"/>
      <c r="K5" s="1238"/>
      <c r="L5" s="1238"/>
      <c r="M5" s="1239"/>
      <c r="N5" s="656"/>
    </row>
    <row r="6" spans="1:15" ht="12.75" customHeight="1">
      <c r="A6" s="1213" t="str">
        <f>'Internal Service Template'!A6:D6</f>
        <v>Date Completed:</v>
      </c>
      <c r="B6" s="1214"/>
      <c r="C6" s="1215"/>
      <c r="D6" s="1223" t="str">
        <f>IF('Internal Service Template'!E6="","",'Internal Service Template'!E6)</f>
        <v/>
      </c>
      <c r="E6" s="1224"/>
      <c r="F6" s="1224"/>
      <c r="G6" s="1224"/>
      <c r="H6" s="1224"/>
      <c r="I6" s="1224"/>
      <c r="J6" s="1224"/>
      <c r="K6" s="1224"/>
      <c r="L6" s="1224"/>
      <c r="M6" s="1225"/>
      <c r="N6" s="658"/>
    </row>
    <row r="7" spans="1:15" ht="12.75" customHeight="1">
      <c r="A7" s="1213" t="str">
        <f>'Internal Service Template'!A7:D7</f>
        <v>Fund Number:</v>
      </c>
      <c r="B7" s="1214"/>
      <c r="C7" s="1215"/>
      <c r="D7" s="1226" t="str">
        <f>'Internal Service Template'!E7</f>
        <v/>
      </c>
      <c r="E7" s="1227"/>
      <c r="F7" s="1227"/>
      <c r="G7" s="1227"/>
      <c r="H7" s="1227"/>
      <c r="I7" s="1227"/>
      <c r="J7" s="1227"/>
      <c r="K7" s="1227"/>
      <c r="L7" s="1227"/>
      <c r="M7" s="1228"/>
      <c r="N7" s="656"/>
    </row>
    <row r="8" spans="1:15" ht="20.25" customHeight="1">
      <c r="A8" s="659" t="s">
        <v>3297</v>
      </c>
      <c r="B8" s="660"/>
      <c r="C8" s="660"/>
      <c r="D8" s="660"/>
      <c r="E8" s="660"/>
      <c r="F8" s="660"/>
      <c r="G8" s="660"/>
      <c r="H8" s="660"/>
      <c r="I8" s="660"/>
      <c r="J8" s="660"/>
      <c r="K8" s="660"/>
      <c r="L8" s="661"/>
      <c r="M8" s="52"/>
      <c r="N8" s="52"/>
    </row>
    <row r="9" spans="1:15" ht="12.6" customHeight="1">
      <c r="A9" s="662" t="s">
        <v>196</v>
      </c>
      <c r="B9" s="17"/>
      <c r="C9" s="17"/>
      <c r="D9" s="17"/>
      <c r="G9" s="53"/>
      <c r="J9" s="53"/>
      <c r="M9" s="53"/>
      <c r="N9" s="53"/>
    </row>
    <row r="10" spans="1:15" s="664" customFormat="1" ht="12.6" customHeight="1">
      <c r="A10" s="663" t="str">
        <f>'Tab 2-Receivables'!A10</f>
        <v>For the Year Ended June 30, 2024</v>
      </c>
      <c r="B10" s="17"/>
      <c r="C10" s="17"/>
      <c r="D10" s="17"/>
      <c r="F10" s="665"/>
      <c r="G10" s="54"/>
      <c r="I10" s="665"/>
      <c r="J10" s="54"/>
      <c r="L10" s="665"/>
      <c r="M10" s="55"/>
      <c r="N10" s="55"/>
    </row>
    <row r="11" spans="1:15" s="664" customFormat="1" ht="12.6" hidden="1" customHeight="1">
      <c r="A11" s="666"/>
      <c r="B11" s="17"/>
      <c r="C11" s="17"/>
      <c r="D11" s="17"/>
      <c r="F11" s="665"/>
      <c r="G11" s="54"/>
      <c r="I11" s="665"/>
      <c r="J11" s="54"/>
      <c r="L11" s="665"/>
      <c r="M11" s="55"/>
      <c r="N11" s="55"/>
    </row>
    <row r="12" spans="1:15" s="664" customFormat="1" ht="12.6" customHeight="1">
      <c r="C12" s="1236" t="s">
        <v>97</v>
      </c>
      <c r="D12" s="1236"/>
      <c r="E12" s="55"/>
      <c r="F12" s="56"/>
      <c r="G12" s="56"/>
      <c r="H12" s="55"/>
      <c r="I12" s="56"/>
      <c r="J12" s="56"/>
      <c r="K12" s="55"/>
      <c r="L12" s="1222"/>
      <c r="M12" s="1222"/>
      <c r="N12" s="253"/>
    </row>
    <row r="13" spans="1:15" s="664" customFormat="1" ht="12.6" customHeight="1">
      <c r="C13" s="1231" t="s">
        <v>3904</v>
      </c>
      <c r="D13" s="1232"/>
      <c r="E13" s="55"/>
      <c r="F13" s="56"/>
      <c r="G13" s="57" t="s">
        <v>98</v>
      </c>
      <c r="H13" s="55"/>
      <c r="I13" s="56"/>
      <c r="J13" s="56" t="s">
        <v>99</v>
      </c>
      <c r="K13" s="55"/>
      <c r="L13" s="1222" t="s">
        <v>97</v>
      </c>
      <c r="M13" s="1222"/>
      <c r="N13" s="253"/>
      <c r="O13" s="667" t="s">
        <v>147</v>
      </c>
    </row>
    <row r="14" spans="1:15" s="664" customFormat="1" ht="12" customHeight="1">
      <c r="C14" s="1233" t="s">
        <v>234</v>
      </c>
      <c r="D14" s="1233"/>
      <c r="E14" s="55"/>
      <c r="F14" s="58"/>
      <c r="G14" s="58" t="s">
        <v>234</v>
      </c>
      <c r="H14" s="55"/>
      <c r="I14" s="58"/>
      <c r="J14" s="58" t="s">
        <v>235</v>
      </c>
      <c r="K14" s="55"/>
      <c r="L14" s="1234" t="s">
        <v>3905</v>
      </c>
      <c r="M14" s="1235"/>
      <c r="N14" s="126"/>
      <c r="O14" s="667" t="s">
        <v>133</v>
      </c>
    </row>
    <row r="15" spans="1:15" ht="12.6" customHeight="1">
      <c r="A15" s="657" t="s">
        <v>100</v>
      </c>
    </row>
    <row r="16" spans="1:15" ht="12.6" customHeight="1">
      <c r="A16" s="657" t="s">
        <v>101</v>
      </c>
      <c r="C16" s="59" t="s">
        <v>102</v>
      </c>
      <c r="D16" s="2"/>
      <c r="E16" s="50"/>
      <c r="F16" s="50" t="s">
        <v>102</v>
      </c>
      <c r="G16" s="2"/>
      <c r="H16" s="50"/>
      <c r="I16" s="50" t="s">
        <v>102</v>
      </c>
      <c r="J16" s="2"/>
      <c r="K16" s="50"/>
      <c r="L16" s="50" t="s">
        <v>102</v>
      </c>
      <c r="M16" s="50">
        <f>SUM(D16,G16,J16)</f>
        <v>0</v>
      </c>
      <c r="N16" s="50"/>
    </row>
    <row r="17" spans="1:15" ht="12.6" customHeight="1">
      <c r="A17" s="668" t="s">
        <v>817</v>
      </c>
      <c r="C17" s="59"/>
      <c r="D17" s="2"/>
      <c r="E17" s="50"/>
      <c r="F17" s="111"/>
      <c r="G17" s="2"/>
      <c r="H17" s="50"/>
      <c r="I17" s="111"/>
      <c r="J17" s="2"/>
      <c r="K17" s="50"/>
      <c r="L17" s="111"/>
      <c r="M17" s="111">
        <f>SUM(D17,G17,J17)</f>
        <v>0</v>
      </c>
      <c r="N17" s="111"/>
    </row>
    <row r="18" spans="1:15" ht="12.6" customHeight="1">
      <c r="A18" s="657" t="s">
        <v>137</v>
      </c>
      <c r="C18" s="59"/>
      <c r="D18" s="2"/>
      <c r="E18" s="50"/>
      <c r="F18" s="111"/>
      <c r="G18" s="2"/>
      <c r="H18" s="50"/>
      <c r="I18" s="111"/>
      <c r="J18" s="2"/>
      <c r="K18" s="50"/>
      <c r="L18" s="111"/>
      <c r="M18" s="111">
        <f>SUM(D18,G18,J18)</f>
        <v>0</v>
      </c>
      <c r="N18" s="111"/>
    </row>
    <row r="19" spans="1:15" ht="12.6" customHeight="1">
      <c r="A19" s="657" t="s">
        <v>138</v>
      </c>
      <c r="C19" s="59"/>
      <c r="D19" s="2"/>
      <c r="E19" s="50"/>
      <c r="F19" s="111"/>
      <c r="G19" s="2"/>
      <c r="H19" s="50"/>
      <c r="I19" s="111"/>
      <c r="J19" s="2"/>
      <c r="K19" s="50"/>
      <c r="L19" s="111"/>
      <c r="M19" s="111">
        <f>SUM(D19,G19,J19)</f>
        <v>0</v>
      </c>
      <c r="N19" s="111"/>
    </row>
    <row r="20" spans="1:15" ht="29.25" customHeight="1">
      <c r="A20" s="669" t="s">
        <v>338</v>
      </c>
      <c r="C20" s="59"/>
      <c r="D20" s="2"/>
      <c r="E20" s="50"/>
      <c r="F20" s="111"/>
      <c r="G20" s="2"/>
      <c r="H20" s="50"/>
      <c r="I20" s="111"/>
      <c r="J20" s="2"/>
      <c r="K20" s="50"/>
      <c r="L20" s="111"/>
      <c r="M20" s="111">
        <f>SUM(D20,G20,J20)</f>
        <v>0</v>
      </c>
      <c r="N20" s="111"/>
    </row>
    <row r="21" spans="1:15" ht="10.199999999999999">
      <c r="A21" s="435" t="str">
        <f>IF(AND(D20="",G20="",J20=""),"N/A","Answer Required")</f>
        <v>N/A</v>
      </c>
      <c r="C21" s="59"/>
      <c r="D21" s="90"/>
      <c r="E21" s="90"/>
      <c r="F21" s="90"/>
      <c r="G21" s="90"/>
      <c r="H21" s="90"/>
      <c r="I21" s="90"/>
      <c r="J21" s="90"/>
      <c r="K21" s="90"/>
      <c r="L21" s="90"/>
      <c r="M21" s="90"/>
      <c r="N21" s="111"/>
    </row>
    <row r="22" spans="1:15" ht="12.6" customHeight="1">
      <c r="A22" s="657" t="s">
        <v>104</v>
      </c>
      <c r="C22" s="670"/>
      <c r="D22" s="61">
        <f>SUM(D16:D20)</f>
        <v>0</v>
      </c>
      <c r="E22" s="50"/>
      <c r="F22" s="61"/>
      <c r="G22" s="61">
        <f>SUM(G16:G20)</f>
        <v>0</v>
      </c>
      <c r="H22" s="50"/>
      <c r="I22" s="61"/>
      <c r="J22" s="61">
        <f>SUM(J16:J20)</f>
        <v>0</v>
      </c>
      <c r="K22" s="50"/>
      <c r="L22" s="61"/>
      <c r="M22" s="117">
        <f>IF(SUM(M16:M20)='Internal Service Template'!O92,SUM(M16:M20),"ERROR")</f>
        <v>0</v>
      </c>
      <c r="N22" s="90"/>
      <c r="O22" s="671">
        <f>(SUM(M16:M20))-'Internal Service Template'!O92</f>
        <v>0</v>
      </c>
    </row>
    <row r="23" spans="1:15" ht="12.6" customHeight="1">
      <c r="C23" s="59"/>
      <c r="D23" s="111"/>
      <c r="E23" s="59"/>
      <c r="F23" s="59"/>
      <c r="G23" s="111"/>
      <c r="H23" s="59"/>
      <c r="I23" s="59"/>
      <c r="J23" s="111"/>
      <c r="K23" s="59"/>
      <c r="L23" s="59"/>
      <c r="M23" s="112"/>
      <c r="N23" s="112"/>
    </row>
    <row r="24" spans="1:15" ht="12.6" customHeight="1">
      <c r="A24" s="668" t="s">
        <v>3077</v>
      </c>
      <c r="C24" s="59"/>
      <c r="D24" s="111"/>
      <c r="E24" s="59"/>
      <c r="F24" s="59"/>
      <c r="G24" s="111"/>
      <c r="H24" s="59"/>
      <c r="I24" s="59"/>
      <c r="J24" s="111"/>
      <c r="K24" s="59"/>
      <c r="L24" s="59"/>
      <c r="M24" s="111"/>
      <c r="N24" s="111"/>
    </row>
    <row r="25" spans="1:15" ht="12.6" customHeight="1">
      <c r="A25" s="657" t="s">
        <v>106</v>
      </c>
      <c r="C25" s="59"/>
      <c r="D25" s="2"/>
      <c r="E25" s="50"/>
      <c r="F25" s="50"/>
      <c r="G25" s="2"/>
      <c r="H25" s="50"/>
      <c r="I25" s="50"/>
      <c r="J25" s="2"/>
      <c r="K25" s="50"/>
      <c r="L25" s="50"/>
      <c r="M25" s="50">
        <f>SUM(D25,G25,J25)</f>
        <v>0</v>
      </c>
      <c r="N25" s="50"/>
    </row>
    <row r="26" spans="1:15" ht="12.6" customHeight="1">
      <c r="A26" s="657" t="s">
        <v>107</v>
      </c>
      <c r="C26" s="59"/>
      <c r="D26" s="2"/>
      <c r="E26" s="50"/>
      <c r="F26" s="50"/>
      <c r="G26" s="2"/>
      <c r="H26" s="50"/>
      <c r="I26" s="50"/>
      <c r="J26" s="2"/>
      <c r="K26" s="50"/>
      <c r="L26" s="50"/>
      <c r="M26" s="50">
        <f>SUM(D26,G26,J26)</f>
        <v>0</v>
      </c>
      <c r="N26" s="50"/>
    </row>
    <row r="27" spans="1:15" ht="12.6" customHeight="1">
      <c r="A27" s="657" t="s">
        <v>108</v>
      </c>
      <c r="C27" s="59"/>
      <c r="D27" s="2"/>
      <c r="E27" s="50"/>
      <c r="F27" s="111"/>
      <c r="G27" s="2"/>
      <c r="H27" s="50"/>
      <c r="I27" s="111"/>
      <c r="J27" s="2"/>
      <c r="K27" s="50"/>
      <c r="L27" s="111"/>
      <c r="M27" s="111">
        <f>SUM(D27,G27,J27)</f>
        <v>0</v>
      </c>
      <c r="N27" s="111"/>
    </row>
    <row r="28" spans="1:15" ht="12.6" customHeight="1">
      <c r="A28" s="657" t="s">
        <v>140</v>
      </c>
      <c r="C28" s="59"/>
      <c r="D28" s="2"/>
      <c r="E28" s="50"/>
      <c r="F28" s="50"/>
      <c r="G28" s="2"/>
      <c r="H28" s="50"/>
      <c r="I28" s="50"/>
      <c r="J28" s="2"/>
      <c r="K28" s="50"/>
      <c r="L28" s="50"/>
      <c r="M28" s="111">
        <f>SUM(D28,G28,J28)</f>
        <v>0</v>
      </c>
      <c r="N28" s="111"/>
    </row>
    <row r="29" spans="1:15" ht="12.6" customHeight="1">
      <c r="A29" s="668" t="s">
        <v>823</v>
      </c>
      <c r="C29" s="59"/>
      <c r="D29" s="2"/>
      <c r="E29" s="50"/>
      <c r="F29" s="50"/>
      <c r="G29" s="2"/>
      <c r="H29" s="50"/>
      <c r="I29" s="50"/>
      <c r="J29" s="2"/>
      <c r="K29" s="50"/>
      <c r="L29" s="50"/>
      <c r="M29" s="111">
        <f>SUM(D29,G29,J29)</f>
        <v>0</v>
      </c>
      <c r="N29" s="111"/>
    </row>
    <row r="30" spans="1:15" ht="12.6" customHeight="1">
      <c r="A30" s="657" t="s">
        <v>339</v>
      </c>
      <c r="C30" s="59"/>
      <c r="D30" s="90"/>
      <c r="E30" s="90"/>
      <c r="F30" s="90"/>
      <c r="G30" s="90"/>
      <c r="H30" s="90"/>
      <c r="I30" s="90"/>
      <c r="J30" s="90"/>
      <c r="K30" s="90"/>
      <c r="L30" s="90"/>
      <c r="M30" s="90"/>
      <c r="N30" s="111"/>
    </row>
    <row r="31" spans="1:15" ht="12.6" customHeight="1">
      <c r="A31" s="672" t="s">
        <v>303</v>
      </c>
      <c r="C31" s="59"/>
      <c r="D31" s="2"/>
      <c r="E31" s="50"/>
      <c r="F31" s="50"/>
      <c r="G31" s="2"/>
      <c r="H31" s="50"/>
      <c r="I31" s="50"/>
      <c r="J31" s="2"/>
      <c r="K31" s="50"/>
      <c r="L31" s="50"/>
      <c r="M31" s="111">
        <f>SUM(D31,G31,J31)</f>
        <v>0</v>
      </c>
      <c r="N31" s="111"/>
    </row>
    <row r="32" spans="1:15" ht="12.6" customHeight="1">
      <c r="A32" s="673" t="s">
        <v>154</v>
      </c>
      <c r="C32" s="59"/>
      <c r="D32" s="2"/>
      <c r="E32" s="50"/>
      <c r="F32" s="50"/>
      <c r="G32" s="2"/>
      <c r="H32" s="50"/>
      <c r="I32" s="50"/>
      <c r="J32" s="2"/>
      <c r="K32" s="50"/>
      <c r="L32" s="50"/>
      <c r="M32" s="111">
        <f>SUM(D32,G32,J32)</f>
        <v>0</v>
      </c>
      <c r="N32" s="111"/>
    </row>
    <row r="33" spans="1:14" ht="12.6" customHeight="1">
      <c r="A33" s="673" t="s">
        <v>821</v>
      </c>
      <c r="C33" s="59"/>
      <c r="D33" s="2"/>
      <c r="E33" s="50"/>
      <c r="F33" s="50"/>
      <c r="G33" s="2"/>
      <c r="H33" s="50"/>
      <c r="I33" s="50"/>
      <c r="J33" s="2"/>
      <c r="K33" s="50"/>
      <c r="L33" s="50"/>
      <c r="M33" s="111">
        <f>SUM(D33,G33,J33)</f>
        <v>0</v>
      </c>
      <c r="N33" s="111"/>
    </row>
    <row r="34" spans="1:14" ht="12.6" customHeight="1">
      <c r="A34" s="672" t="s">
        <v>156</v>
      </c>
      <c r="C34" s="59"/>
      <c r="D34" s="2"/>
      <c r="E34" s="50"/>
      <c r="F34" s="50"/>
      <c r="G34" s="2"/>
      <c r="H34" s="50"/>
      <c r="I34" s="50"/>
      <c r="J34" s="2"/>
      <c r="K34" s="50"/>
      <c r="L34" s="61"/>
      <c r="M34" s="61">
        <f>SUM(D34,G34,J34)</f>
        <v>0</v>
      </c>
      <c r="N34" s="111"/>
    </row>
    <row r="35" spans="1:14" ht="10.199999999999999">
      <c r="A35" s="435" t="str">
        <f>IF(AND(D34="",G34="",J34=""),"N/A","Answer Required")</f>
        <v>N/A</v>
      </c>
      <c r="C35" s="59"/>
      <c r="D35" s="90"/>
      <c r="E35" s="50"/>
      <c r="F35" s="50"/>
      <c r="G35" s="90"/>
      <c r="H35" s="50"/>
      <c r="I35" s="50"/>
      <c r="J35" s="90"/>
      <c r="K35" s="50"/>
      <c r="L35" s="111"/>
      <c r="M35" s="111"/>
      <c r="N35" s="111"/>
    </row>
    <row r="36" spans="1:14" ht="12.6" customHeight="1">
      <c r="A36" s="668" t="s">
        <v>3262</v>
      </c>
      <c r="C36" s="59"/>
      <c r="D36" s="90"/>
      <c r="E36" s="90"/>
      <c r="F36" s="90"/>
      <c r="G36" s="90"/>
      <c r="H36" s="90"/>
      <c r="I36" s="90"/>
      <c r="J36" s="90"/>
      <c r="K36" s="90"/>
      <c r="L36" s="90"/>
      <c r="M36" s="90"/>
      <c r="N36" s="111"/>
    </row>
    <row r="37" spans="1:14" ht="12.6" customHeight="1">
      <c r="A37" s="673" t="s">
        <v>101</v>
      </c>
      <c r="C37" s="59"/>
      <c r="D37" s="2"/>
      <c r="E37" s="50"/>
      <c r="F37" s="50"/>
      <c r="G37" s="2"/>
      <c r="H37" s="50"/>
      <c r="I37" s="50"/>
      <c r="J37" s="2"/>
      <c r="K37" s="50"/>
      <c r="L37" s="50"/>
      <c r="M37" s="111">
        <f>SUM(D37,G37,J37)</f>
        <v>0</v>
      </c>
      <c r="N37" s="111"/>
    </row>
    <row r="38" spans="1:14" ht="12.6" customHeight="1">
      <c r="A38" s="673" t="s">
        <v>106</v>
      </c>
      <c r="C38" s="59"/>
      <c r="D38" s="2"/>
      <c r="E38" s="50"/>
      <c r="F38" s="50"/>
      <c r="G38" s="2"/>
      <c r="H38" s="50"/>
      <c r="I38" s="50"/>
      <c r="J38" s="2"/>
      <c r="K38" s="50"/>
      <c r="L38" s="50"/>
      <c r="M38" s="111">
        <f>SUM(D38,G38,J38)</f>
        <v>0</v>
      </c>
      <c r="N38" s="111"/>
    </row>
    <row r="39" spans="1:14" ht="12.6" customHeight="1">
      <c r="A39" s="673" t="s">
        <v>107</v>
      </c>
      <c r="C39" s="59"/>
      <c r="D39" s="2"/>
      <c r="E39" s="50"/>
      <c r="F39" s="50"/>
      <c r="G39" s="2"/>
      <c r="H39" s="50"/>
      <c r="I39" s="50"/>
      <c r="J39" s="2"/>
      <c r="K39" s="50"/>
      <c r="L39" s="50"/>
      <c r="M39" s="111">
        <f>SUM(D39,G39,J39)</f>
        <v>0</v>
      </c>
      <c r="N39" s="111"/>
    </row>
    <row r="40" spans="1:14" ht="12.6" customHeight="1">
      <c r="A40" s="673" t="s">
        <v>108</v>
      </c>
      <c r="C40" s="59"/>
      <c r="D40" s="2"/>
      <c r="E40" s="50"/>
      <c r="F40" s="50"/>
      <c r="G40" s="2"/>
      <c r="H40" s="50"/>
      <c r="I40" s="50"/>
      <c r="J40" s="2"/>
      <c r="K40" s="50"/>
      <c r="L40" s="50"/>
      <c r="M40" s="111">
        <f>SUM(D40,G40,J40)</f>
        <v>0</v>
      </c>
      <c r="N40" s="111"/>
    </row>
    <row r="41" spans="1:14" ht="12.6" customHeight="1">
      <c r="A41" s="672" t="s">
        <v>156</v>
      </c>
      <c r="C41" s="59"/>
      <c r="D41" s="2"/>
      <c r="E41" s="50"/>
      <c r="F41" s="50"/>
      <c r="G41" s="2"/>
      <c r="H41" s="50"/>
      <c r="I41" s="50"/>
      <c r="J41" s="2"/>
      <c r="K41" s="50"/>
      <c r="L41" s="111"/>
      <c r="M41" s="111">
        <f>SUM(D41,G41,J41)</f>
        <v>0</v>
      </c>
      <c r="N41" s="111"/>
    </row>
    <row r="42" spans="1:14" ht="10.199999999999999">
      <c r="A42" s="435" t="str">
        <f>IF(AND(D41="",G41="",J41=""),"N/A","Answer Required")</f>
        <v>N/A</v>
      </c>
      <c r="C42" s="59"/>
      <c r="D42" s="90"/>
      <c r="E42" s="50"/>
      <c r="F42" s="50"/>
      <c r="G42" s="90"/>
      <c r="H42" s="50"/>
      <c r="I42" s="50"/>
      <c r="J42" s="90"/>
      <c r="K42" s="50"/>
      <c r="L42" s="111"/>
      <c r="M42" s="111"/>
      <c r="N42" s="111"/>
    </row>
    <row r="43" spans="1:14" ht="10.199999999999999">
      <c r="A43" s="668" t="s">
        <v>3296</v>
      </c>
      <c r="C43" s="59"/>
      <c r="D43" s="2"/>
      <c r="E43" s="50"/>
      <c r="F43" s="50"/>
      <c r="G43" s="2"/>
      <c r="H43" s="50"/>
      <c r="I43" s="50"/>
      <c r="J43" s="2"/>
      <c r="K43" s="50"/>
      <c r="L43" s="111"/>
      <c r="M43" s="111">
        <f>SUM(D43,G43,J43)</f>
        <v>0</v>
      </c>
      <c r="N43" s="111"/>
    </row>
    <row r="44" spans="1:14" ht="10.199999999999999">
      <c r="A44" s="668"/>
      <c r="C44" s="59"/>
      <c r="D44" s="90"/>
      <c r="E44" s="116"/>
      <c r="F44" s="116"/>
      <c r="G44" s="90"/>
      <c r="H44" s="116"/>
      <c r="I44" s="116"/>
      <c r="J44" s="90"/>
      <c r="K44" s="50"/>
      <c r="L44" s="111"/>
      <c r="M44" s="111"/>
      <c r="N44" s="111"/>
    </row>
    <row r="45" spans="1:14" ht="12.6" customHeight="1">
      <c r="A45" s="668" t="s">
        <v>3281</v>
      </c>
      <c r="C45" s="670"/>
      <c r="D45" s="61">
        <f>SUM(D25:D43)</f>
        <v>0</v>
      </c>
      <c r="E45" s="111"/>
      <c r="F45" s="111"/>
      <c r="G45" s="61">
        <f>SUM(G25:G43)</f>
        <v>0</v>
      </c>
      <c r="H45" s="111"/>
      <c r="I45" s="61"/>
      <c r="J45" s="61">
        <f>SUM(J25:J43)</f>
        <v>0</v>
      </c>
      <c r="K45" s="50"/>
      <c r="L45" s="61"/>
      <c r="M45" s="61">
        <f>SUM(M25:M43)</f>
        <v>0</v>
      </c>
      <c r="N45" s="111"/>
    </row>
    <row r="46" spans="1:14" ht="12.6" customHeight="1">
      <c r="A46" s="674"/>
      <c r="D46" s="113"/>
      <c r="G46" s="113"/>
      <c r="J46" s="113"/>
      <c r="M46" s="113"/>
      <c r="N46" s="113"/>
    </row>
    <row r="47" spans="1:14" ht="12.6" customHeight="1">
      <c r="A47" s="675" t="s">
        <v>110</v>
      </c>
      <c r="D47" s="113"/>
      <c r="G47" s="113"/>
      <c r="J47" s="113"/>
      <c r="M47" s="113"/>
      <c r="N47" s="113"/>
    </row>
    <row r="48" spans="1:14" ht="12.6" customHeight="1">
      <c r="A48" s="657" t="s">
        <v>111</v>
      </c>
      <c r="D48" s="2"/>
      <c r="G48" s="2"/>
      <c r="J48" s="2"/>
      <c r="M48" s="50">
        <f>SUM(D48,G48,J48)</f>
        <v>0</v>
      </c>
      <c r="N48" s="50"/>
    </row>
    <row r="49" spans="1:14" ht="12.6" customHeight="1">
      <c r="A49" s="657" t="s">
        <v>112</v>
      </c>
      <c r="D49" s="2"/>
      <c r="G49" s="2"/>
      <c r="J49" s="2"/>
      <c r="M49" s="50">
        <f>SUM(D49,G49,J49)</f>
        <v>0</v>
      </c>
      <c r="N49" s="50"/>
    </row>
    <row r="50" spans="1:14" ht="12.6" customHeight="1">
      <c r="A50" s="657" t="s">
        <v>113</v>
      </c>
      <c r="C50" s="59"/>
      <c r="D50" s="2"/>
      <c r="G50" s="2"/>
      <c r="J50" s="2"/>
      <c r="M50" s="50">
        <f>SUM(D50,G50,J50)</f>
        <v>0</v>
      </c>
      <c r="N50" s="111"/>
    </row>
    <row r="51" spans="1:14" ht="12.6" customHeight="1">
      <c r="A51" s="676" t="s">
        <v>140</v>
      </c>
      <c r="C51" s="59"/>
      <c r="D51" s="2"/>
      <c r="G51" s="2"/>
      <c r="J51" s="2"/>
      <c r="M51" s="50">
        <f t="shared" ref="M51:M57" si="0">SUM(D51,G51,J51)</f>
        <v>0</v>
      </c>
      <c r="N51" s="111"/>
    </row>
    <row r="52" spans="1:14" ht="12.6" customHeight="1">
      <c r="A52" s="677" t="s">
        <v>823</v>
      </c>
      <c r="C52" s="59"/>
      <c r="D52" s="2"/>
      <c r="G52" s="2"/>
      <c r="J52" s="2"/>
      <c r="M52" s="50">
        <f t="shared" si="0"/>
        <v>0</v>
      </c>
      <c r="N52" s="111"/>
    </row>
    <row r="53" spans="1:14" ht="12.6" customHeight="1">
      <c r="A53" s="676" t="s">
        <v>339</v>
      </c>
      <c r="C53" s="59"/>
      <c r="D53" s="110"/>
      <c r="E53" s="116"/>
      <c r="F53" s="90"/>
      <c r="G53" s="110"/>
      <c r="H53" s="116"/>
      <c r="I53" s="90"/>
      <c r="J53" s="110"/>
      <c r="K53" s="116"/>
      <c r="L53" s="90"/>
      <c r="M53" s="90"/>
      <c r="N53" s="111"/>
    </row>
    <row r="54" spans="1:14" ht="12.6" customHeight="1">
      <c r="A54" s="672" t="s">
        <v>303</v>
      </c>
      <c r="C54" s="59"/>
      <c r="D54" s="2"/>
      <c r="G54" s="2"/>
      <c r="J54" s="2"/>
      <c r="M54" s="50">
        <f t="shared" si="0"/>
        <v>0</v>
      </c>
      <c r="N54" s="111"/>
    </row>
    <row r="55" spans="1:14" ht="12.6" customHeight="1">
      <c r="A55" s="673" t="s">
        <v>154</v>
      </c>
      <c r="C55" s="59"/>
      <c r="D55" s="2"/>
      <c r="G55" s="2"/>
      <c r="J55" s="2"/>
      <c r="M55" s="50">
        <f t="shared" si="0"/>
        <v>0</v>
      </c>
      <c r="N55" s="111"/>
    </row>
    <row r="56" spans="1:14" ht="12.6" customHeight="1">
      <c r="A56" s="673" t="s">
        <v>821</v>
      </c>
      <c r="C56" s="59"/>
      <c r="D56" s="2"/>
      <c r="G56" s="2"/>
      <c r="J56" s="2"/>
      <c r="M56" s="50">
        <f t="shared" si="0"/>
        <v>0</v>
      </c>
      <c r="N56" s="111"/>
    </row>
    <row r="57" spans="1:14" ht="12.6" customHeight="1">
      <c r="A57" s="672" t="s">
        <v>157</v>
      </c>
      <c r="C57" s="59"/>
      <c r="D57" s="2"/>
      <c r="G57" s="2"/>
      <c r="J57" s="2"/>
      <c r="M57" s="111">
        <f t="shared" si="0"/>
        <v>0</v>
      </c>
      <c r="N57" s="111"/>
    </row>
    <row r="58" spans="1:14" ht="12.6" customHeight="1">
      <c r="A58" s="657" t="s">
        <v>114</v>
      </c>
      <c r="C58" s="670"/>
      <c r="D58" s="49">
        <f>SUM(D48:D57)</f>
        <v>0</v>
      </c>
      <c r="E58" s="50"/>
      <c r="F58" s="61"/>
      <c r="G58" s="110">
        <f>IF(SUM(G48:G57)='Internal Service Template'!O251+SUM(J213:J215),SUM(G48:G57),"ERROR")</f>
        <v>0</v>
      </c>
      <c r="H58" s="50"/>
      <c r="I58" s="61"/>
      <c r="J58" s="49">
        <f>SUM(J48:J57)</f>
        <v>0</v>
      </c>
      <c r="K58" s="50"/>
      <c r="L58" s="61"/>
      <c r="M58" s="61">
        <f>SUM(M48:M57)</f>
        <v>0</v>
      </c>
      <c r="N58" s="111"/>
    </row>
    <row r="59" spans="1:14" ht="12.6" customHeight="1">
      <c r="C59" s="59"/>
      <c r="D59" s="1229" t="s">
        <v>146</v>
      </c>
      <c r="E59" s="1230"/>
      <c r="F59" s="1230"/>
      <c r="G59" s="446">
        <f>(SUM(G48:G57))-('Internal Service Template'!O251+(SUM(J213:J215)))</f>
        <v>0</v>
      </c>
      <c r="H59" s="50"/>
      <c r="I59" s="111"/>
      <c r="J59" s="111"/>
      <c r="K59" s="50"/>
      <c r="L59" s="111"/>
      <c r="M59" s="111"/>
      <c r="N59" s="111"/>
    </row>
    <row r="60" spans="1:14" ht="12.6" customHeight="1">
      <c r="A60" s="678" t="s">
        <v>3224</v>
      </c>
      <c r="D60" s="113"/>
      <c r="G60" s="113"/>
      <c r="J60" s="113"/>
      <c r="M60" s="113"/>
      <c r="N60" s="113"/>
    </row>
    <row r="61" spans="1:14" ht="12.6" customHeight="1">
      <c r="A61" s="677" t="s">
        <v>3263</v>
      </c>
      <c r="D61" s="113"/>
      <c r="G61" s="113"/>
      <c r="J61" s="113"/>
      <c r="M61" s="113"/>
      <c r="N61" s="113"/>
    </row>
    <row r="62" spans="1:14" ht="12.6" customHeight="1">
      <c r="A62" s="672" t="s">
        <v>101</v>
      </c>
      <c r="D62" s="2"/>
      <c r="G62" s="2"/>
      <c r="J62" s="2"/>
      <c r="M62" s="50">
        <f t="shared" ref="M62:M67" si="1">SUM(D62,G62,J62)</f>
        <v>0</v>
      </c>
      <c r="N62" s="50"/>
    </row>
    <row r="63" spans="1:14" ht="12.6" customHeight="1">
      <c r="A63" s="673" t="s">
        <v>106</v>
      </c>
      <c r="D63" s="2"/>
      <c r="G63" s="2"/>
      <c r="J63" s="2"/>
      <c r="M63" s="50">
        <f t="shared" si="1"/>
        <v>0</v>
      </c>
      <c r="N63" s="50"/>
    </row>
    <row r="64" spans="1:14" ht="12.6" customHeight="1">
      <c r="A64" s="676" t="s">
        <v>112</v>
      </c>
      <c r="D64" s="2"/>
      <c r="G64" s="2"/>
      <c r="J64" s="2"/>
      <c r="M64" s="50">
        <f t="shared" si="1"/>
        <v>0</v>
      </c>
      <c r="N64" s="50"/>
    </row>
    <row r="65" spans="1:16" ht="12.6" customHeight="1">
      <c r="A65" s="676" t="s">
        <v>113</v>
      </c>
      <c r="D65" s="2"/>
      <c r="G65" s="2"/>
      <c r="J65" s="2"/>
      <c r="M65" s="50">
        <f t="shared" si="1"/>
        <v>0</v>
      </c>
      <c r="N65" s="50"/>
    </row>
    <row r="66" spans="1:16" ht="12.6" customHeight="1">
      <c r="A66" s="673" t="s">
        <v>3079</v>
      </c>
      <c r="C66" s="59"/>
      <c r="D66" s="2"/>
      <c r="G66" s="2"/>
      <c r="J66" s="2"/>
      <c r="M66" s="111">
        <f t="shared" si="1"/>
        <v>0</v>
      </c>
      <c r="N66" s="111"/>
    </row>
    <row r="67" spans="1:16" ht="12.6" customHeight="1">
      <c r="A67" s="668" t="s">
        <v>3298</v>
      </c>
      <c r="C67" s="59"/>
      <c r="D67" s="2"/>
      <c r="G67" s="2"/>
      <c r="J67" s="2"/>
      <c r="M67" s="111">
        <f t="shared" si="1"/>
        <v>0</v>
      </c>
      <c r="N67" s="111"/>
    </row>
    <row r="68" spans="1:16" ht="12.6" customHeight="1">
      <c r="A68" s="673"/>
      <c r="C68" s="59"/>
      <c r="D68" s="90"/>
      <c r="G68" s="90"/>
      <c r="J68" s="90"/>
      <c r="M68" s="90"/>
      <c r="N68" s="90"/>
    </row>
    <row r="69" spans="1:16" ht="12.6" customHeight="1">
      <c r="A69" s="668" t="s">
        <v>3212</v>
      </c>
      <c r="C69" s="59"/>
      <c r="D69" s="117">
        <f>SUM(D62:D68)</f>
        <v>0</v>
      </c>
      <c r="E69" s="116"/>
      <c r="F69" s="90"/>
      <c r="G69" s="117">
        <f>SUM(G62:G68)</f>
        <v>0</v>
      </c>
      <c r="H69" s="116"/>
      <c r="I69" s="117"/>
      <c r="J69" s="117">
        <f>SUM(J62:J68)</f>
        <v>0</v>
      </c>
      <c r="K69" s="116"/>
      <c r="L69" s="90"/>
      <c r="M69" s="117">
        <f>SUM(M62:M68)</f>
        <v>0</v>
      </c>
      <c r="N69" s="111"/>
    </row>
    <row r="70" spans="1:16" ht="12.6" customHeight="1">
      <c r="A70" s="657" t="s">
        <v>115</v>
      </c>
      <c r="D70" s="1229" t="s">
        <v>146</v>
      </c>
      <c r="E70" s="1229"/>
      <c r="F70" s="1229"/>
      <c r="G70" s="446">
        <f>(SUM(G62:G68))-('Internal Service Template'!O252+(SUM(J226:J234)))</f>
        <v>0</v>
      </c>
      <c r="H70" s="679"/>
      <c r="I70" s="679"/>
      <c r="J70" s="90"/>
      <c r="M70" s="90"/>
      <c r="N70" s="113"/>
    </row>
    <row r="71" spans="1:16" ht="12.6" customHeight="1">
      <c r="A71" s="668" t="s">
        <v>3211</v>
      </c>
      <c r="D71" s="117">
        <f>D58+D69</f>
        <v>0</v>
      </c>
      <c r="E71" s="116"/>
      <c r="F71" s="90"/>
      <c r="G71" s="117">
        <f>G58+G69</f>
        <v>0</v>
      </c>
      <c r="H71" s="116"/>
      <c r="I71" s="117"/>
      <c r="J71" s="117">
        <f>J58+J69</f>
        <v>0</v>
      </c>
      <c r="M71" s="117">
        <f>M58+M69</f>
        <v>0</v>
      </c>
      <c r="N71" s="113"/>
    </row>
    <row r="72" spans="1:16" ht="12.6" customHeight="1">
      <c r="D72" s="90"/>
      <c r="E72" s="116"/>
      <c r="F72" s="90"/>
      <c r="G72" s="90"/>
      <c r="H72" s="116"/>
      <c r="I72" s="90"/>
      <c r="J72" s="90"/>
      <c r="M72" s="113"/>
      <c r="N72" s="113"/>
      <c r="P72" s="679"/>
    </row>
    <row r="73" spans="1:16" ht="12.6" customHeight="1">
      <c r="A73" s="668" t="s">
        <v>3210</v>
      </c>
      <c r="C73" s="680"/>
      <c r="D73" s="61">
        <f>D45-D71</f>
        <v>0</v>
      </c>
      <c r="F73" s="680"/>
      <c r="G73" s="61">
        <f>G45-G71</f>
        <v>0</v>
      </c>
      <c r="H73" s="679"/>
      <c r="I73" s="681"/>
      <c r="J73" s="61">
        <f>J45-J71</f>
        <v>0</v>
      </c>
      <c r="L73" s="680"/>
      <c r="M73" s="117">
        <f>IF((M45-M71)='Internal Service Template'!O93,(M45-M71),"ERROR")</f>
        <v>0</v>
      </c>
      <c r="N73" s="90"/>
      <c r="O73" s="671">
        <f>SUM(M45-M71)-'Internal Service Template'!O93</f>
        <v>0</v>
      </c>
    </row>
    <row r="74" spans="1:16" ht="12.6" customHeight="1">
      <c r="A74" s="682"/>
      <c r="D74" s="113"/>
      <c r="G74" s="113"/>
      <c r="H74" s="679"/>
      <c r="I74" s="679"/>
      <c r="J74" s="113"/>
      <c r="M74" s="114"/>
      <c r="N74" s="114"/>
    </row>
    <row r="75" spans="1:16" ht="12.6" customHeight="1" thickBot="1">
      <c r="A75" s="657" t="s">
        <v>190</v>
      </c>
      <c r="C75" s="683" t="s">
        <v>102</v>
      </c>
      <c r="D75" s="115">
        <f>SUM(D22,D73)</f>
        <v>0</v>
      </c>
      <c r="F75" s="683" t="s">
        <v>102</v>
      </c>
      <c r="G75" s="115">
        <f>SUM(G22,G73)</f>
        <v>0</v>
      </c>
      <c r="H75" s="679"/>
      <c r="I75" s="684" t="s">
        <v>102</v>
      </c>
      <c r="J75" s="115">
        <f>SUM(J22,J73)</f>
        <v>0</v>
      </c>
      <c r="L75" s="683" t="s">
        <v>102</v>
      </c>
      <c r="M75" s="115">
        <f>SUM(M22,M73)</f>
        <v>0</v>
      </c>
      <c r="N75" s="111"/>
    </row>
    <row r="76" spans="1:16" ht="12.6" customHeight="1" thickTop="1"/>
    <row r="77" spans="1:16" ht="12.6" hidden="1" customHeight="1"/>
    <row r="78" spans="1:16" ht="12.6" customHeight="1">
      <c r="A78" s="685" t="s">
        <v>197</v>
      </c>
      <c r="B78" s="686"/>
      <c r="C78" s="686"/>
      <c r="D78" s="686"/>
      <c r="E78" s="664"/>
      <c r="F78" s="665"/>
      <c r="G78" s="54"/>
    </row>
    <row r="80" spans="1:16" ht="12.6" customHeight="1">
      <c r="A80" s="664"/>
      <c r="B80" s="664"/>
      <c r="C80" s="1236" t="s">
        <v>97</v>
      </c>
      <c r="D80" s="1236"/>
      <c r="E80" s="55"/>
      <c r="F80" s="56"/>
      <c r="G80" s="56" t="s">
        <v>198</v>
      </c>
      <c r="H80" s="55"/>
      <c r="I80" s="56"/>
      <c r="J80" s="154"/>
      <c r="K80" s="55"/>
      <c r="L80" s="1222"/>
      <c r="M80" s="1222"/>
      <c r="N80" s="253"/>
    </row>
    <row r="81" spans="1:20" ht="12.6" customHeight="1">
      <c r="A81" s="664"/>
      <c r="B81" s="664"/>
      <c r="C81" s="1231" t="s">
        <v>3904</v>
      </c>
      <c r="D81" s="1232"/>
      <c r="E81" s="55"/>
      <c r="F81" s="56"/>
      <c r="G81" s="57" t="s">
        <v>199</v>
      </c>
      <c r="H81" s="55"/>
      <c r="I81" s="56"/>
      <c r="J81" s="56" t="s">
        <v>200</v>
      </c>
      <c r="K81" s="55"/>
      <c r="L81" s="664"/>
      <c r="M81" s="664"/>
      <c r="N81" s="664"/>
    </row>
    <row r="82" spans="1:20" ht="12.6" customHeight="1">
      <c r="A82" s="664"/>
      <c r="B82" s="664"/>
      <c r="C82" s="1233" t="s">
        <v>201</v>
      </c>
      <c r="D82" s="1233"/>
      <c r="E82" s="55"/>
      <c r="F82" s="58"/>
      <c r="G82" s="58" t="s">
        <v>97</v>
      </c>
      <c r="H82" s="55"/>
      <c r="I82" s="58"/>
      <c r="J82" s="58" t="s">
        <v>202</v>
      </c>
      <c r="K82" s="55"/>
      <c r="L82" s="664"/>
      <c r="M82" s="664"/>
      <c r="N82" s="664"/>
    </row>
    <row r="83" spans="1:20" ht="10.199999999999999">
      <c r="A83" s="668" t="s">
        <v>100</v>
      </c>
    </row>
    <row r="84" spans="1:20" ht="12.6" customHeight="1">
      <c r="A84" s="657" t="s">
        <v>101</v>
      </c>
      <c r="C84" s="59" t="s">
        <v>102</v>
      </c>
      <c r="D84" s="89">
        <f>D16</f>
        <v>0</v>
      </c>
      <c r="E84" s="116"/>
      <c r="F84" s="116" t="s">
        <v>102</v>
      </c>
      <c r="G84" s="89" t="str">
        <f>IF(ISNA(HLOOKUP($D$2,'Prior Year Cap Asset Balances'!21:77,3,FALSE)),"",(HLOOKUP($D$2,'Prior Year Cap Asset Balances'!21:77,3,FALSE)))</f>
        <v/>
      </c>
      <c r="H84" s="116"/>
      <c r="I84" s="116" t="s">
        <v>102</v>
      </c>
      <c r="J84" s="89" t="str">
        <f>IF(ISERR(D84-G84),"",(D84-G84))</f>
        <v/>
      </c>
      <c r="K84" s="50"/>
      <c r="L84" s="111"/>
      <c r="M84" s="50"/>
      <c r="N84" s="50"/>
      <c r="T84" s="679"/>
    </row>
    <row r="85" spans="1:20" ht="10.199999999999999">
      <c r="A85" s="668" t="s">
        <v>817</v>
      </c>
      <c r="C85" s="59"/>
      <c r="D85" s="89">
        <f>D17</f>
        <v>0</v>
      </c>
      <c r="E85" s="116"/>
      <c r="F85" s="116"/>
      <c r="G85" s="89" t="str">
        <f>IF(ISNA(HLOOKUP($D$2,'Prior Year Cap Asset Balances'!21:77,4,FALSE)),"",(HLOOKUP($D$2,'Prior Year Cap Asset Balances'!21:77,4,FALSE)))</f>
        <v/>
      </c>
      <c r="H85" s="116"/>
      <c r="I85" s="116"/>
      <c r="J85" s="89" t="str">
        <f>IF(ISERR(D85-G85),"",(D85-G85))</f>
        <v/>
      </c>
      <c r="K85" s="50"/>
      <c r="L85" s="111"/>
      <c r="M85" s="111"/>
      <c r="N85" s="111"/>
      <c r="T85" s="679"/>
    </row>
    <row r="86" spans="1:20" ht="10.199999999999999">
      <c r="A86" s="657" t="s">
        <v>137</v>
      </c>
      <c r="C86" s="59"/>
      <c r="D86" s="89">
        <f>D18</f>
        <v>0</v>
      </c>
      <c r="E86" s="116"/>
      <c r="F86" s="116"/>
      <c r="G86" s="89" t="str">
        <f>IF(ISNA(HLOOKUP($D$2,'Prior Year Cap Asset Balances'!21:77,5,FALSE)),"",(HLOOKUP($D$2,'Prior Year Cap Asset Balances'!21:77,5,FALSE)))</f>
        <v/>
      </c>
      <c r="H86" s="116"/>
      <c r="I86" s="116"/>
      <c r="J86" s="89" t="str">
        <f>IF(ISERR(D86-G86),"",(D86-G86))</f>
        <v/>
      </c>
      <c r="K86" s="50"/>
      <c r="L86" s="111"/>
      <c r="M86" s="111"/>
      <c r="N86" s="111"/>
      <c r="T86" s="679"/>
    </row>
    <row r="87" spans="1:20" ht="10.199999999999999">
      <c r="A87" s="657" t="s">
        <v>138</v>
      </c>
      <c r="C87" s="59"/>
      <c r="D87" s="89">
        <f>D19</f>
        <v>0</v>
      </c>
      <c r="E87" s="116"/>
      <c r="F87" s="116"/>
      <c r="G87" s="89" t="str">
        <f>IF(ISNA(HLOOKUP($D$2,'Prior Year Cap Asset Balances'!21:77,6,FALSE)),"",(HLOOKUP($D$2,'Prior Year Cap Asset Balances'!21:77,6,FALSE)))</f>
        <v/>
      </c>
      <c r="H87" s="116"/>
      <c r="I87" s="116"/>
      <c r="J87" s="89" t="str">
        <f>IF(ISERR(D87-G87),"",(D87-G87))</f>
        <v/>
      </c>
      <c r="K87" s="50"/>
      <c r="L87" s="111"/>
      <c r="M87" s="111"/>
      <c r="N87" s="111"/>
      <c r="T87" s="679"/>
    </row>
    <row r="88" spans="1:20" ht="20.399999999999999">
      <c r="A88" s="687" t="s">
        <v>3299</v>
      </c>
      <c r="C88" s="59"/>
      <c r="D88" s="89">
        <f>D20</f>
        <v>0</v>
      </c>
      <c r="E88" s="116"/>
      <c r="F88" s="116"/>
      <c r="G88" s="89" t="str">
        <f>IF(ISNA(HLOOKUP($D$2,'Prior Year Cap Asset Balances'!21:77,7,FALSE)),"",(HLOOKUP($D$2,'Prior Year Cap Asset Balances'!21:77,7,FALSE)))</f>
        <v/>
      </c>
      <c r="H88" s="116"/>
      <c r="I88" s="116"/>
      <c r="J88" s="89" t="str">
        <f>IF(ISERR(D88-G88),"",(D88-G88))</f>
        <v/>
      </c>
      <c r="K88" s="50"/>
      <c r="L88" s="111"/>
      <c r="M88" s="111"/>
      <c r="N88" s="111"/>
      <c r="T88" s="679"/>
    </row>
    <row r="89" spans="1:20" ht="12.6" customHeight="1">
      <c r="A89" s="657" t="s">
        <v>104</v>
      </c>
      <c r="C89" s="670"/>
      <c r="D89" s="117">
        <f>SUM(D84:D88)</f>
        <v>0</v>
      </c>
      <c r="E89" s="116"/>
      <c r="F89" s="117"/>
      <c r="G89" s="117">
        <f>SUM(G84:G88)</f>
        <v>0</v>
      </c>
      <c r="H89" s="116"/>
      <c r="I89" s="117"/>
      <c r="J89" s="117">
        <f>SUM(J84:J88)</f>
        <v>0</v>
      </c>
      <c r="K89" s="50"/>
      <c r="L89" s="111"/>
      <c r="M89" s="111"/>
      <c r="N89" s="111"/>
      <c r="T89" s="679"/>
    </row>
    <row r="90" spans="1:20" ht="12.6" customHeight="1">
      <c r="C90" s="59"/>
      <c r="D90" s="90"/>
      <c r="E90" s="59"/>
      <c r="F90" s="59"/>
      <c r="G90" s="90"/>
      <c r="H90" s="59"/>
      <c r="I90" s="59"/>
      <c r="J90" s="90"/>
      <c r="K90" s="59"/>
      <c r="L90" s="59"/>
      <c r="M90" s="112"/>
      <c r="N90" s="112"/>
      <c r="T90" s="679"/>
    </row>
    <row r="91" spans="1:20" ht="12.6" customHeight="1">
      <c r="A91" s="668" t="s">
        <v>3077</v>
      </c>
      <c r="C91" s="59"/>
      <c r="D91" s="90"/>
      <c r="E91" s="59"/>
      <c r="F91" s="59"/>
      <c r="G91" s="90"/>
      <c r="H91" s="59"/>
      <c r="I91" s="59"/>
      <c r="J91" s="90"/>
      <c r="K91" s="59"/>
      <c r="L91" s="59"/>
      <c r="M91" s="111"/>
      <c r="N91" s="111"/>
      <c r="T91" s="679"/>
    </row>
    <row r="92" spans="1:20" ht="12.6" customHeight="1">
      <c r="A92" s="657" t="s">
        <v>106</v>
      </c>
      <c r="C92" s="59"/>
      <c r="D92" s="89">
        <f>D25</f>
        <v>0</v>
      </c>
      <c r="E92" s="116"/>
      <c r="F92" s="116"/>
      <c r="G92" s="89" t="str">
        <f>IF(ISNA(HLOOKUP($D$2,'Prior Year Cap Asset Balances'!21:77,12,FALSE)),"",(HLOOKUP($D$2,'Prior Year Cap Asset Balances'!21:77,12,FALSE)))</f>
        <v/>
      </c>
      <c r="H92" s="116"/>
      <c r="I92" s="116"/>
      <c r="J92" s="89" t="str">
        <f>IF(ISERR(D92-G92),"",(D92-G92))</f>
        <v/>
      </c>
      <c r="K92" s="50"/>
      <c r="L92" s="111"/>
      <c r="M92" s="111"/>
      <c r="N92" s="111"/>
      <c r="T92" s="679"/>
    </row>
    <row r="93" spans="1:20" ht="12.6" customHeight="1">
      <c r="A93" s="657" t="s">
        <v>107</v>
      </c>
      <c r="C93" s="59"/>
      <c r="D93" s="89">
        <f>D26</f>
        <v>0</v>
      </c>
      <c r="E93" s="116"/>
      <c r="F93" s="116"/>
      <c r="G93" s="89" t="str">
        <f>IF(ISNA(HLOOKUP($D$2,'Prior Year Cap Asset Balances'!21:77,13,FALSE)),"",(HLOOKUP($D$2,'Prior Year Cap Asset Balances'!21:77,13,FALSE)))</f>
        <v/>
      </c>
      <c r="H93" s="116"/>
      <c r="I93" s="116"/>
      <c r="J93" s="89" t="str">
        <f>IF(ISERR(D93-G93),"",(D93-G93))</f>
        <v/>
      </c>
      <c r="K93" s="50"/>
      <c r="L93" s="111"/>
      <c r="M93" s="111"/>
      <c r="N93" s="111"/>
      <c r="T93" s="679"/>
    </row>
    <row r="94" spans="1:20" ht="12.6" customHeight="1">
      <c r="A94" s="657" t="s">
        <v>108</v>
      </c>
      <c r="C94" s="59"/>
      <c r="D94" s="89">
        <f>D27</f>
        <v>0</v>
      </c>
      <c r="E94" s="116"/>
      <c r="F94" s="90"/>
      <c r="G94" s="89" t="str">
        <f>IF(ISNA(HLOOKUP($D$2,'Prior Year Cap Asset Balances'!21:77,14,FALSE)),"",(HLOOKUP($D$2,'Prior Year Cap Asset Balances'!21:77,14,FALSE)))</f>
        <v/>
      </c>
      <c r="H94" s="116"/>
      <c r="I94" s="90"/>
      <c r="J94" s="89" t="str">
        <f>IF(ISERR(D94-G94),"",(D94-G94))</f>
        <v/>
      </c>
      <c r="K94" s="50"/>
      <c r="L94" s="111"/>
      <c r="M94" s="111"/>
      <c r="N94" s="111"/>
      <c r="T94" s="679"/>
    </row>
    <row r="95" spans="1:20" ht="12.6" customHeight="1">
      <c r="A95" s="657" t="s">
        <v>140</v>
      </c>
      <c r="C95" s="59"/>
      <c r="D95" s="89">
        <f>D28</f>
        <v>0</v>
      </c>
      <c r="E95" s="116"/>
      <c r="F95" s="116"/>
      <c r="G95" s="89" t="str">
        <f>IF(ISNA(HLOOKUP($D$2,'Prior Year Cap Asset Balances'!21:77,15,FALSE)),"",(HLOOKUP($D$2,'Prior Year Cap Asset Balances'!21:77,15,FALSE)))</f>
        <v/>
      </c>
      <c r="H95" s="116"/>
      <c r="I95" s="116"/>
      <c r="J95" s="89" t="str">
        <f>IF(ISERR(D95-G95),"",(D95-G95))</f>
        <v/>
      </c>
      <c r="K95" s="50"/>
      <c r="L95" s="111"/>
      <c r="M95" s="111"/>
      <c r="N95" s="111"/>
      <c r="T95" s="679"/>
    </row>
    <row r="96" spans="1:20" ht="12.6" customHeight="1">
      <c r="A96" s="668" t="s">
        <v>823</v>
      </c>
      <c r="C96" s="59"/>
      <c r="D96" s="89">
        <f>D29</f>
        <v>0</v>
      </c>
      <c r="E96" s="116"/>
      <c r="F96" s="116"/>
      <c r="G96" s="89" t="str">
        <f>IF(ISNA(HLOOKUP($D$2,'Prior Year Cap Asset Balances'!21:77,16,FALSE)),"",(HLOOKUP($D$2,'Prior Year Cap Asset Balances'!21:77,16,FALSE)))</f>
        <v/>
      </c>
      <c r="H96" s="116"/>
      <c r="I96" s="116"/>
      <c r="J96" s="89" t="str">
        <f>IF(ISERR(D96-G96),"",(D96-G96))</f>
        <v/>
      </c>
      <c r="K96" s="50"/>
      <c r="L96" s="111"/>
      <c r="M96" s="111"/>
      <c r="N96" s="111"/>
      <c r="T96" s="679"/>
    </row>
    <row r="97" spans="1:20" ht="12.6" customHeight="1">
      <c r="A97" s="657" t="s">
        <v>339</v>
      </c>
      <c r="C97" s="59"/>
      <c r="D97" s="110"/>
      <c r="E97" s="116"/>
      <c r="F97" s="90"/>
      <c r="G97" s="110"/>
      <c r="H97" s="116"/>
      <c r="I97" s="90"/>
      <c r="J97" s="110"/>
      <c r="K97" s="50"/>
      <c r="L97" s="111"/>
      <c r="M97" s="111"/>
      <c r="N97" s="111"/>
      <c r="P97" s="668">
        <f>SUM(COUNTIFS(J84:J140,{"","0"}))</f>
        <v>57</v>
      </c>
      <c r="T97" s="679"/>
    </row>
    <row r="98" spans="1:20" ht="12.6" customHeight="1">
      <c r="A98" s="672" t="s">
        <v>303</v>
      </c>
      <c r="C98" s="59"/>
      <c r="D98" s="89">
        <f>D31</f>
        <v>0</v>
      </c>
      <c r="E98" s="116"/>
      <c r="F98" s="116"/>
      <c r="G98" s="89" t="str">
        <f>IF(ISNA(HLOOKUP($D$2,'Prior Year Cap Asset Balances'!21:77,18,FALSE)),"",(HLOOKUP($D$2,'Prior Year Cap Asset Balances'!21:77,18,FALSE)))</f>
        <v/>
      </c>
      <c r="H98" s="116"/>
      <c r="I98" s="116"/>
      <c r="J98" s="89" t="str">
        <f>IF(ISERR(D98-G98),"",(D98-G98))</f>
        <v/>
      </c>
      <c r="K98" s="50"/>
      <c r="L98" s="111"/>
      <c r="M98" s="111"/>
      <c r="N98" s="111"/>
      <c r="T98" s="679"/>
    </row>
    <row r="99" spans="1:20" ht="12.6" customHeight="1">
      <c r="A99" s="673" t="s">
        <v>154</v>
      </c>
      <c r="C99" s="59"/>
      <c r="D99" s="89">
        <f>D32</f>
        <v>0</v>
      </c>
      <c r="E99" s="116"/>
      <c r="F99" s="116"/>
      <c r="G99" s="89" t="str">
        <f>IF(ISNA(HLOOKUP($D$2,'Prior Year Cap Asset Balances'!21:77,19,FALSE)),"",(HLOOKUP($D$2,'Prior Year Cap Asset Balances'!21:77,19,FALSE)))</f>
        <v/>
      </c>
      <c r="H99" s="116"/>
      <c r="I99" s="116"/>
      <c r="J99" s="89" t="str">
        <f>IF(ISERR(D99-G99),"",(D99-G99))</f>
        <v/>
      </c>
      <c r="K99" s="50"/>
      <c r="L99" s="111"/>
      <c r="M99" s="111"/>
      <c r="N99" s="111"/>
      <c r="T99" s="679"/>
    </row>
    <row r="100" spans="1:20" ht="12.6" customHeight="1">
      <c r="A100" s="673" t="s">
        <v>822</v>
      </c>
      <c r="C100" s="59"/>
      <c r="D100" s="89">
        <f>D33</f>
        <v>0</v>
      </c>
      <c r="E100" s="116"/>
      <c r="F100" s="116"/>
      <c r="G100" s="89" t="str">
        <f>IF(ISNA(HLOOKUP($D$2,'Prior Year Cap Asset Balances'!21:77,20,FALSE)),"",(HLOOKUP($D$2,'Prior Year Cap Asset Balances'!21:77,20,FALSE)))</f>
        <v/>
      </c>
      <c r="H100" s="116"/>
      <c r="I100" s="116"/>
      <c r="J100" s="89" t="str">
        <f>IF(ISERR(D100-G100),"",(D100-G100))</f>
        <v/>
      </c>
      <c r="K100" s="50"/>
      <c r="L100" s="111"/>
      <c r="M100" s="111"/>
      <c r="N100" s="111"/>
      <c r="T100" s="679"/>
    </row>
    <row r="101" spans="1:20" ht="12.6" customHeight="1">
      <c r="A101" s="672" t="s">
        <v>157</v>
      </c>
      <c r="C101" s="59"/>
      <c r="D101" s="89">
        <f>D34</f>
        <v>0</v>
      </c>
      <c r="E101" s="116"/>
      <c r="F101" s="116"/>
      <c r="G101" s="89" t="str">
        <f>IF(ISNA(HLOOKUP($D$2,'Prior Year Cap Asset Balances'!$21:$77,21,FALSE)),"",(HLOOKUP($D$2,'Prior Year Cap Asset Balances'!$21:$77,21,FALSE)))</f>
        <v/>
      </c>
      <c r="H101" s="116"/>
      <c r="I101" s="116"/>
      <c r="J101" s="89" t="str">
        <f>IF(ISERR(D101-G101),"",(D101-G101))</f>
        <v/>
      </c>
      <c r="K101" s="50"/>
      <c r="L101" s="111"/>
      <c r="M101" s="111"/>
      <c r="N101" s="111"/>
      <c r="T101" s="679"/>
    </row>
    <row r="102" spans="1:20" ht="12.6" customHeight="1">
      <c r="A102" s="668" t="s">
        <v>3262</v>
      </c>
      <c r="C102" s="59"/>
      <c r="D102" s="110"/>
      <c r="E102" s="116"/>
      <c r="F102" s="116"/>
      <c r="G102" s="110"/>
      <c r="H102" s="116"/>
      <c r="I102" s="116"/>
      <c r="J102" s="110"/>
      <c r="K102" s="50"/>
      <c r="L102" s="111"/>
      <c r="M102" s="111"/>
      <c r="N102" s="111"/>
      <c r="T102" s="679"/>
    </row>
    <row r="103" spans="1:20" ht="12.6" customHeight="1">
      <c r="A103" s="673" t="s">
        <v>101</v>
      </c>
      <c r="C103" s="59"/>
      <c r="D103" s="89">
        <f>D37</f>
        <v>0</v>
      </c>
      <c r="E103" s="116"/>
      <c r="F103" s="116"/>
      <c r="G103" s="89" t="str">
        <f>IF(ISNA(HLOOKUP($D$2,'Prior Year Cap Asset Balances'!$21:$77,24,FALSE)),"",(HLOOKUP($D$2,'Prior Year Cap Asset Balances'!$21:$77,24,FALSE)))</f>
        <v/>
      </c>
      <c r="H103" s="116"/>
      <c r="I103" s="116"/>
      <c r="J103" s="89" t="str">
        <f t="shared" ref="J103:J108" si="2">IF(ISERR(D103-G103),"",(D103-G103))</f>
        <v/>
      </c>
      <c r="K103" s="50"/>
      <c r="L103" s="111"/>
      <c r="M103" s="111"/>
      <c r="N103" s="111"/>
      <c r="T103" s="679"/>
    </row>
    <row r="104" spans="1:20" ht="12.6" customHeight="1">
      <c r="A104" s="673" t="s">
        <v>106</v>
      </c>
      <c r="C104" s="59"/>
      <c r="D104" s="89">
        <f t="shared" ref="D104:D107" si="3">D38</f>
        <v>0</v>
      </c>
      <c r="E104" s="116"/>
      <c r="F104" s="116"/>
      <c r="G104" s="89" t="str">
        <f>IF(ISNA(HLOOKUP($D$2,'Prior Year Cap Asset Balances'!$21:$77,25,FALSE)),"",(HLOOKUP($D$2,'Prior Year Cap Asset Balances'!$21:$77,25,FALSE)))</f>
        <v/>
      </c>
      <c r="H104" s="116"/>
      <c r="I104" s="116"/>
      <c r="J104" s="89" t="str">
        <f t="shared" si="2"/>
        <v/>
      </c>
      <c r="K104" s="50"/>
      <c r="L104" s="111"/>
      <c r="M104" s="111"/>
      <c r="N104" s="111"/>
      <c r="T104" s="679"/>
    </row>
    <row r="105" spans="1:20" ht="12.6" customHeight="1">
      <c r="A105" s="673" t="s">
        <v>107</v>
      </c>
      <c r="C105" s="59"/>
      <c r="D105" s="89">
        <f t="shared" si="3"/>
        <v>0</v>
      </c>
      <c r="E105" s="116"/>
      <c r="F105" s="116"/>
      <c r="G105" s="89" t="str">
        <f>IF(ISNA(HLOOKUP($D$2,'Prior Year Cap Asset Balances'!$21:$77,26,FALSE)),"",(HLOOKUP($D$2,'Prior Year Cap Asset Balances'!$21:$77,26,FALSE)))</f>
        <v/>
      </c>
      <c r="H105" s="116"/>
      <c r="I105" s="116"/>
      <c r="J105" s="89" t="str">
        <f t="shared" si="2"/>
        <v/>
      </c>
      <c r="K105" s="50"/>
      <c r="L105" s="111"/>
      <c r="M105" s="111"/>
      <c r="N105" s="111"/>
      <c r="T105" s="679"/>
    </row>
    <row r="106" spans="1:20" ht="12.6" customHeight="1">
      <c r="A106" s="673" t="s">
        <v>108</v>
      </c>
      <c r="C106" s="59"/>
      <c r="D106" s="89">
        <f t="shared" si="3"/>
        <v>0</v>
      </c>
      <c r="E106" s="116"/>
      <c r="F106" s="116"/>
      <c r="G106" s="89" t="str">
        <f>IF(ISNA(HLOOKUP($D$2,'Prior Year Cap Asset Balances'!$21:$77,27,FALSE)),"",(HLOOKUP($D$2,'Prior Year Cap Asset Balances'!$21:$77,27,FALSE)))</f>
        <v/>
      </c>
      <c r="H106" s="116"/>
      <c r="I106" s="116"/>
      <c r="J106" s="89" t="str">
        <f t="shared" si="2"/>
        <v/>
      </c>
      <c r="K106" s="50"/>
      <c r="L106" s="111"/>
      <c r="M106" s="111"/>
      <c r="N106" s="111"/>
      <c r="T106" s="679"/>
    </row>
    <row r="107" spans="1:20" ht="12.6" customHeight="1">
      <c r="A107" s="673" t="s">
        <v>157</v>
      </c>
      <c r="C107" s="59"/>
      <c r="D107" s="89">
        <f t="shared" si="3"/>
        <v>0</v>
      </c>
      <c r="E107" s="116"/>
      <c r="F107" s="116"/>
      <c r="G107" s="89" t="str">
        <f>IF(ISNA(HLOOKUP($D$2,'Prior Year Cap Asset Balances'!$21:$77,28,FALSE)),"",(HLOOKUP($D$2,'Prior Year Cap Asset Balances'!$21:$77,28,FALSE)))</f>
        <v/>
      </c>
      <c r="H107" s="116"/>
      <c r="I107" s="116"/>
      <c r="J107" s="89" t="str">
        <f t="shared" si="2"/>
        <v/>
      </c>
      <c r="K107" s="50"/>
      <c r="L107" s="111"/>
      <c r="M107" s="111"/>
      <c r="N107" s="111"/>
      <c r="T107" s="679"/>
    </row>
    <row r="108" spans="1:20" ht="12.6" customHeight="1">
      <c r="A108" s="668" t="s">
        <v>3296</v>
      </c>
      <c r="C108" s="59"/>
      <c r="D108" s="89">
        <f>D43</f>
        <v>0</v>
      </c>
      <c r="E108" s="116"/>
      <c r="F108" s="116"/>
      <c r="G108" s="89" t="str">
        <f>IF(ISNA(HLOOKUP($D$2,'Prior Year Cap Asset Balances'!$21:$77,29,FALSE)),"",(HLOOKUP($D$2,'Prior Year Cap Asset Balances'!$21:$77,29,FALSE)))</f>
        <v/>
      </c>
      <c r="H108" s="116"/>
      <c r="I108" s="116"/>
      <c r="J108" s="89" t="str">
        <f t="shared" si="2"/>
        <v/>
      </c>
      <c r="K108" s="50"/>
      <c r="L108" s="111"/>
      <c r="M108" s="111"/>
      <c r="N108" s="111"/>
      <c r="T108" s="679"/>
    </row>
    <row r="109" spans="1:20" ht="6.75" customHeight="1">
      <c r="A109" s="672"/>
      <c r="C109" s="59"/>
      <c r="D109" s="90"/>
      <c r="E109" s="90"/>
      <c r="F109" s="90"/>
      <c r="G109" s="90"/>
      <c r="H109" s="90"/>
      <c r="I109" s="90"/>
      <c r="J109" s="90"/>
      <c r="K109" s="50"/>
      <c r="L109" s="111"/>
      <c r="M109" s="111"/>
      <c r="N109" s="111"/>
      <c r="T109" s="679"/>
    </row>
    <row r="110" spans="1:20" ht="12.6" customHeight="1">
      <c r="A110" s="668" t="s">
        <v>3281</v>
      </c>
      <c r="C110" s="670"/>
      <c r="D110" s="117">
        <f>SUM(D92:D109)</f>
        <v>0</v>
      </c>
      <c r="E110" s="116"/>
      <c r="F110" s="117"/>
      <c r="G110" s="117">
        <f>SUM(G92:G109)</f>
        <v>0</v>
      </c>
      <c r="H110" s="116"/>
      <c r="I110" s="117"/>
      <c r="J110" s="117">
        <f>SUM(J92:J109)</f>
        <v>0</v>
      </c>
      <c r="K110" s="50"/>
      <c r="L110" s="111"/>
      <c r="M110" s="111"/>
      <c r="N110" s="111"/>
      <c r="T110" s="679"/>
    </row>
    <row r="111" spans="1:20" ht="12.6" customHeight="1">
      <c r="A111" s="674"/>
      <c r="D111" s="118"/>
      <c r="G111" s="118"/>
      <c r="J111" s="118"/>
      <c r="M111" s="119"/>
      <c r="N111" s="119"/>
      <c r="T111" s="679"/>
    </row>
    <row r="112" spans="1:20" ht="12.6" customHeight="1">
      <c r="A112" s="675" t="s">
        <v>110</v>
      </c>
      <c r="D112" s="118"/>
      <c r="G112" s="118"/>
      <c r="J112" s="118"/>
      <c r="M112" s="119"/>
      <c r="N112" s="119"/>
      <c r="T112" s="679"/>
    </row>
    <row r="113" spans="1:20" ht="12.6" customHeight="1">
      <c r="A113" s="657" t="s">
        <v>111</v>
      </c>
      <c r="D113" s="89">
        <f>D48</f>
        <v>0</v>
      </c>
      <c r="G113" s="89" t="str">
        <f>IF(ISNA(HLOOKUP($D$2,'Prior Year Cap Asset Balances'!$21:$77,33,FALSE)),"",(HLOOKUP($D$2,'Prior Year Cap Asset Balances'!$21:$77,33,FALSE)))</f>
        <v/>
      </c>
      <c r="J113" s="89" t="str">
        <f>IF(ISERR(D113-G113),"",(D113-G113))</f>
        <v/>
      </c>
      <c r="M113" s="111"/>
      <c r="N113" s="111"/>
      <c r="T113" s="679"/>
    </row>
    <row r="114" spans="1:20" ht="10.199999999999999">
      <c r="A114" s="657" t="s">
        <v>112</v>
      </c>
      <c r="D114" s="89">
        <f t="shared" ref="D114:D122" si="4">D49</f>
        <v>0</v>
      </c>
      <c r="G114" s="89" t="str">
        <f>IF(ISNA(HLOOKUP($D$2,'Prior Year Cap Asset Balances'!$21:$77,34,FALSE)),"",(HLOOKUP($D$2,'Prior Year Cap Asset Balances'!$21:$77,34,FALSE)))</f>
        <v/>
      </c>
      <c r="J114" s="89" t="str">
        <f>IF(ISERR(D114-G114),"",(D114-G114))</f>
        <v/>
      </c>
      <c r="M114" s="111"/>
      <c r="N114" s="111"/>
      <c r="T114" s="679"/>
    </row>
    <row r="115" spans="1:20" ht="12.6" customHeight="1">
      <c r="A115" s="657" t="s">
        <v>113</v>
      </c>
      <c r="C115" s="59"/>
      <c r="D115" s="89">
        <f t="shared" si="4"/>
        <v>0</v>
      </c>
      <c r="E115" s="116"/>
      <c r="F115" s="90"/>
      <c r="G115" s="89" t="str">
        <f>IF(ISNA(HLOOKUP($D$2,'Prior Year Cap Asset Balances'!$21:$77,35,FALSE)),"",(HLOOKUP($D$2,'Prior Year Cap Asset Balances'!$21:$77,35,FALSE)))</f>
        <v/>
      </c>
      <c r="H115" s="116"/>
      <c r="I115" s="90"/>
      <c r="J115" s="89" t="str">
        <f>IF(ISERR(D115-G115),"",(D115-G115))</f>
        <v/>
      </c>
      <c r="K115" s="50"/>
      <c r="L115" s="111"/>
      <c r="M115" s="111"/>
      <c r="N115" s="111"/>
      <c r="T115" s="679"/>
    </row>
    <row r="116" spans="1:20" ht="12.6" customHeight="1">
      <c r="A116" s="676" t="s">
        <v>140</v>
      </c>
      <c r="C116" s="59"/>
      <c r="D116" s="89">
        <f t="shared" si="4"/>
        <v>0</v>
      </c>
      <c r="E116" s="116"/>
      <c r="F116" s="116"/>
      <c r="G116" s="89" t="str">
        <f>IF(ISNA(HLOOKUP($D$2,'Prior Year Cap Asset Balances'!$21:$77,36,FALSE)),"",(HLOOKUP($D$2,'Prior Year Cap Asset Balances'!$21:$77,36,FALSE)))</f>
        <v/>
      </c>
      <c r="H116" s="116"/>
      <c r="I116" s="116"/>
      <c r="J116" s="89" t="str">
        <f>IF(ISERR(D116-G116),"",(D116-G116))</f>
        <v/>
      </c>
      <c r="K116" s="50"/>
      <c r="L116" s="111"/>
      <c r="M116" s="111"/>
      <c r="N116" s="111"/>
      <c r="T116" s="679"/>
    </row>
    <row r="117" spans="1:20" ht="12.6" customHeight="1">
      <c r="A117" s="677" t="s">
        <v>823</v>
      </c>
      <c r="C117" s="59"/>
      <c r="D117" s="89">
        <f t="shared" si="4"/>
        <v>0</v>
      </c>
      <c r="E117" s="116"/>
      <c r="F117" s="116"/>
      <c r="G117" s="89" t="str">
        <f>IF(ISNA(HLOOKUP($D$2,'Prior Year Cap Asset Balances'!$21:$77,37,FALSE)),"",(HLOOKUP($D$2,'Prior Year Cap Asset Balances'!$21:$77,37,FALSE)))</f>
        <v/>
      </c>
      <c r="H117" s="116"/>
      <c r="I117" s="116"/>
      <c r="J117" s="89" t="str">
        <f>IF(ISERR(D117-G117),"",(D117-G117))</f>
        <v/>
      </c>
      <c r="K117" s="50"/>
      <c r="L117" s="111"/>
      <c r="M117" s="111"/>
      <c r="N117" s="111"/>
      <c r="T117" s="679"/>
    </row>
    <row r="118" spans="1:20" ht="12.6" customHeight="1">
      <c r="A118" s="676" t="s">
        <v>339</v>
      </c>
      <c r="C118" s="59"/>
      <c r="D118" s="110"/>
      <c r="E118" s="116"/>
      <c r="F118" s="90"/>
      <c r="G118" s="110"/>
      <c r="H118" s="116"/>
      <c r="I118" s="90"/>
      <c r="J118" s="110"/>
      <c r="K118" s="50"/>
      <c r="L118" s="111"/>
      <c r="M118" s="111"/>
      <c r="N118" s="111"/>
      <c r="T118" s="679"/>
    </row>
    <row r="119" spans="1:20" ht="12.6" customHeight="1">
      <c r="A119" s="672" t="s">
        <v>303</v>
      </c>
      <c r="C119" s="59"/>
      <c r="D119" s="89">
        <f t="shared" si="4"/>
        <v>0</v>
      </c>
      <c r="E119" s="116"/>
      <c r="F119" s="116"/>
      <c r="G119" s="89" t="str">
        <f>IF(ISNA(HLOOKUP($D$2,'Prior Year Cap Asset Balances'!$21:$77,39,FALSE)),"",(HLOOKUP($D$2,'Prior Year Cap Asset Balances'!$21:$77,39,FALSE)))</f>
        <v/>
      </c>
      <c r="H119" s="116"/>
      <c r="I119" s="116"/>
      <c r="J119" s="89" t="str">
        <f>IF(ISERR(D119-G119),"",(D119-G119))</f>
        <v/>
      </c>
      <c r="K119" s="50"/>
      <c r="L119" s="111"/>
      <c r="M119" s="111"/>
      <c r="N119" s="111"/>
      <c r="T119" s="679"/>
    </row>
    <row r="120" spans="1:20" ht="12.6" customHeight="1">
      <c r="A120" s="673" t="s">
        <v>154</v>
      </c>
      <c r="C120" s="59"/>
      <c r="D120" s="89">
        <f t="shared" si="4"/>
        <v>0</v>
      </c>
      <c r="E120" s="116"/>
      <c r="F120" s="116"/>
      <c r="G120" s="89" t="str">
        <f>IF(ISNA(HLOOKUP($D$2,'Prior Year Cap Asset Balances'!$21:$77,40,FALSE)),"",(HLOOKUP($D$2,'Prior Year Cap Asset Balances'!$21:$77,40,FALSE)))</f>
        <v/>
      </c>
      <c r="H120" s="116"/>
      <c r="I120" s="116"/>
      <c r="J120" s="89" t="str">
        <f>IF(ISERR(D120-G120),"",(D120-G120))</f>
        <v/>
      </c>
      <c r="K120" s="50"/>
      <c r="L120" s="111"/>
      <c r="M120" s="111"/>
      <c r="N120" s="111"/>
      <c r="T120" s="679"/>
    </row>
    <row r="121" spans="1:20" ht="12.6" customHeight="1">
      <c r="A121" s="673" t="s">
        <v>821</v>
      </c>
      <c r="C121" s="59"/>
      <c r="D121" s="89">
        <f t="shared" si="4"/>
        <v>0</v>
      </c>
      <c r="E121" s="116"/>
      <c r="F121" s="116"/>
      <c r="G121" s="89" t="str">
        <f>IF(ISNA(HLOOKUP($D$2,'Prior Year Cap Asset Balances'!$21:$77,41,FALSE)),"",(HLOOKUP($D$2,'Prior Year Cap Asset Balances'!$21:$77,41,FALSE)))</f>
        <v/>
      </c>
      <c r="H121" s="116"/>
      <c r="I121" s="116"/>
      <c r="J121" s="89" t="str">
        <f>IF(ISERR(D121-G121),"",(D121-G121))</f>
        <v/>
      </c>
      <c r="K121" s="50"/>
      <c r="L121" s="111"/>
      <c r="M121" s="111"/>
      <c r="N121" s="111"/>
      <c r="T121" s="679"/>
    </row>
    <row r="122" spans="1:20" ht="12.6" customHeight="1">
      <c r="A122" s="672" t="s">
        <v>157</v>
      </c>
      <c r="C122" s="59"/>
      <c r="D122" s="89">
        <f t="shared" si="4"/>
        <v>0</v>
      </c>
      <c r="E122" s="116"/>
      <c r="F122" s="116"/>
      <c r="G122" s="89" t="str">
        <f>IF(ISNA(HLOOKUP($D$2,'Prior Year Cap Asset Balances'!$21:$77,42,FALSE)),"",(HLOOKUP($D$2,'Prior Year Cap Asset Balances'!$21:$77,42,FALSE)))</f>
        <v/>
      </c>
      <c r="H122" s="116"/>
      <c r="I122" s="90"/>
      <c r="J122" s="89" t="str">
        <f>IF(ISERR(D122-G122),"",(D122-G122))</f>
        <v/>
      </c>
      <c r="K122" s="50"/>
      <c r="L122" s="111"/>
      <c r="M122" s="111"/>
      <c r="N122" s="111"/>
      <c r="T122" s="679"/>
    </row>
    <row r="123" spans="1:20" ht="12.6" customHeight="1">
      <c r="A123" s="657" t="s">
        <v>114</v>
      </c>
      <c r="C123" s="670"/>
      <c r="D123" s="110">
        <f>SUM(D113:D122)</f>
        <v>0</v>
      </c>
      <c r="E123" s="116"/>
      <c r="F123" s="117"/>
      <c r="G123" s="110">
        <f>SUM(G113:G122)</f>
        <v>0</v>
      </c>
      <c r="H123" s="116"/>
      <c r="I123" s="117"/>
      <c r="J123" s="110">
        <f>SUM(J113:J122)</f>
        <v>0</v>
      </c>
      <c r="K123" s="50"/>
      <c r="L123" s="111"/>
      <c r="M123" s="111"/>
      <c r="N123" s="111"/>
      <c r="T123" s="679"/>
    </row>
    <row r="124" spans="1:20" ht="6" customHeight="1">
      <c r="C124" s="59"/>
      <c r="D124" s="90"/>
      <c r="E124" s="116"/>
      <c r="F124" s="90"/>
      <c r="G124" s="90"/>
      <c r="H124" s="116"/>
      <c r="I124" s="90"/>
      <c r="J124" s="90"/>
      <c r="K124" s="50"/>
      <c r="L124" s="111"/>
      <c r="M124" s="111"/>
      <c r="N124" s="111"/>
      <c r="T124" s="679"/>
    </row>
    <row r="125" spans="1:20" ht="12.6" customHeight="1">
      <c r="A125" s="678" t="s">
        <v>3224</v>
      </c>
      <c r="C125" s="59"/>
      <c r="D125" s="90"/>
      <c r="E125" s="90"/>
      <c r="F125" s="90"/>
      <c r="G125" s="90"/>
      <c r="H125" s="90"/>
      <c r="I125" s="90"/>
      <c r="J125" s="90"/>
      <c r="K125" s="50"/>
      <c r="L125" s="111"/>
      <c r="M125" s="111"/>
      <c r="N125" s="111"/>
      <c r="T125" s="679"/>
    </row>
    <row r="126" spans="1:20" ht="12.6" customHeight="1">
      <c r="A126" s="668" t="s">
        <v>3262</v>
      </c>
      <c r="C126" s="59"/>
      <c r="D126" s="117"/>
      <c r="E126" s="116"/>
      <c r="F126" s="116"/>
      <c r="G126" s="117"/>
      <c r="H126" s="116"/>
      <c r="I126" s="116"/>
      <c r="J126" s="117"/>
      <c r="K126" s="50"/>
      <c r="L126" s="111"/>
      <c r="M126" s="111"/>
      <c r="N126" s="111"/>
      <c r="T126" s="679"/>
    </row>
    <row r="127" spans="1:20" ht="12.6" customHeight="1">
      <c r="A127" s="673" t="s">
        <v>101</v>
      </c>
      <c r="C127" s="59"/>
      <c r="D127" s="89">
        <f>D62</f>
        <v>0</v>
      </c>
      <c r="E127" s="116"/>
      <c r="F127" s="116"/>
      <c r="G127" s="89" t="str">
        <f>IF(ISNA(HLOOKUP($D$2,'Prior Year Cap Asset Balances'!$21:$77,47,FALSE)),"",(HLOOKUP($D$2,'Prior Year Cap Asset Balances'!$21:$77,47,FALSE)))</f>
        <v/>
      </c>
      <c r="H127" s="116"/>
      <c r="I127" s="116"/>
      <c r="J127" s="89" t="str">
        <f t="shared" ref="J127:J132" si="5">IF(ISERR(D127-G127),"",(D127-G127))</f>
        <v/>
      </c>
      <c r="K127" s="50"/>
      <c r="L127" s="111"/>
      <c r="M127" s="111"/>
      <c r="N127" s="111"/>
      <c r="T127" s="679"/>
    </row>
    <row r="128" spans="1:20" ht="12.6" customHeight="1">
      <c r="A128" s="673" t="s">
        <v>106</v>
      </c>
      <c r="C128" s="59"/>
      <c r="D128" s="89">
        <f t="shared" ref="D128:D131" si="6">D63</f>
        <v>0</v>
      </c>
      <c r="E128" s="116"/>
      <c r="F128" s="116"/>
      <c r="G128" s="89" t="str">
        <f>IF(ISNA(HLOOKUP($D$2,'Prior Year Cap Asset Balances'!$21:$77,48,FALSE)),"",(HLOOKUP($D$2,'Prior Year Cap Asset Balances'!$21:$77,48,FALSE)))</f>
        <v/>
      </c>
      <c r="H128" s="116"/>
      <c r="I128" s="116"/>
      <c r="J128" s="89" t="str">
        <f t="shared" si="5"/>
        <v/>
      </c>
      <c r="K128" s="50"/>
      <c r="L128" s="111"/>
      <c r="M128" s="111"/>
      <c r="N128" s="111"/>
      <c r="T128" s="679"/>
    </row>
    <row r="129" spans="1:20" ht="12.6" customHeight="1">
      <c r="A129" s="673" t="s">
        <v>107</v>
      </c>
      <c r="C129" s="59"/>
      <c r="D129" s="89">
        <f t="shared" si="6"/>
        <v>0</v>
      </c>
      <c r="E129" s="116"/>
      <c r="F129" s="116"/>
      <c r="G129" s="89" t="str">
        <f>IF(ISNA(HLOOKUP($D$2,'Prior Year Cap Asset Balances'!$21:$77,49,FALSE)),"",(HLOOKUP($D$2,'Prior Year Cap Asset Balances'!$21:$77,49,FALSE)))</f>
        <v/>
      </c>
      <c r="H129" s="116"/>
      <c r="I129" s="116"/>
      <c r="J129" s="89" t="str">
        <f t="shared" si="5"/>
        <v/>
      </c>
      <c r="K129" s="50"/>
      <c r="L129" s="111"/>
      <c r="M129" s="111"/>
      <c r="N129" s="111"/>
      <c r="T129" s="679"/>
    </row>
    <row r="130" spans="1:20" ht="12.6" customHeight="1">
      <c r="A130" s="673" t="s">
        <v>108</v>
      </c>
      <c r="C130" s="59"/>
      <c r="D130" s="89">
        <f t="shared" si="6"/>
        <v>0</v>
      </c>
      <c r="E130" s="116"/>
      <c r="F130" s="116"/>
      <c r="G130" s="89" t="str">
        <f>IF(ISNA(HLOOKUP($D$2,'Prior Year Cap Asset Balances'!$21:$77,50,FALSE)),"",(HLOOKUP($D$2,'Prior Year Cap Asset Balances'!$21:$77,50,FALSE)))</f>
        <v/>
      </c>
      <c r="H130" s="116"/>
      <c r="I130" s="116"/>
      <c r="J130" s="89" t="str">
        <f t="shared" si="5"/>
        <v/>
      </c>
      <c r="K130" s="50"/>
      <c r="L130" s="111"/>
      <c r="M130" s="111"/>
      <c r="N130" s="111"/>
      <c r="T130" s="679"/>
    </row>
    <row r="131" spans="1:20" ht="12.6" customHeight="1">
      <c r="A131" s="673" t="s">
        <v>157</v>
      </c>
      <c r="C131" s="59"/>
      <c r="D131" s="89">
        <f t="shared" si="6"/>
        <v>0</v>
      </c>
      <c r="E131" s="116"/>
      <c r="F131" s="116"/>
      <c r="G131" s="89" t="str">
        <f>IF(ISNA(HLOOKUP($D$2,'Prior Year Cap Asset Balances'!$21:$77,51,FALSE)),"",(HLOOKUP($D$2,'Prior Year Cap Asset Balances'!$21:$77,51,FALSE)))</f>
        <v/>
      </c>
      <c r="H131" s="116"/>
      <c r="I131" s="116"/>
      <c r="J131" s="89" t="str">
        <f t="shared" si="5"/>
        <v/>
      </c>
      <c r="K131" s="50"/>
      <c r="L131" s="111"/>
      <c r="M131" s="111"/>
      <c r="N131" s="111"/>
      <c r="T131" s="679"/>
    </row>
    <row r="132" spans="1:20" ht="12.6" customHeight="1">
      <c r="A132" s="668" t="s">
        <v>3296</v>
      </c>
      <c r="C132" s="59"/>
      <c r="D132" s="89">
        <f>D67</f>
        <v>0</v>
      </c>
      <c r="E132" s="116"/>
      <c r="F132" s="116"/>
      <c r="G132" s="89" t="str">
        <f>IF(ISNA(HLOOKUP($D$2,'Prior Year Cap Asset Balances'!$21:$77,52,FALSE)),"",(HLOOKUP($D$2,'Prior Year Cap Asset Balances'!$21:$77,52,FALSE)))</f>
        <v/>
      </c>
      <c r="H132" s="116"/>
      <c r="I132" s="116"/>
      <c r="J132" s="89" t="str">
        <f t="shared" si="5"/>
        <v/>
      </c>
      <c r="K132" s="50"/>
      <c r="L132" s="111"/>
      <c r="M132" s="111"/>
      <c r="N132" s="111"/>
      <c r="T132" s="679"/>
    </row>
    <row r="133" spans="1:20" ht="6.75" customHeight="1">
      <c r="C133" s="59"/>
      <c r="D133" s="90"/>
      <c r="E133" s="90"/>
      <c r="F133" s="90"/>
      <c r="G133" s="90"/>
      <c r="H133" s="90"/>
      <c r="I133" s="90"/>
      <c r="J133" s="90"/>
      <c r="K133" s="50"/>
      <c r="L133" s="111"/>
      <c r="M133" s="111"/>
      <c r="N133" s="111"/>
      <c r="T133" s="679"/>
    </row>
    <row r="134" spans="1:20" ht="12.6" customHeight="1">
      <c r="A134" s="668" t="s">
        <v>3300</v>
      </c>
      <c r="C134" s="670"/>
      <c r="D134" s="117">
        <f>SUM(D126:D133)</f>
        <v>0</v>
      </c>
      <c r="E134" s="116"/>
      <c r="F134" s="117"/>
      <c r="G134" s="117">
        <f>SUM(G126:G133)</f>
        <v>0</v>
      </c>
      <c r="H134" s="116"/>
      <c r="I134" s="117"/>
      <c r="J134" s="117">
        <f>SUM(J126:J133)</f>
        <v>0</v>
      </c>
      <c r="K134" s="50"/>
      <c r="L134" s="111"/>
      <c r="M134" s="111"/>
      <c r="N134" s="111"/>
      <c r="T134" s="679"/>
    </row>
    <row r="135" spans="1:20" ht="12.6" customHeight="1">
      <c r="C135" s="59"/>
      <c r="D135" s="90"/>
      <c r="E135" s="116"/>
      <c r="F135" s="90"/>
      <c r="G135" s="90"/>
      <c r="H135" s="116"/>
      <c r="I135" s="90"/>
      <c r="J135" s="90"/>
      <c r="K135" s="50"/>
      <c r="L135" s="111"/>
      <c r="M135" s="111"/>
      <c r="N135" s="111"/>
      <c r="T135" s="679"/>
    </row>
    <row r="136" spans="1:20" ht="12.6" customHeight="1">
      <c r="A136" s="668" t="s">
        <v>3301</v>
      </c>
      <c r="C136" s="670"/>
      <c r="D136" s="117">
        <f>D123+D134</f>
        <v>0</v>
      </c>
      <c r="E136" s="116"/>
      <c r="F136" s="670"/>
      <c r="G136" s="117">
        <f>G123+G134</f>
        <v>0</v>
      </c>
      <c r="H136" s="116"/>
      <c r="I136" s="670"/>
      <c r="J136" s="117">
        <f>J123+J134</f>
        <v>0</v>
      </c>
      <c r="K136" s="50"/>
      <c r="L136" s="111"/>
      <c r="M136" s="111"/>
      <c r="N136" s="111"/>
      <c r="T136" s="679"/>
    </row>
    <row r="137" spans="1:20" ht="12.6" customHeight="1">
      <c r="A137" s="657" t="s">
        <v>115</v>
      </c>
      <c r="D137" s="118"/>
      <c r="G137" s="116"/>
      <c r="H137" s="679"/>
      <c r="I137" s="679"/>
      <c r="J137" s="116"/>
      <c r="M137" s="119"/>
      <c r="N137" s="119"/>
      <c r="T137" s="679"/>
    </row>
    <row r="138" spans="1:20" ht="12.6" customHeight="1">
      <c r="A138" s="668" t="s">
        <v>3210</v>
      </c>
      <c r="C138" s="680"/>
      <c r="D138" s="117">
        <f>D110-D136</f>
        <v>0</v>
      </c>
      <c r="F138" s="680"/>
      <c r="G138" s="117">
        <f>G110-G136</f>
        <v>0</v>
      </c>
      <c r="H138" s="679"/>
      <c r="I138" s="681"/>
      <c r="J138" s="117">
        <f>J110-J136</f>
        <v>0</v>
      </c>
      <c r="M138" s="111"/>
      <c r="N138" s="111"/>
      <c r="T138" s="679"/>
    </row>
    <row r="139" spans="1:20" ht="12.6" customHeight="1">
      <c r="D139" s="118"/>
      <c r="G139" s="118"/>
      <c r="H139" s="679"/>
      <c r="I139" s="679"/>
      <c r="J139" s="118"/>
      <c r="M139" s="114"/>
      <c r="N139" s="114"/>
      <c r="T139" s="679"/>
    </row>
    <row r="140" spans="1:20" ht="12.6" customHeight="1" thickBot="1">
      <c r="A140" s="657" t="s">
        <v>190</v>
      </c>
      <c r="C140" s="683" t="s">
        <v>102</v>
      </c>
      <c r="D140" s="120">
        <f>SUM(D89,D138)</f>
        <v>0</v>
      </c>
      <c r="F140" s="683" t="s">
        <v>102</v>
      </c>
      <c r="G140" s="120">
        <f>SUM(G89,G138)</f>
        <v>0</v>
      </c>
      <c r="H140" s="679"/>
      <c r="I140" s="684" t="s">
        <v>102</v>
      </c>
      <c r="J140" s="120">
        <f>SUM(J89,J138)</f>
        <v>0</v>
      </c>
      <c r="M140" s="111"/>
      <c r="N140" s="111"/>
      <c r="T140" s="679"/>
    </row>
    <row r="141" spans="1:20" ht="12.6" customHeight="1" thickTop="1">
      <c r="T141" s="679"/>
    </row>
    <row r="142" spans="1:20" ht="12.6" customHeight="1">
      <c r="A142" s="657" t="s">
        <v>203</v>
      </c>
    </row>
    <row r="143" spans="1:20" ht="63" customHeight="1">
      <c r="A143" s="1190" t="str">
        <f>IF((P97=57),"N/A","Answer Required")</f>
        <v>N/A</v>
      </c>
      <c r="B143" s="1191"/>
      <c r="C143" s="1191"/>
      <c r="D143" s="1191"/>
      <c r="E143" s="1191"/>
      <c r="F143" s="1191"/>
      <c r="G143" s="1191"/>
      <c r="H143" s="1191"/>
      <c r="I143" s="1191"/>
      <c r="J143" s="1191"/>
      <c r="K143" s="1191"/>
      <c r="L143" s="1191"/>
      <c r="M143" s="1192"/>
      <c r="N143" s="688"/>
    </row>
    <row r="144" spans="1:20" ht="13.2">
      <c r="A144" s="688"/>
      <c r="B144" s="689"/>
      <c r="C144" s="689"/>
      <c r="D144" s="689"/>
      <c r="E144" s="689"/>
      <c r="F144" s="689"/>
      <c r="G144" s="689"/>
      <c r="H144" s="689"/>
      <c r="I144" s="689"/>
      <c r="J144" s="689"/>
      <c r="K144" s="689"/>
      <c r="L144" s="689"/>
      <c r="M144" s="689"/>
      <c r="N144" s="689"/>
    </row>
    <row r="145" spans="1:14" ht="13.2">
      <c r="A145" s="688"/>
      <c r="B145" s="689"/>
      <c r="C145" s="689"/>
      <c r="D145" s="689"/>
      <c r="E145" s="689"/>
      <c r="F145" s="689"/>
      <c r="G145" s="689"/>
      <c r="H145" s="689"/>
      <c r="I145" s="689"/>
      <c r="J145" s="689"/>
      <c r="K145" s="689"/>
      <c r="L145" s="689"/>
      <c r="M145" s="689"/>
      <c r="N145" s="689"/>
    </row>
    <row r="146" spans="1:14" ht="13.2">
      <c r="A146" s="690" t="s">
        <v>204</v>
      </c>
      <c r="B146" s="691"/>
      <c r="C146" s="691"/>
      <c r="D146" s="691"/>
      <c r="E146" s="689"/>
      <c r="F146" s="689"/>
      <c r="G146" s="689"/>
      <c r="H146" s="689"/>
      <c r="I146" s="689"/>
      <c r="J146" s="689"/>
      <c r="K146" s="689"/>
      <c r="L146" s="689"/>
      <c r="M146" s="689"/>
      <c r="N146" s="689"/>
    </row>
    <row r="147" spans="1:14" ht="12.75" customHeight="1">
      <c r="A147" s="657" t="s">
        <v>259</v>
      </c>
      <c r="B147" s="1198" t="str">
        <f>IF($D$75&gt;0,"Answer Required",IF($M$75&gt;0,"Answer Required","N/A"))</f>
        <v>N/A</v>
      </c>
      <c r="C147" s="1199"/>
      <c r="D147" s="1200"/>
      <c r="G147" s="1201" t="s">
        <v>382</v>
      </c>
      <c r="H147" s="1201"/>
      <c r="I147" s="1201"/>
      <c r="J147" s="1201"/>
      <c r="K147" s="1201"/>
      <c r="L147" s="1201"/>
      <c r="M147" s="1201"/>
      <c r="N147" s="254"/>
    </row>
    <row r="148" spans="1:14" ht="12.6" customHeight="1">
      <c r="G148" s="63"/>
    </row>
    <row r="149" spans="1:14" ht="139.94999999999999" customHeight="1">
      <c r="A149" s="1208" t="s">
        <v>3967</v>
      </c>
      <c r="B149" s="1209"/>
      <c r="C149" s="1209"/>
      <c r="D149" s="1209"/>
      <c r="E149" s="1209"/>
      <c r="F149" s="1209"/>
      <c r="G149" s="1209"/>
      <c r="H149" s="1209"/>
      <c r="I149" s="1209"/>
      <c r="J149" s="1209"/>
      <c r="K149" s="1209"/>
      <c r="L149" s="1209"/>
      <c r="M149" s="1210"/>
      <c r="N149" s="11"/>
    </row>
    <row r="150" spans="1:14" ht="12" hidden="1" customHeight="1">
      <c r="A150" s="692"/>
      <c r="B150" s="8"/>
      <c r="C150" s="8"/>
      <c r="D150" s="8"/>
      <c r="E150" s="8"/>
      <c r="F150" s="8"/>
      <c r="G150" s="8"/>
      <c r="H150" s="8"/>
      <c r="I150" s="8"/>
      <c r="J150" s="8"/>
      <c r="K150" s="8"/>
      <c r="L150" s="8"/>
      <c r="M150" s="693"/>
      <c r="N150" s="11"/>
    </row>
    <row r="151" spans="1:14" ht="38.4" customHeight="1">
      <c r="A151" s="1202" t="s">
        <v>3985</v>
      </c>
      <c r="B151" s="1211"/>
      <c r="C151" s="1211"/>
      <c r="D151" s="1211"/>
      <c r="E151" s="1211"/>
      <c r="F151" s="1211"/>
      <c r="G151" s="1211"/>
      <c r="H151" s="1211"/>
      <c r="I151" s="1211"/>
      <c r="J151" s="1211"/>
      <c r="K151" s="1211"/>
      <c r="L151" s="1211"/>
      <c r="M151" s="1212"/>
      <c r="N151" s="11"/>
    </row>
    <row r="152" spans="1:14" ht="12.6" customHeight="1">
      <c r="A152" s="694"/>
      <c r="D152" s="53"/>
      <c r="G152" s="53"/>
      <c r="J152" s="53"/>
      <c r="M152" s="64"/>
      <c r="N152" s="53"/>
    </row>
    <row r="153" spans="1:14" ht="57.75" customHeight="1">
      <c r="A153" s="1202" t="s">
        <v>3236</v>
      </c>
      <c r="B153" s="1203"/>
      <c r="C153" s="1203"/>
      <c r="D153" s="1203"/>
      <c r="E153" s="1203"/>
      <c r="F153" s="1203"/>
      <c r="G153" s="1203"/>
      <c r="H153" s="1203"/>
      <c r="I153" s="1203"/>
      <c r="J153" s="1203"/>
      <c r="K153" s="1203"/>
      <c r="L153" s="1203"/>
      <c r="M153" s="1204"/>
      <c r="N153" s="11"/>
    </row>
    <row r="154" spans="1:14" ht="12.6" customHeight="1">
      <c r="A154" s="694"/>
      <c r="D154" s="53"/>
      <c r="G154" s="53"/>
      <c r="J154" s="53"/>
      <c r="M154" s="64"/>
      <c r="N154" s="53"/>
    </row>
    <row r="155" spans="1:14" ht="12.6" customHeight="1">
      <c r="A155" s="1195" t="s">
        <v>630</v>
      </c>
      <c r="B155" s="1196"/>
      <c r="C155" s="1196"/>
      <c r="D155" s="1196"/>
      <c r="E155" s="1196"/>
      <c r="F155" s="1196"/>
      <c r="G155" s="1196"/>
      <c r="H155" s="1196"/>
      <c r="I155" s="1196"/>
      <c r="J155" s="1196"/>
      <c r="K155" s="1196"/>
      <c r="L155" s="1196"/>
      <c r="M155" s="1197"/>
      <c r="N155" s="669"/>
    </row>
    <row r="156" spans="1:14" ht="12.6" customHeight="1">
      <c r="A156" s="694"/>
      <c r="D156" s="53"/>
      <c r="G156" s="176" t="s">
        <v>632</v>
      </c>
      <c r="J156" s="53"/>
      <c r="M156" s="64"/>
      <c r="N156" s="53"/>
    </row>
    <row r="157" spans="1:14" ht="12.6" customHeight="1">
      <c r="A157" s="694"/>
      <c r="D157" s="53" t="s">
        <v>106</v>
      </c>
      <c r="G157" s="65" t="s">
        <v>69</v>
      </c>
      <c r="J157" s="53"/>
      <c r="M157" s="64"/>
      <c r="N157" s="53"/>
    </row>
    <row r="158" spans="1:14" ht="12.6" customHeight="1">
      <c r="A158" s="694"/>
      <c r="D158" s="53" t="s">
        <v>107</v>
      </c>
      <c r="G158" s="65" t="s">
        <v>70</v>
      </c>
      <c r="J158" s="53"/>
      <c r="M158" s="64"/>
      <c r="N158" s="53"/>
    </row>
    <row r="159" spans="1:14" ht="12.6" customHeight="1">
      <c r="A159" s="694"/>
      <c r="D159" s="53" t="s">
        <v>108</v>
      </c>
      <c r="G159" s="65" t="s">
        <v>631</v>
      </c>
      <c r="J159" s="53"/>
      <c r="M159" s="64"/>
      <c r="N159" s="53"/>
    </row>
    <row r="160" spans="1:14" ht="12.6" customHeight="1">
      <c r="A160" s="694"/>
      <c r="D160" s="677" t="s">
        <v>339</v>
      </c>
      <c r="G160" s="65"/>
      <c r="J160" s="657" t="s">
        <v>144</v>
      </c>
      <c r="M160" s="64"/>
      <c r="N160" s="53"/>
    </row>
    <row r="161" spans="1:15" ht="12.6" customHeight="1">
      <c r="A161" s="694"/>
      <c r="D161" s="672" t="s">
        <v>303</v>
      </c>
      <c r="G161" s="65"/>
      <c r="J161" s="210"/>
      <c r="M161" s="64"/>
      <c r="N161" s="53"/>
    </row>
    <row r="162" spans="1:15" ht="12.6" customHeight="1">
      <c r="A162" s="694"/>
      <c r="D162" s="673" t="s">
        <v>154</v>
      </c>
      <c r="G162" s="65"/>
      <c r="J162" s="210"/>
      <c r="M162" s="64"/>
      <c r="N162" s="53"/>
    </row>
    <row r="163" spans="1:15" ht="12.6" customHeight="1">
      <c r="A163" s="694"/>
      <c r="D163" s="673" t="s">
        <v>3303</v>
      </c>
      <c r="G163" s="65"/>
      <c r="J163" s="210"/>
      <c r="M163" s="64"/>
      <c r="N163" s="53"/>
    </row>
    <row r="164" spans="1:15" ht="12.6" customHeight="1">
      <c r="A164" s="694"/>
      <c r="D164" s="673" t="s">
        <v>157</v>
      </c>
      <c r="G164" s="65"/>
      <c r="J164" s="210"/>
      <c r="M164" s="64"/>
      <c r="N164" s="53"/>
    </row>
    <row r="165" spans="1:15" ht="12.6" customHeight="1">
      <c r="A165" s="694"/>
      <c r="D165" s="677" t="s">
        <v>3078</v>
      </c>
      <c r="G165" s="65"/>
      <c r="J165" s="668" t="s">
        <v>144</v>
      </c>
      <c r="M165" s="64"/>
      <c r="N165" s="53"/>
    </row>
    <row r="166" spans="1:15" ht="12.6" customHeight="1">
      <c r="A166" s="694"/>
      <c r="D166" s="673" t="s">
        <v>101</v>
      </c>
      <c r="G166" s="65"/>
      <c r="J166" s="210"/>
      <c r="M166" s="64"/>
      <c r="N166" s="53"/>
    </row>
    <row r="167" spans="1:15" ht="12.6" customHeight="1">
      <c r="A167" s="694"/>
      <c r="D167" s="673" t="s">
        <v>106</v>
      </c>
      <c r="G167" s="65"/>
      <c r="J167" s="210"/>
      <c r="M167" s="64"/>
      <c r="N167" s="53"/>
    </row>
    <row r="168" spans="1:15" ht="12.6" customHeight="1">
      <c r="A168" s="694"/>
      <c r="D168" s="673" t="s">
        <v>107</v>
      </c>
      <c r="G168" s="65"/>
      <c r="J168" s="210"/>
      <c r="M168" s="64"/>
      <c r="N168" s="53"/>
    </row>
    <row r="169" spans="1:15" ht="12.6" customHeight="1">
      <c r="A169" s="694"/>
      <c r="D169" s="673" t="s">
        <v>108</v>
      </c>
      <c r="G169" s="65"/>
      <c r="J169" s="210"/>
      <c r="M169" s="64"/>
      <c r="N169" s="53"/>
    </row>
    <row r="170" spans="1:15" ht="12.6" customHeight="1">
      <c r="A170" s="694"/>
      <c r="D170" s="673" t="s">
        <v>157</v>
      </c>
      <c r="G170" s="65"/>
      <c r="J170" s="210"/>
      <c r="M170" s="64"/>
      <c r="N170" s="53"/>
    </row>
    <row r="171" spans="1:15" ht="12.6" customHeight="1">
      <c r="A171" s="694"/>
      <c r="D171" s="677" t="s">
        <v>3302</v>
      </c>
      <c r="G171" s="65"/>
      <c r="J171" s="210"/>
      <c r="M171" s="64"/>
      <c r="N171" s="53"/>
    </row>
    <row r="172" spans="1:15" ht="12.6" customHeight="1">
      <c r="A172" s="694"/>
      <c r="D172" s="673"/>
      <c r="G172" s="441"/>
      <c r="J172" s="465"/>
      <c r="M172" s="64"/>
      <c r="N172" s="69"/>
    </row>
    <row r="173" spans="1:15" ht="12.6" customHeight="1">
      <c r="A173" s="694"/>
      <c r="D173" s="673"/>
      <c r="G173" s="441"/>
      <c r="J173" s="465"/>
      <c r="M173" s="64"/>
      <c r="N173" s="69"/>
    </row>
    <row r="174" spans="1:15" ht="33" customHeight="1">
      <c r="A174" s="1202" t="s">
        <v>3241</v>
      </c>
      <c r="B174" s="1203"/>
      <c r="C174" s="1203"/>
      <c r="D174" s="1203"/>
      <c r="E174" s="1203"/>
      <c r="F174" s="1203"/>
      <c r="G174" s="1203"/>
      <c r="H174" s="1203"/>
      <c r="I174" s="1203"/>
      <c r="J174" s="1203"/>
      <c r="K174" s="1203"/>
      <c r="L174" s="1203"/>
      <c r="M174" s="1204"/>
      <c r="N174" s="69"/>
      <c r="O174" s="668"/>
    </row>
    <row r="175" spans="1:15" ht="10.5" customHeight="1">
      <c r="A175" s="695"/>
      <c r="B175" s="680"/>
      <c r="C175" s="680"/>
      <c r="D175" s="62"/>
      <c r="E175" s="680"/>
      <c r="F175" s="680"/>
      <c r="G175" s="62"/>
      <c r="H175" s="680"/>
      <c r="I175" s="680"/>
      <c r="J175" s="62"/>
      <c r="K175" s="680"/>
      <c r="L175" s="680"/>
      <c r="M175" s="66"/>
      <c r="N175" s="53"/>
    </row>
    <row r="178" spans="1:15" ht="12.6" customHeight="1">
      <c r="A178" s="519" t="s">
        <v>3304</v>
      </c>
      <c r="B178" s="514"/>
      <c r="C178" s="514"/>
      <c r="D178" s="514"/>
      <c r="E178" s="514"/>
      <c r="F178" s="514"/>
      <c r="G178" s="514"/>
      <c r="N178" s="63"/>
    </row>
    <row r="179" spans="1:15" ht="60.75" customHeight="1">
      <c r="A179" s="1187" t="str">
        <f>IF(B147="No", "Answer Required", "N/A")</f>
        <v>N/A</v>
      </c>
      <c r="B179" s="1193"/>
      <c r="C179" s="1193"/>
      <c r="D179" s="1193"/>
      <c r="E179" s="1193"/>
      <c r="F179" s="1193"/>
      <c r="G179" s="1193"/>
      <c r="H179" s="1193"/>
      <c r="I179" s="1193"/>
      <c r="J179" s="1193"/>
      <c r="K179" s="1193"/>
      <c r="L179" s="1193"/>
      <c r="M179" s="1194"/>
      <c r="N179" s="688"/>
    </row>
    <row r="180" spans="1:15" ht="12.6" customHeight="1">
      <c r="N180" s="63"/>
    </row>
    <row r="181" spans="1:15" ht="12.6" customHeight="1">
      <c r="N181" s="63"/>
    </row>
    <row r="182" spans="1:15" ht="12.6" hidden="1" customHeight="1">
      <c r="A182" s="690" t="s">
        <v>2596</v>
      </c>
      <c r="B182"/>
      <c r="C182"/>
      <c r="D182"/>
      <c r="E182"/>
      <c r="F182"/>
      <c r="G182"/>
      <c r="H182"/>
      <c r="I182"/>
      <c r="J182"/>
      <c r="K182"/>
      <c r="L182"/>
      <c r="M182"/>
      <c r="N182"/>
      <c r="O182"/>
    </row>
    <row r="183" spans="1:15" ht="12.6" hidden="1" customHeight="1">
      <c r="N183" s="63"/>
    </row>
    <row r="184" spans="1:15" ht="12.6" hidden="1" customHeight="1">
      <c r="A184" s="668" t="s">
        <v>3075</v>
      </c>
      <c r="B184"/>
      <c r="C184"/>
      <c r="D184"/>
      <c r="E184"/>
      <c r="F184"/>
      <c r="G184"/>
      <c r="H184"/>
      <c r="I184"/>
      <c r="J184"/>
      <c r="K184"/>
      <c r="L184"/>
      <c r="M184" s="1205" t="str">
        <f>IF($D$75&gt;0,"Answer Required",IF($M$75&gt;0,"Answer Required","N/A"))</f>
        <v>N/A</v>
      </c>
      <c r="N184" s="1206"/>
      <c r="O184" s="1207"/>
    </row>
    <row r="185" spans="1:15" ht="12.6" hidden="1" customHeight="1">
      <c r="A185"/>
      <c r="B185"/>
      <c r="C185"/>
      <c r="D185"/>
      <c r="E185"/>
      <c r="F185"/>
      <c r="G185"/>
      <c r="H185"/>
      <c r="I185"/>
      <c r="J185" s="668"/>
      <c r="K185"/>
      <c r="L185"/>
      <c r="M185" s="668"/>
      <c r="N185" s="668"/>
      <c r="O185"/>
    </row>
    <row r="186" spans="1:15" ht="12.6" hidden="1" customHeight="1">
      <c r="A186"/>
      <c r="B186"/>
      <c r="C186"/>
      <c r="D186"/>
      <c r="E186"/>
      <c r="F186"/>
      <c r="G186"/>
      <c r="H186"/>
      <c r="I186"/>
      <c r="J186" s="296"/>
      <c r="K186"/>
      <c r="L186"/>
      <c r="M186" s="297" t="s">
        <v>2597</v>
      </c>
      <c r="N186" s="297"/>
      <c r="O186" s="696" t="s">
        <v>2598</v>
      </c>
    </row>
    <row r="187" spans="1:15" ht="12.6" hidden="1" customHeight="1">
      <c r="A187" s="668" t="s">
        <v>3076</v>
      </c>
      <c r="B187"/>
      <c r="C187"/>
      <c r="D187"/>
      <c r="E187"/>
      <c r="F187"/>
      <c r="G187"/>
      <c r="H187"/>
      <c r="I187"/>
      <c r="J187"/>
      <c r="K187"/>
      <c r="L187" s="668" t="s">
        <v>102</v>
      </c>
      <c r="M187" s="697"/>
      <c r="N187" s="298"/>
      <c r="O187" s="697"/>
    </row>
    <row r="188" spans="1:15" ht="12.6" customHeight="1">
      <c r="N188" s="63"/>
    </row>
    <row r="189" spans="1:15" ht="12.6" customHeight="1">
      <c r="A189" s="690" t="s">
        <v>3305</v>
      </c>
      <c r="D189" s="53"/>
      <c r="G189" s="53"/>
      <c r="J189" s="53"/>
      <c r="M189" s="53"/>
      <c r="N189" s="69"/>
      <c r="O189"/>
    </row>
    <row r="190" spans="1:15" ht="12.6" customHeight="1">
      <c r="A190" s="690" t="s">
        <v>3306</v>
      </c>
      <c r="D190" s="53"/>
      <c r="G190" s="53"/>
      <c r="J190" s="53"/>
      <c r="M190" s="53"/>
      <c r="N190" s="69"/>
      <c r="O190"/>
    </row>
    <row r="191" spans="1:15" ht="12.6" customHeight="1">
      <c r="A191" s="698" t="s">
        <v>637</v>
      </c>
      <c r="N191" s="63"/>
    </row>
    <row r="192" spans="1:15" ht="12.6" customHeight="1">
      <c r="N192" s="63"/>
    </row>
    <row r="193" spans="1:15" ht="12.6" customHeight="1">
      <c r="A193" s="668" t="s">
        <v>3906</v>
      </c>
      <c r="N193" s="63"/>
    </row>
    <row r="194" spans="1:15" ht="12.6" customHeight="1">
      <c r="A194" s="668" t="s">
        <v>3444</v>
      </c>
      <c r="J194" s="121" t="s">
        <v>395</v>
      </c>
      <c r="M194" s="262" t="s">
        <v>262</v>
      </c>
      <c r="N194"/>
      <c r="O194"/>
    </row>
    <row r="195" spans="1:15" ht="12.6" customHeight="1">
      <c r="A195" s="700"/>
      <c r="N195" s="63"/>
    </row>
    <row r="196" spans="1:15" ht="27.75" customHeight="1">
      <c r="A196" s="1186" t="s">
        <v>307</v>
      </c>
      <c r="B196" s="1186"/>
      <c r="C196" s="1186"/>
      <c r="D196" s="1186"/>
      <c r="E196" s="1186"/>
      <c r="F196" s="1186"/>
      <c r="G196" s="1186"/>
      <c r="H196" s="1186"/>
      <c r="I196" s="1186"/>
      <c r="J196" s="1186"/>
      <c r="K196" s="1186"/>
      <c r="L196" s="1186"/>
      <c r="M196" s="1186"/>
      <c r="N196" s="669"/>
    </row>
    <row r="197" spans="1:15" ht="52.5" customHeight="1">
      <c r="A197" s="1187" t="str">
        <f>IF(M194="Yes","Answer Required","N/A")</f>
        <v>N/A</v>
      </c>
      <c r="B197" s="1188"/>
      <c r="C197" s="1188"/>
      <c r="D197" s="1188"/>
      <c r="E197" s="1188"/>
      <c r="F197" s="1188"/>
      <c r="G197" s="1188"/>
      <c r="H197" s="1188"/>
      <c r="I197" s="1188"/>
      <c r="J197" s="1188"/>
      <c r="K197" s="1188"/>
      <c r="L197" s="1188"/>
      <c r="M197" s="1189"/>
      <c r="N197" s="669"/>
    </row>
    <row r="198" spans="1:15" ht="12.6" customHeight="1">
      <c r="N198" s="63"/>
    </row>
    <row r="199" spans="1:15" ht="12.6" customHeight="1">
      <c r="A199" s="657" t="s">
        <v>308</v>
      </c>
      <c r="N199" s="63"/>
    </row>
    <row r="200" spans="1:15" ht="12.6" customHeight="1">
      <c r="A200" s="657" t="s">
        <v>413</v>
      </c>
      <c r="J200" s="121" t="s">
        <v>395</v>
      </c>
      <c r="M200" s="262" t="str">
        <f>IF(M194="yes","Answer Required","N/A")</f>
        <v>N/A</v>
      </c>
      <c r="N200" s="69"/>
    </row>
    <row r="201" spans="1:15" ht="12.6" customHeight="1">
      <c r="A201" s="657" t="s">
        <v>309</v>
      </c>
      <c r="J201" s="122"/>
      <c r="M201" s="69"/>
      <c r="N201" s="69"/>
    </row>
    <row r="202" spans="1:15" ht="12.6" customHeight="1">
      <c r="J202" s="122"/>
      <c r="M202" s="69"/>
      <c r="N202" s="69"/>
    </row>
    <row r="203" spans="1:15" ht="12.6" customHeight="1">
      <c r="A203" s="657" t="s">
        <v>310</v>
      </c>
      <c r="J203" s="121" t="s">
        <v>395</v>
      </c>
      <c r="M203" s="262" t="str">
        <f>IF(M200="yes","Answer Required","N/A")</f>
        <v>N/A</v>
      </c>
      <c r="N203" s="69"/>
    </row>
    <row r="204" spans="1:15" ht="12.6" customHeight="1">
      <c r="A204" s="657" t="s">
        <v>311</v>
      </c>
      <c r="N204" s="63"/>
    </row>
    <row r="205" spans="1:15" ht="12.6" customHeight="1">
      <c r="N205" s="63"/>
    </row>
    <row r="206" spans="1:15" ht="12.6" customHeight="1">
      <c r="A206" s="668" t="s">
        <v>3307</v>
      </c>
      <c r="J206" s="63"/>
      <c r="M206" s="69"/>
      <c r="N206" s="69"/>
    </row>
    <row r="207" spans="1:15" ht="12.6" customHeight="1">
      <c r="A207" s="668" t="s">
        <v>3445</v>
      </c>
      <c r="J207" s="121" t="s">
        <v>395</v>
      </c>
      <c r="M207" s="262" t="str">
        <f>IF(M203="yes","Answer Required","N/A")</f>
        <v>N/A</v>
      </c>
      <c r="N207" s="69"/>
    </row>
    <row r="208" spans="1:15" ht="12.6" customHeight="1">
      <c r="M208" s="69"/>
      <c r="N208" s="69"/>
    </row>
    <row r="209" spans="1:15" ht="12.6" customHeight="1">
      <c r="N209" s="8"/>
      <c r="O209" s="11"/>
    </row>
    <row r="210" spans="1:15" ht="12.6" customHeight="1">
      <c r="A210" s="668" t="s">
        <v>3264</v>
      </c>
    </row>
    <row r="211" spans="1:15" ht="12.6" customHeight="1">
      <c r="A211" s="668" t="s">
        <v>3968</v>
      </c>
    </row>
    <row r="212" spans="1:15" ht="51.75" customHeight="1">
      <c r="G212" s="131" t="s">
        <v>396</v>
      </c>
      <c r="J212" s="123" t="s">
        <v>304</v>
      </c>
      <c r="M212" s="123" t="s">
        <v>414</v>
      </c>
      <c r="N212" s="123"/>
      <c r="O212" s="701"/>
    </row>
    <row r="213" spans="1:15" ht="12.6" customHeight="1">
      <c r="G213" s="121" t="s">
        <v>540</v>
      </c>
      <c r="J213" s="173"/>
      <c r="M213" s="173"/>
      <c r="N213" s="127"/>
      <c r="O213" s="679"/>
    </row>
    <row r="214" spans="1:15" ht="12.6" customHeight="1">
      <c r="G214" s="121" t="s">
        <v>397</v>
      </c>
      <c r="J214" s="173"/>
      <c r="M214" s="173"/>
      <c r="N214" s="127"/>
      <c r="O214" s="679"/>
    </row>
    <row r="215" spans="1:15" ht="12.6" customHeight="1">
      <c r="G215" s="121" t="s">
        <v>398</v>
      </c>
      <c r="J215" s="173"/>
      <c r="M215" s="173"/>
      <c r="N215" s="127"/>
      <c r="O215" s="679"/>
    </row>
    <row r="216" spans="1:15" ht="12.6" customHeight="1">
      <c r="G216" s="121"/>
      <c r="J216" s="180"/>
      <c r="M216" s="124"/>
      <c r="N216" s="124"/>
      <c r="O216" s="679"/>
    </row>
    <row r="217" spans="1:15" ht="12.6" customHeight="1">
      <c r="G217" s="121"/>
      <c r="J217" s="180"/>
      <c r="M217" s="124"/>
      <c r="N217" s="124"/>
      <c r="O217" s="679"/>
    </row>
    <row r="218" spans="1:15" ht="12.6" customHeight="1">
      <c r="A218" s="698" t="s">
        <v>3311</v>
      </c>
      <c r="G218" s="121"/>
      <c r="J218" s="180"/>
      <c r="M218" s="124"/>
      <c r="N218" s="124"/>
      <c r="O218" s="679"/>
    </row>
    <row r="219" spans="1:15" ht="12.6" customHeight="1">
      <c r="A219" s="8" t="s">
        <v>399</v>
      </c>
      <c r="G219" s="121"/>
      <c r="J219" s="180"/>
      <c r="M219" s="124"/>
      <c r="N219" s="124"/>
      <c r="O219" s="679"/>
    </row>
    <row r="220" spans="1:15" ht="12.6" customHeight="1">
      <c r="A220" s="702" t="s">
        <v>3312</v>
      </c>
      <c r="G220" s="121"/>
      <c r="J220" s="180"/>
      <c r="M220" s="124"/>
      <c r="N220" s="124"/>
      <c r="O220" s="679"/>
    </row>
    <row r="221" spans="1:15" ht="12.6" customHeight="1">
      <c r="G221" s="121"/>
      <c r="J221" s="180"/>
      <c r="M221" s="124"/>
      <c r="N221" s="124"/>
      <c r="O221" s="679"/>
    </row>
    <row r="222" spans="1:15" ht="12.6" customHeight="1">
      <c r="A222" s="668" t="s">
        <v>3225</v>
      </c>
      <c r="G222" s="121"/>
      <c r="J222" s="180"/>
      <c r="M222" s="124"/>
      <c r="N222" s="124"/>
      <c r="O222" s="679"/>
    </row>
    <row r="223" spans="1:15" ht="12.6" customHeight="1">
      <c r="A223" s="668" t="s">
        <v>3449</v>
      </c>
      <c r="G223" s="121"/>
      <c r="J223" s="180"/>
      <c r="M223" s="124"/>
      <c r="N223" s="124"/>
      <c r="O223" s="679"/>
    </row>
    <row r="224" spans="1:15" ht="12.6" customHeight="1">
      <c r="G224" s="121"/>
      <c r="J224" s="180"/>
      <c r="M224" s="124"/>
      <c r="N224" s="124"/>
      <c r="O224" s="679"/>
    </row>
    <row r="225" spans="1:15" ht="12.6" customHeight="1">
      <c r="G225" s="121"/>
      <c r="J225" s="180"/>
      <c r="M225" s="124"/>
      <c r="N225" s="124"/>
      <c r="O225" s="679"/>
    </row>
    <row r="226" spans="1:15" ht="12.6" customHeight="1">
      <c r="B226" s="668"/>
      <c r="C226" s="668"/>
      <c r="D226" s="260"/>
      <c r="E226" s="668"/>
      <c r="F226" s="668"/>
      <c r="G226" s="440"/>
      <c r="H226" s="668"/>
      <c r="I226" s="440" t="s">
        <v>3081</v>
      </c>
      <c r="J226" s="439"/>
      <c r="M226" s="124"/>
      <c r="N226" s="124"/>
      <c r="O226" s="679"/>
    </row>
    <row r="227" spans="1:15" ht="12.6" customHeight="1">
      <c r="B227" s="668"/>
      <c r="C227" s="668"/>
      <c r="D227" s="260"/>
      <c r="E227" s="668"/>
      <c r="F227" s="668"/>
      <c r="G227" s="440"/>
      <c r="H227" s="668"/>
      <c r="I227" s="440" t="s">
        <v>3310</v>
      </c>
      <c r="J227" s="439"/>
      <c r="M227" s="124"/>
      <c r="N227" s="124"/>
      <c r="O227" s="679"/>
    </row>
    <row r="228" spans="1:15" ht="12.6" customHeight="1">
      <c r="G228" s="121"/>
      <c r="J228" s="180"/>
      <c r="M228" s="124"/>
      <c r="N228" s="124"/>
      <c r="O228" s="679"/>
    </row>
    <row r="229" spans="1:15" ht="12.6" customHeight="1">
      <c r="A229" s="668" t="s">
        <v>3308</v>
      </c>
      <c r="G229" s="121"/>
      <c r="J229" s="180"/>
      <c r="M229" s="124"/>
      <c r="N229" s="124"/>
      <c r="O229" s="679"/>
    </row>
    <row r="230" spans="1:15" ht="12.6" customHeight="1">
      <c r="A230" s="668" t="s">
        <v>3449</v>
      </c>
      <c r="G230" s="121"/>
      <c r="J230" s="180"/>
      <c r="M230" s="124"/>
      <c r="N230" s="124"/>
      <c r="O230" s="679"/>
    </row>
    <row r="231" spans="1:15" ht="12.6" customHeight="1">
      <c r="G231" s="121"/>
      <c r="J231" s="180"/>
      <c r="M231" s="124"/>
      <c r="N231" s="124"/>
      <c r="O231" s="679"/>
    </row>
    <row r="232" spans="1:15" ht="12.6" customHeight="1">
      <c r="G232" s="121"/>
      <c r="J232" s="180"/>
      <c r="M232" s="124"/>
      <c r="N232" s="124"/>
      <c r="O232" s="679"/>
    </row>
    <row r="233" spans="1:15" ht="12.6" customHeight="1">
      <c r="B233" s="668"/>
      <c r="C233" s="668"/>
      <c r="D233" s="260"/>
      <c r="E233" s="668"/>
      <c r="F233" s="668"/>
      <c r="G233" s="440"/>
      <c r="H233" s="668"/>
      <c r="I233" s="440" t="s">
        <v>3309</v>
      </c>
      <c r="J233" s="439"/>
      <c r="M233" s="124"/>
      <c r="N233" s="124"/>
      <c r="O233" s="679"/>
    </row>
    <row r="234" spans="1:15" ht="12.6" customHeight="1">
      <c r="B234" s="668"/>
      <c r="C234" s="668"/>
      <c r="D234" s="260"/>
      <c r="E234" s="668"/>
      <c r="F234" s="668"/>
      <c r="G234" s="440"/>
      <c r="H234" s="668"/>
      <c r="I234" s="440" t="s">
        <v>3310</v>
      </c>
      <c r="J234" s="439"/>
      <c r="M234" s="124"/>
      <c r="N234" s="124"/>
      <c r="O234" s="679"/>
    </row>
    <row r="235" spans="1:15" ht="12.6" customHeight="1">
      <c r="G235" s="121"/>
      <c r="J235" s="180"/>
      <c r="M235" s="124"/>
      <c r="N235" s="124"/>
      <c r="O235" s="679"/>
    </row>
    <row r="236" spans="1:15" ht="12.6" customHeight="1">
      <c r="A236" s="8" t="s">
        <v>178</v>
      </c>
      <c r="B236" s="8"/>
      <c r="C236" s="8"/>
      <c r="D236" s="8"/>
      <c r="E236" s="8"/>
      <c r="F236" s="8"/>
      <c r="G236" s="8"/>
      <c r="H236" s="8"/>
      <c r="I236" s="8"/>
      <c r="J236" s="8"/>
      <c r="K236" s="8"/>
      <c r="L236" s="8"/>
      <c r="M236" s="8"/>
      <c r="N236" s="124"/>
      <c r="O236" s="679"/>
    </row>
    <row r="237" spans="1:15" ht="33" customHeight="1">
      <c r="A237" s="1187" t="str">
        <f>IF(M207="No","Answer Required","N/A")</f>
        <v>N/A</v>
      </c>
      <c r="B237" s="1188"/>
      <c r="C237" s="1188"/>
      <c r="D237" s="1188"/>
      <c r="E237" s="1188"/>
      <c r="F237" s="1188"/>
      <c r="G237" s="1188"/>
      <c r="H237" s="1188"/>
      <c r="I237" s="1188"/>
      <c r="J237" s="1188"/>
      <c r="K237" s="1188"/>
      <c r="L237" s="1188"/>
      <c r="M237" s="1189"/>
      <c r="N237" s="124"/>
      <c r="O237" s="679"/>
    </row>
    <row r="238" spans="1:15" ht="12.6" customHeight="1">
      <c r="G238" s="121"/>
      <c r="J238" s="180"/>
      <c r="M238" s="124"/>
      <c r="N238" s="124"/>
      <c r="O238" s="679"/>
    </row>
    <row r="239" spans="1:15" ht="12.6" customHeight="1">
      <c r="A239" s="8"/>
      <c r="B239" s="8"/>
      <c r="C239" s="8"/>
      <c r="D239" s="8"/>
      <c r="E239" s="8"/>
      <c r="F239" s="8"/>
      <c r="G239" s="8"/>
      <c r="H239" s="8"/>
      <c r="I239" s="8"/>
      <c r="J239" s="8"/>
      <c r="K239" s="8"/>
      <c r="L239" s="8"/>
      <c r="M239" s="8"/>
      <c r="N239" s="8"/>
      <c r="O239" s="11"/>
    </row>
    <row r="240" spans="1:15" ht="12.6" customHeight="1">
      <c r="A240" s="7" t="s">
        <v>400</v>
      </c>
      <c r="B240" s="8"/>
      <c r="C240" s="8"/>
      <c r="D240" s="8"/>
      <c r="E240" s="8"/>
      <c r="F240" s="8"/>
      <c r="G240" s="8"/>
      <c r="H240" s="8"/>
      <c r="I240" s="8"/>
      <c r="J240" s="8"/>
      <c r="K240" s="8"/>
      <c r="L240" s="8"/>
      <c r="M240" s="8"/>
      <c r="N240" s="8"/>
      <c r="O240" s="11"/>
    </row>
    <row r="241" spans="1:15" ht="12.6" customHeight="1">
      <c r="A241" s="8"/>
      <c r="B241" s="8"/>
      <c r="C241" s="8"/>
      <c r="D241" s="8"/>
      <c r="E241" s="8"/>
      <c r="F241" s="8"/>
      <c r="G241" s="8"/>
      <c r="H241" s="8"/>
      <c r="I241" s="8"/>
      <c r="J241" s="8"/>
      <c r="K241" s="8"/>
      <c r="L241" s="8"/>
      <c r="M241" s="8"/>
      <c r="N241" s="8"/>
      <c r="O241" s="11"/>
    </row>
    <row r="242" spans="1:15" ht="12.6" customHeight="1">
      <c r="A242" s="657" t="s">
        <v>409</v>
      </c>
    </row>
    <row r="243" spans="1:15" ht="21" customHeight="1">
      <c r="M243" s="123" t="s">
        <v>410</v>
      </c>
      <c r="N243" s="123"/>
      <c r="O243" s="701" t="s">
        <v>411</v>
      </c>
    </row>
    <row r="244" spans="1:15" ht="12.6" customHeight="1">
      <c r="J244" s="121" t="s">
        <v>395</v>
      </c>
      <c r="M244" s="258" t="str">
        <f>IF(M200="yes","Answer Required","N/A")</f>
        <v>N/A</v>
      </c>
      <c r="N244" s="69"/>
      <c r="O244" s="258" t="str">
        <f>IF(M200="yes","Answer Required","N/A")</f>
        <v>N/A</v>
      </c>
    </row>
    <row r="245" spans="1:15" ht="12.6" customHeight="1">
      <c r="A245" s="657" t="s">
        <v>179</v>
      </c>
      <c r="L245" s="657" t="s">
        <v>102</v>
      </c>
      <c r="M245" s="173"/>
      <c r="N245" s="127"/>
      <c r="O245" s="174"/>
    </row>
    <row r="248" spans="1:15" ht="12.6" hidden="1" customHeight="1">
      <c r="M248" s="51" t="s">
        <v>412</v>
      </c>
    </row>
    <row r="249" spans="1:15" ht="12.6" hidden="1" customHeight="1">
      <c r="M249" s="260" t="s">
        <v>260</v>
      </c>
    </row>
    <row r="250" spans="1:15" ht="12.6" hidden="1" customHeight="1">
      <c r="M250" s="260" t="s">
        <v>261</v>
      </c>
    </row>
    <row r="251" spans="1:15" ht="12.6" hidden="1" customHeight="1">
      <c r="M251" s="260" t="s">
        <v>262</v>
      </c>
    </row>
    <row r="253" spans="1:15" ht="12.6" customHeight="1">
      <c r="A253" s="690"/>
    </row>
    <row r="255" spans="1:15" ht="12.6" hidden="1" customHeight="1">
      <c r="A255" s="668"/>
      <c r="O255" s="696"/>
    </row>
    <row r="256" spans="1:15" ht="12.6" hidden="1" customHeight="1">
      <c r="A256" s="668"/>
      <c r="J256" s="121"/>
      <c r="M256" s="699"/>
      <c r="O256" s="703"/>
    </row>
    <row r="257" spans="1:15" ht="12.6" hidden="1" customHeight="1"/>
    <row r="258" spans="1:15" ht="12.6" hidden="1" customHeight="1">
      <c r="A258" s="668"/>
    </row>
    <row r="259" spans="1:15" ht="12.6" hidden="1" customHeight="1">
      <c r="A259" s="668"/>
      <c r="J259" s="121"/>
      <c r="O259" s="696"/>
    </row>
    <row r="260" spans="1:15" ht="12.6" hidden="1" customHeight="1">
      <c r="A260" s="668"/>
      <c r="J260" s="121"/>
      <c r="M260" s="699"/>
      <c r="O260" s="703"/>
    </row>
  </sheetData>
  <sheetProtection algorithmName="SHA-512" hashValue="eQo8ZP3waMWiHb1qyABhqkc+fqXbAI3+UFVAy+u5zCeXg/CJ3Ekg5iVaP7WtiUFadcYcXHY/bTlIQyrZlooW9A==" saltValue="gp2itj/gTAFeKgfShs7YDQ==" spinCount="100000" sheet="1" objects="1" scenarios="1"/>
  <customSheetViews>
    <customSheetView guid="{5CCA66B6-9DBD-4F43-8EC0-0C18444D6068}" showPageBreaks="1" showGridLines="0" printArea="1" hiddenRows="1" view="pageBreakPreview" showRuler="0">
      <selection activeCell="G61" sqref="G61"/>
      <rowBreaks count="3" manualBreakCount="3">
        <brk id="65" max="18" man="1"/>
        <brk id="86" max="16383" man="1"/>
        <brk id="129" max="14" man="1"/>
      </rowBreaks>
      <pageMargins left="0.75" right="0.75" top="0.56999999999999995" bottom="0.37" header="0.19" footer="0.17"/>
      <pageSetup scale="6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39">
    <mergeCell ref="C81:D81"/>
    <mergeCell ref="C82:D82"/>
    <mergeCell ref="L13:M13"/>
    <mergeCell ref="A1:C1"/>
    <mergeCell ref="D1:M1"/>
    <mergeCell ref="A2:C2"/>
    <mergeCell ref="D2:M2"/>
    <mergeCell ref="L14:M14"/>
    <mergeCell ref="C14:D14"/>
    <mergeCell ref="L12:M12"/>
    <mergeCell ref="D70:F70"/>
    <mergeCell ref="C80:D80"/>
    <mergeCell ref="C12:D12"/>
    <mergeCell ref="D5:M5"/>
    <mergeCell ref="C13:D13"/>
    <mergeCell ref="A6:C6"/>
    <mergeCell ref="A3:C3"/>
    <mergeCell ref="D3:M3"/>
    <mergeCell ref="A4:C4"/>
    <mergeCell ref="D4:M4"/>
    <mergeCell ref="L80:M80"/>
    <mergeCell ref="A7:C7"/>
    <mergeCell ref="D6:M6"/>
    <mergeCell ref="D7:M7"/>
    <mergeCell ref="A5:C5"/>
    <mergeCell ref="D59:F59"/>
    <mergeCell ref="A196:M196"/>
    <mergeCell ref="A197:M197"/>
    <mergeCell ref="A237:M237"/>
    <mergeCell ref="A143:M143"/>
    <mergeCell ref="A179:M179"/>
    <mergeCell ref="A155:M155"/>
    <mergeCell ref="B147:D147"/>
    <mergeCell ref="G147:M147"/>
    <mergeCell ref="A153:M153"/>
    <mergeCell ref="M184:O184"/>
    <mergeCell ref="A149:M149"/>
    <mergeCell ref="A151:M151"/>
    <mergeCell ref="A174:M174"/>
  </mergeCells>
  <phoneticPr fontId="46" type="noConversion"/>
  <conditionalFormatting sqref="A21">
    <cfRule type="cellIs" dxfId="137" priority="8" operator="equal">
      <formula>"Answer Required"</formula>
    </cfRule>
  </conditionalFormatting>
  <conditionalFormatting sqref="A35">
    <cfRule type="cellIs" dxfId="136" priority="7" operator="equal">
      <formula>"Answer Required"</formula>
    </cfRule>
  </conditionalFormatting>
  <conditionalFormatting sqref="A42">
    <cfRule type="cellIs" dxfId="135" priority="1" operator="equal">
      <formula>"Answer Required"</formula>
    </cfRule>
  </conditionalFormatting>
  <conditionalFormatting sqref="A143:M143">
    <cfRule type="containsText" dxfId="134" priority="9" operator="containsText" text="Answer Required">
      <formula>NOT(ISERROR(SEARCH("Answer Required",A143)))</formula>
    </cfRule>
  </conditionalFormatting>
  <conditionalFormatting sqref="A179:M179">
    <cfRule type="cellIs" dxfId="133" priority="2" operator="equal">
      <formula>"Answer Required"</formula>
    </cfRule>
  </conditionalFormatting>
  <conditionalFormatting sqref="A197:M197 A237:M237">
    <cfRule type="cellIs" dxfId="132" priority="4" operator="equal">
      <formula>"Answer Required"</formula>
    </cfRule>
  </conditionalFormatting>
  <conditionalFormatting sqref="B147:D147">
    <cfRule type="cellIs" dxfId="131" priority="3" operator="equal">
      <formula>"Answer Required"</formula>
    </cfRule>
  </conditionalFormatting>
  <conditionalFormatting sqref="M194">
    <cfRule type="cellIs" dxfId="130" priority="23" operator="equal">
      <formula>"Answer Required"</formula>
    </cfRule>
  </conditionalFormatting>
  <conditionalFormatting sqref="M200">
    <cfRule type="cellIs" dxfId="129" priority="22" operator="equal">
      <formula>"Answer Required"</formula>
    </cfRule>
  </conditionalFormatting>
  <conditionalFormatting sqref="M203">
    <cfRule type="cellIs" dxfId="128" priority="13" operator="equal">
      <formula>"Answer Required"</formula>
    </cfRule>
  </conditionalFormatting>
  <conditionalFormatting sqref="M207">
    <cfRule type="cellIs" dxfId="127" priority="12" operator="equal">
      <formula>"Answer Required"</formula>
    </cfRule>
  </conditionalFormatting>
  <conditionalFormatting sqref="M244">
    <cfRule type="cellIs" dxfId="126" priority="11" operator="equal">
      <formula>"Answer Required"</formula>
    </cfRule>
  </conditionalFormatting>
  <conditionalFormatting sqref="M256">
    <cfRule type="cellIs" dxfId="125" priority="16" operator="equal">
      <formula>"Answer Required"</formula>
    </cfRule>
  </conditionalFormatting>
  <conditionalFormatting sqref="M260">
    <cfRule type="cellIs" dxfId="124" priority="14" operator="equal">
      <formula>"Answer Required"</formula>
    </cfRule>
  </conditionalFormatting>
  <conditionalFormatting sqref="M184:O184">
    <cfRule type="cellIs" dxfId="123" priority="10" operator="equal">
      <formula>"Answer Required"</formula>
    </cfRule>
  </conditionalFormatting>
  <conditionalFormatting sqref="O244">
    <cfRule type="cellIs" dxfId="122" priority="18" operator="equal">
      <formula>"Answer Required"</formula>
    </cfRule>
  </conditionalFormatting>
  <dataValidations xWindow="271" yWindow="407" count="14">
    <dataValidation allowBlank="1" showInputMessage="1" showErrorMessage="1" error="Enter whole number._x000a_" sqref="M246:O246" xr:uid="{00000000-0002-0000-0900-000000000000}"/>
    <dataValidation type="whole" allowBlank="1" showInputMessage="1" showErrorMessage="1" error="Please enter a whole number." sqref="M245 O245 O260 M213:M215 O256 J238 J213:J235" xr:uid="{00000000-0002-0000-0900-000001000000}">
      <formula1>-9999999999999</formula1>
      <formula2>9999999999999</formula2>
    </dataValidation>
    <dataValidation type="whole" allowBlank="1" showInputMessage="1" showErrorMessage="1" error="Enter whole number._x000a_" sqref="N213:N215" xr:uid="{00000000-0002-0000-0900-000002000000}">
      <formula1>-1000000000000000</formula1>
      <formula2>1000000000000000</formula2>
    </dataValidation>
    <dataValidation type="whole" allowBlank="1" showInputMessage="1" showErrorMessage="1" sqref="J46:J47 G74 E60:F69 N16:N21 D137 E73:F75 D23:D24 G23:G24 D46:D47 D74 M24 M84:N88 M140:N140 D139 H16:I75 M46:M47 D90:D91 N75 D111:D112 G46:G47 J60:J61 D60:D61 M60:M61 G60:G61 N24:N72 K16:L75 M72 E16:F58 M91:N137 K84:L140 E84:E140 F84:F135 F137:F140" xr:uid="{00000000-0002-0000-0900-000003000000}">
      <formula1>0</formula1>
      <formula2>9.99999999999999E+25</formula2>
    </dataValidation>
    <dataValidation type="whole" allowBlank="1" showErrorMessage="1" sqref="M138:N138 M89:N89 N22" xr:uid="{00000000-0002-0000-0900-000004000000}">
      <formula1>0</formula1>
      <formula2>9.99999999999999E+25</formula2>
    </dataValidation>
    <dataValidation type="whole" allowBlank="1" showInputMessage="1" showErrorMessage="1" sqref="M70 J23:J24 J70 J72:J75" xr:uid="{00000000-0002-0000-0900-000005000000}">
      <formula1>-999999999999999</formula1>
      <formula2>9.99999999999999E+25</formula2>
    </dataValidation>
    <dataValidation allowBlank="1" showErrorMessage="1" sqref="M23:N23 M90:N90 N73" xr:uid="{00000000-0002-0000-0900-000006000000}"/>
    <dataValidation type="whole" allowBlank="1" showInputMessage="1" showErrorMessage="1" sqref="J22 G45 D22 G22 D45 J45 D73 G73 D75 G75 D138 M16:M22 J138 M73 M75 M25:M45 O213:O238 D84:D89 D140 M48:M59 G58 J110 J58:J59 D58 G134 J134 D92:D110 G136 J136 G138 D113:D136 G110 M62:M68" xr:uid="{00000000-0002-0000-0900-000007000000}">
      <formula1>-9999999999999</formula1>
      <formula2>9999999999999</formula2>
    </dataValidation>
    <dataValidation type="whole" allowBlank="1" showErrorMessage="1" error="Please enter a whole number. " sqref="J53 D42 J42 G53 J21 G21 D21 D53 J30 D30 G30 D35:D36 G35:G36 J35:J36 J69 G69 G42 D69 M69" xr:uid="{00000000-0002-0000-0900-000008000000}">
      <formula1>-9999999999999</formula1>
      <formula2>9999999999999</formula2>
    </dataValidation>
    <dataValidation type="list" allowBlank="1" showInputMessage="1" showErrorMessage="1" error="Please use drop-down list to select Yes or No" sqref="M260 M256" xr:uid="{00000000-0002-0000-0900-000009000000}">
      <formula1>$M$249:$M$251</formula1>
    </dataValidation>
    <dataValidation type="whole" allowBlank="1" showErrorMessage="1" error="Please enter a negative whole number. " sqref="J16:J20 J25:J29 J31:J34 J48:J52 J54:J57 J37:J41 J62:J68 J43:J44" xr:uid="{00000000-0002-0000-0900-00000A000000}">
      <formula1>-9999999999999</formula1>
      <formula2>0</formula2>
    </dataValidation>
    <dataValidation type="whole" allowBlank="1" showErrorMessage="1" error="Please enter a positive whole number. " sqref="D16:D20 D25:D29 D31:D34 D48:D52 D54:D57 G54:G57 G48:G52 G31:G34 G25:G29 G16:G20 D37:D41 G37:G41 D62:D68 G62:G68 D43:D44 G43:G44" xr:uid="{00000000-0002-0000-0900-00000B000000}">
      <formula1>0</formula1>
      <formula2>9999999999999</formula2>
    </dataValidation>
    <dataValidation type="list" allowBlank="1" showInputMessage="1" showErrorMessage="1" error="Please use drop-down list to select Yes, No, or N/A." sqref="M184:O184 B147:D147 M194 M200 M203 M207 M244 O244" xr:uid="{00000000-0002-0000-0900-00000C000000}">
      <formula1>$M$249:$M$251</formula1>
    </dataValidation>
    <dataValidation type="whole" allowBlank="1" showInputMessage="1" showErrorMessage="1" error="Please enter a whole number" sqref="M187 O187" xr:uid="{00000000-0002-0000-0900-00000D000000}">
      <formula1>-9999999999999</formula1>
      <formula2>9999999999999</formula2>
    </dataValidation>
  </dataValidations>
  <printOptions gridLinesSet="0"/>
  <pageMargins left="0.75" right="0.4" top="0.78" bottom="0.37" header="0.19" footer="0.17"/>
  <pageSetup scale="64"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3" manualBreakCount="3">
    <brk id="76" max="15" man="1"/>
    <brk id="144" max="15" man="1"/>
    <brk id="187" max="15" man="1"/>
  </rowBreak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F91"/>
  <sheetViews>
    <sheetView showGridLines="0" zoomScaleNormal="100" zoomScaleSheetLayoutView="75" workbookViewId="0">
      <selection activeCell="B3" sqref="B3:D3"/>
    </sheetView>
  </sheetViews>
  <sheetFormatPr defaultColWidth="8" defaultRowHeight="12.6" customHeight="1"/>
  <cols>
    <col min="1" max="1" width="36.33203125" style="626" customWidth="1"/>
    <col min="2" max="2" width="31.6640625" style="631" customWidth="1"/>
    <col min="3" max="3" width="21.6640625" style="626" bestFit="1" customWidth="1"/>
    <col min="4" max="4" width="31" style="626" customWidth="1"/>
    <col min="5" max="5" width="19.33203125" style="626" customWidth="1"/>
    <col min="6" max="6" width="20" style="626" customWidth="1"/>
    <col min="7" max="16384" width="8" style="626"/>
  </cols>
  <sheetData>
    <row r="1" spans="1:6" ht="12" customHeight="1">
      <c r="A1" s="704" t="str">
        <f>'Internal Service Template'!A1:D1</f>
        <v>Agency Number:</v>
      </c>
      <c r="B1" s="1246" t="str">
        <f>'Internal Service Template'!E1</f>
        <v/>
      </c>
      <c r="C1" s="1247"/>
      <c r="D1" s="1247"/>
      <c r="E1" s="92"/>
      <c r="F1" s="92"/>
    </row>
    <row r="2" spans="1:6" ht="12.75" customHeight="1">
      <c r="A2" s="704" t="str">
        <f>'Internal Service Template'!A2:D2</f>
        <v>Agency Fund Name:</v>
      </c>
      <c r="B2" s="1246" t="str">
        <f>IF('Internal Service Template'!E2="","",'Internal Service Template'!E2)</f>
        <v/>
      </c>
      <c r="C2" s="1247"/>
      <c r="D2" s="1247"/>
      <c r="E2" s="92"/>
      <c r="F2" s="92"/>
    </row>
    <row r="3" spans="1:6" ht="12.6" customHeight="1">
      <c r="A3" s="704" t="str">
        <f>'Internal Service Template'!A3:D3</f>
        <v>Agency Contact Name:</v>
      </c>
      <c r="B3" s="1248" t="str">
        <f>IF('Internal Service Template'!E3="","",'Internal Service Template'!E3)</f>
        <v/>
      </c>
      <c r="C3" s="1249"/>
      <c r="D3" s="1249"/>
      <c r="E3" s="92"/>
      <c r="F3" s="92"/>
    </row>
    <row r="4" spans="1:6" ht="12.6" customHeight="1">
      <c r="A4" s="704" t="str">
        <f>'Internal Service Template'!A4:D4</f>
        <v>Agency Contact Phone Number:</v>
      </c>
      <c r="B4" s="1250" t="str">
        <f>IF('Internal Service Template'!E4="","",'Internal Service Template'!E4)</f>
        <v/>
      </c>
      <c r="C4" s="1251"/>
      <c r="D4" s="1251"/>
      <c r="E4" s="92"/>
      <c r="F4" s="92"/>
    </row>
    <row r="5" spans="1:6" ht="12.6" customHeight="1">
      <c r="A5" s="704" t="str">
        <f>'Internal Service Template'!A5:D5</f>
        <v>Agency Contact E-mail Address:</v>
      </c>
      <c r="B5" s="1242" t="str">
        <f>IF('Internal Service Template'!E5="","",'Internal Service Template'!E5)</f>
        <v/>
      </c>
      <c r="C5" s="1243"/>
      <c r="D5" s="1243"/>
      <c r="E5" s="92"/>
      <c r="F5" s="92"/>
    </row>
    <row r="6" spans="1:6" ht="12.6" customHeight="1">
      <c r="A6" s="704" t="str">
        <f>'Internal Service Template'!A6:D6</f>
        <v>Date Completed:</v>
      </c>
      <c r="B6" s="1244" t="str">
        <f>IF('Internal Service Template'!E6="","",'Internal Service Template'!E6)</f>
        <v/>
      </c>
      <c r="C6" s="1245"/>
      <c r="D6" s="1245"/>
      <c r="E6" s="705"/>
      <c r="F6" s="705"/>
    </row>
    <row r="7" spans="1:6" ht="12.6" customHeight="1">
      <c r="A7" s="704" t="str">
        <f>'Internal Service Template'!A7:D7</f>
        <v>Fund Number:</v>
      </c>
      <c r="B7" s="1246" t="str">
        <f>'Internal Service Template'!E7</f>
        <v/>
      </c>
      <c r="C7" s="1247"/>
      <c r="D7" s="1247"/>
      <c r="E7" s="92"/>
      <c r="F7" s="92"/>
    </row>
    <row r="8" spans="1:6" ht="12.6" customHeight="1">
      <c r="A8" s="18"/>
      <c r="B8" s="67"/>
      <c r="C8" s="67"/>
      <c r="D8" s="67"/>
      <c r="E8" s="68"/>
      <c r="F8" s="68"/>
    </row>
    <row r="9" spans="1:6" ht="12.6" customHeight="1">
      <c r="A9" s="86" t="s">
        <v>79</v>
      </c>
    </row>
    <row r="10" spans="1:6" ht="12.6" customHeight="1">
      <c r="A10" s="632" t="str">
        <f>'Tab 2-Receivables'!A10</f>
        <v>For the Year Ended June 30, 2024</v>
      </c>
    </row>
    <row r="11" spans="1:6" ht="12.6" customHeight="1">
      <c r="A11" s="633"/>
      <c r="B11" s="634"/>
      <c r="C11" s="635"/>
      <c r="D11" s="635"/>
      <c r="E11" s="635"/>
      <c r="F11" s="635"/>
    </row>
    <row r="12" spans="1:6" ht="8.25" customHeight="1">
      <c r="D12" s="11"/>
      <c r="E12" s="11"/>
      <c r="F12" s="11"/>
    </row>
    <row r="13" spans="1:6" ht="6.75" customHeight="1">
      <c r="D13" s="11"/>
      <c r="E13" s="11"/>
      <c r="F13" s="11"/>
    </row>
    <row r="14" spans="1:6" ht="12" customHeight="1">
      <c r="A14" s="706" t="s">
        <v>207</v>
      </c>
    </row>
    <row r="16" spans="1:6" ht="12">
      <c r="A16" s="707" t="s">
        <v>2604</v>
      </c>
      <c r="B16" s="707" t="s">
        <v>832</v>
      </c>
      <c r="C16" s="707" t="s">
        <v>889</v>
      </c>
      <c r="D16" s="707" t="s">
        <v>896</v>
      </c>
      <c r="E16" s="707" t="s">
        <v>890</v>
      </c>
      <c r="F16" s="707" t="s">
        <v>341</v>
      </c>
    </row>
    <row r="17" spans="1:6" ht="12.6" customHeight="1">
      <c r="A17" s="155"/>
      <c r="B17" s="291"/>
      <c r="C17" s="290"/>
      <c r="D17" s="654" t="str">
        <f>IF(C17="","",IFERROR(VLOOKUP(C17,'Fund Vlookup'!B:C,2,FALSE),"Verify fund number and Contact DOA"))</f>
        <v/>
      </c>
      <c r="E17" s="156"/>
      <c r="F17" s="204"/>
    </row>
    <row r="18" spans="1:6" ht="12.6" customHeight="1">
      <c r="A18" s="155"/>
      <c r="B18" s="291"/>
      <c r="C18" s="290"/>
      <c r="D18" s="654" t="str">
        <f>IF(C18="","",IFERROR(VLOOKUP(C18,'Fund Vlookup'!B:C,2,FALSE),"Verify fund number and Contact DOA"))</f>
        <v/>
      </c>
      <c r="E18" s="156"/>
      <c r="F18" s="204"/>
    </row>
    <row r="19" spans="1:6" ht="12.6" customHeight="1">
      <c r="A19" s="155"/>
      <c r="B19" s="291"/>
      <c r="C19" s="290"/>
      <c r="D19" s="654" t="str">
        <f>IF(C19="","",IFERROR(VLOOKUP(C19,'Fund Vlookup'!B:C,2,FALSE),"Verify fund number and Contact DOA"))</f>
        <v/>
      </c>
      <c r="E19" s="156"/>
      <c r="F19" s="204"/>
    </row>
    <row r="20" spans="1:6" ht="12.6" customHeight="1">
      <c r="A20" s="155"/>
      <c r="B20" s="291"/>
      <c r="C20" s="290"/>
      <c r="D20" s="654" t="str">
        <f>IF(C20="","",IFERROR(VLOOKUP(C20,'Fund Vlookup'!B:C,2,FALSE),"Verify fund number and Contact DOA"))</f>
        <v/>
      </c>
      <c r="E20" s="156"/>
      <c r="F20" s="204"/>
    </row>
    <row r="21" spans="1:6" ht="12.6" customHeight="1">
      <c r="A21" s="155"/>
      <c r="B21" s="291"/>
      <c r="C21" s="290"/>
      <c r="D21" s="654" t="str">
        <f>IF(C21="","",IFERROR(VLOOKUP(C21,'Fund Vlookup'!B:C,2,FALSE),"Verify fund number and Contact DOA"))</f>
        <v/>
      </c>
      <c r="E21" s="156"/>
      <c r="F21" s="204"/>
    </row>
    <row r="22" spans="1:6" ht="12.6" customHeight="1">
      <c r="A22" s="155"/>
      <c r="B22" s="291"/>
      <c r="C22" s="290"/>
      <c r="D22" s="654" t="str">
        <f>IF(C22="","",IFERROR(VLOOKUP(C22,'Fund Vlookup'!B:C,2,FALSE),"Verify fund number and Contact DOA"))</f>
        <v/>
      </c>
      <c r="E22" s="156"/>
      <c r="F22" s="204"/>
    </row>
    <row r="23" spans="1:6" ht="12.6" customHeight="1">
      <c r="A23" s="155"/>
      <c r="B23" s="291"/>
      <c r="C23" s="290"/>
      <c r="D23" s="654" t="str">
        <f>IF(C23="","",IFERROR(VLOOKUP(C23,'Fund Vlookup'!B:C,2,FALSE),"Verify fund number and Contact DOA"))</f>
        <v/>
      </c>
      <c r="E23" s="156"/>
      <c r="F23" s="204"/>
    </row>
    <row r="24" spans="1:6" ht="12.6" customHeight="1">
      <c r="A24" s="155"/>
      <c r="B24" s="291"/>
      <c r="C24" s="290"/>
      <c r="D24" s="654" t="str">
        <f>IF(C24="","",IFERROR(VLOOKUP(C24,'Fund Vlookup'!B:C,2,FALSE),"Verify fund number and Contact DOA"))</f>
        <v/>
      </c>
      <c r="E24" s="156"/>
      <c r="F24" s="204"/>
    </row>
    <row r="25" spans="1:6" ht="12.6" customHeight="1">
      <c r="A25" s="155"/>
      <c r="B25" s="291"/>
      <c r="C25" s="290"/>
      <c r="D25" s="654" t="str">
        <f>IF(C25="","",IFERROR(VLOOKUP(C25,'Fund Vlookup'!B:C,2,FALSE),"Verify fund number and Contact DOA"))</f>
        <v/>
      </c>
      <c r="E25" s="156"/>
      <c r="F25" s="204"/>
    </row>
    <row r="26" spans="1:6" ht="12.6" customHeight="1">
      <c r="A26" s="155"/>
      <c r="B26" s="291"/>
      <c r="C26" s="290"/>
      <c r="D26" s="654" t="str">
        <f>IF(C26="","",IFERROR(VLOOKUP(C26,'Fund Vlookup'!B:C,2,FALSE),"Verify fund number and Contact DOA"))</f>
        <v/>
      </c>
      <c r="E26" s="156"/>
      <c r="F26" s="204"/>
    </row>
    <row r="27" spans="1:6" ht="12.6" customHeight="1">
      <c r="A27" s="155"/>
      <c r="B27" s="291"/>
      <c r="C27" s="290"/>
      <c r="D27" s="654" t="str">
        <f>IF(C27="","",IFERROR(VLOOKUP(C27,'Fund Vlookup'!B:C,2,FALSE),"Verify fund number and Contact DOA"))</f>
        <v/>
      </c>
      <c r="E27" s="156"/>
      <c r="F27" s="204"/>
    </row>
    <row r="28" spans="1:6" ht="12.6" customHeight="1">
      <c r="A28" s="155"/>
      <c r="B28" s="291"/>
      <c r="C28" s="290"/>
      <c r="D28" s="654" t="str">
        <f>IF(C28="","",IFERROR(VLOOKUP(C28,'Fund Vlookup'!B:C,2,FALSE),"Verify fund number and Contact DOA"))</f>
        <v/>
      </c>
      <c r="E28" s="156"/>
      <c r="F28" s="204"/>
    </row>
    <row r="29" spans="1:6" ht="12.6" customHeight="1">
      <c r="A29" s="155"/>
      <c r="B29" s="291"/>
      <c r="C29" s="290"/>
      <c r="D29" s="654" t="str">
        <f>IF(C29="","",IFERROR(VLOOKUP(C29,'Fund Vlookup'!B:C,2,FALSE),"Verify fund number and Contact DOA"))</f>
        <v/>
      </c>
      <c r="E29" s="156"/>
      <c r="F29" s="204"/>
    </row>
    <row r="30" spans="1:6" ht="12.6" customHeight="1">
      <c r="A30" s="155"/>
      <c r="B30" s="291"/>
      <c r="C30" s="290"/>
      <c r="D30" s="654" t="str">
        <f>IF(C30="","",IFERROR(VLOOKUP(C30,'Fund Vlookup'!B:C,2,FALSE),"Verify fund number and Contact DOA"))</f>
        <v/>
      </c>
      <c r="E30" s="156"/>
      <c r="F30" s="204"/>
    </row>
    <row r="31" spans="1:6" ht="12.6" customHeight="1">
      <c r="A31" s="155"/>
      <c r="B31" s="291"/>
      <c r="C31" s="290"/>
      <c r="D31" s="654" t="str">
        <f>IF(C31="","",IFERROR(VLOOKUP(C31,'Fund Vlookup'!B:C,2,FALSE),"Verify fund number and Contact DOA"))</f>
        <v/>
      </c>
      <c r="E31" s="156"/>
      <c r="F31" s="204"/>
    </row>
    <row r="32" spans="1:6" ht="12.6" customHeight="1">
      <c r="A32" s="155"/>
      <c r="B32" s="291"/>
      <c r="C32" s="290"/>
      <c r="D32" s="654" t="str">
        <f>IF(C32="","",IFERROR(VLOOKUP(C32,'Fund Vlookup'!B:C,2,FALSE),"Verify fund number and Contact DOA"))</f>
        <v/>
      </c>
      <c r="E32" s="156"/>
      <c r="F32" s="204"/>
    </row>
    <row r="33" spans="1:6" ht="12.6" customHeight="1">
      <c r="A33" s="155"/>
      <c r="B33" s="291"/>
      <c r="C33" s="290"/>
      <c r="D33" s="654" t="str">
        <f>IF(C33="","",IFERROR(VLOOKUP(C33,'Fund Vlookup'!B:C,2,FALSE),"Verify fund number and Contact DOA"))</f>
        <v/>
      </c>
      <c r="E33" s="156"/>
      <c r="F33" s="204"/>
    </row>
    <row r="34" spans="1:6" ht="12.6" customHeight="1">
      <c r="A34" s="155"/>
      <c r="B34" s="291"/>
      <c r="C34" s="290"/>
      <c r="D34" s="654" t="str">
        <f>IF(C34="","",IFERROR(VLOOKUP(C34,'Fund Vlookup'!B:C,2,FALSE),"Verify fund number and Contact DOA"))</f>
        <v/>
      </c>
      <c r="E34" s="156"/>
      <c r="F34" s="204"/>
    </row>
    <row r="35" spans="1:6" ht="12.6" customHeight="1">
      <c r="A35" s="155"/>
      <c r="B35" s="291"/>
      <c r="C35" s="290"/>
      <c r="D35" s="654" t="str">
        <f>IF(C35="","",IFERROR(VLOOKUP(C35,'Fund Vlookup'!B:C,2,FALSE),"Verify fund number and Contact DOA"))</f>
        <v/>
      </c>
      <c r="E35" s="156"/>
      <c r="F35" s="204"/>
    </row>
    <row r="36" spans="1:6" ht="12.6" customHeight="1">
      <c r="A36" s="155"/>
      <c r="B36" s="291"/>
      <c r="C36" s="290"/>
      <c r="D36" s="654" t="str">
        <f>IF(C36="","",IFERROR(VLOOKUP(C36,'Fund Vlookup'!B:C,2,FALSE),"Verify fund number and Contact DOA"))</f>
        <v/>
      </c>
      <c r="E36" s="156"/>
      <c r="F36" s="204"/>
    </row>
    <row r="37" spans="1:6" ht="12.6" customHeight="1">
      <c r="A37" s="155"/>
      <c r="B37" s="291"/>
      <c r="C37" s="290"/>
      <c r="D37" s="654" t="str">
        <f>IF(C37="","",IFERROR(VLOOKUP(C37,'Fund Vlookup'!B:C,2,FALSE),"Verify fund number and Contact DOA"))</f>
        <v/>
      </c>
      <c r="E37" s="156"/>
      <c r="F37" s="204"/>
    </row>
    <row r="38" spans="1:6" ht="12.6" customHeight="1">
      <c r="A38" s="155"/>
      <c r="B38" s="291"/>
      <c r="C38" s="290"/>
      <c r="D38" s="654" t="str">
        <f>IF(C38="","",IFERROR(VLOOKUP(C38,'Fund Vlookup'!B:C,2,FALSE),"Verify fund number and Contact DOA"))</f>
        <v/>
      </c>
      <c r="E38" s="156"/>
      <c r="F38" s="204"/>
    </row>
    <row r="39" spans="1:6" ht="12.6" customHeight="1">
      <c r="A39" s="155"/>
      <c r="B39" s="291"/>
      <c r="C39" s="290"/>
      <c r="D39" s="654" t="str">
        <f>IF(C39="","",IFERROR(VLOOKUP(C39,'Fund Vlookup'!B:C,2,FALSE),"Verify fund number and Contact DOA"))</f>
        <v/>
      </c>
      <c r="E39" s="156"/>
      <c r="F39" s="204"/>
    </row>
    <row r="40" spans="1:6" ht="12.6" customHeight="1">
      <c r="A40" s="155"/>
      <c r="B40" s="291"/>
      <c r="C40" s="290"/>
      <c r="D40" s="654" t="str">
        <f>IF(C40="","",IFERROR(VLOOKUP(C40,'Fund Vlookup'!B:C,2,FALSE),"Verify fund number and Contact DOA"))</f>
        <v/>
      </c>
      <c r="E40" s="156"/>
      <c r="F40" s="204"/>
    </row>
    <row r="41" spans="1:6" ht="12.6" customHeight="1">
      <c r="A41" s="155"/>
      <c r="B41" s="291"/>
      <c r="C41" s="290"/>
      <c r="D41" s="654" t="str">
        <f>IF(C41="","",IFERROR(VLOOKUP(C41,'Fund Vlookup'!B:C,2,FALSE),"Verify fund number and Contact DOA"))</f>
        <v/>
      </c>
      <c r="E41" s="156"/>
      <c r="F41" s="204"/>
    </row>
    <row r="42" spans="1:6" ht="12.6" customHeight="1">
      <c r="A42" s="708"/>
      <c r="B42" s="709"/>
      <c r="C42" s="709"/>
      <c r="D42" s="709"/>
      <c r="E42" s="708"/>
    </row>
    <row r="43" spans="1:6" ht="12.6" customHeight="1" thickBot="1">
      <c r="B43" s="709"/>
      <c r="E43" s="710" t="s">
        <v>293</v>
      </c>
      <c r="F43" s="711">
        <f>IF(SUM(F17:F41)='Internal Service Template'!O134,SUM(F17:F41),"Error")</f>
        <v>0</v>
      </c>
    </row>
    <row r="44" spans="1:6" ht="12.6" customHeight="1" thickTop="1">
      <c r="A44" s="708"/>
      <c r="E44" s="712" t="s">
        <v>146</v>
      </c>
      <c r="F44" s="713">
        <f>(SUM(F17:F41))-'Internal Service Template'!O134</f>
        <v>0</v>
      </c>
    </row>
    <row r="45" spans="1:6" ht="12.6" customHeight="1">
      <c r="A45" s="714" t="s">
        <v>3446</v>
      </c>
    </row>
    <row r="46" spans="1:6" ht="12.6" customHeight="1">
      <c r="A46" s="708"/>
    </row>
    <row r="47" spans="1:6" ht="12.6" customHeight="1">
      <c r="A47" s="645"/>
    </row>
    <row r="48" spans="1:6" ht="12.6" customHeight="1">
      <c r="A48" s="706" t="s">
        <v>643</v>
      </c>
    </row>
    <row r="49" spans="1:4" ht="12.6" customHeight="1">
      <c r="A49" s="715" t="s">
        <v>296</v>
      </c>
    </row>
    <row r="51" spans="1:4" ht="21.6" customHeight="1">
      <c r="A51" s="707" t="s">
        <v>889</v>
      </c>
      <c r="B51" s="707" t="s">
        <v>896</v>
      </c>
      <c r="C51" s="707" t="s">
        <v>890</v>
      </c>
      <c r="D51" s="707" t="s">
        <v>341</v>
      </c>
    </row>
    <row r="52" spans="1:4" ht="12.6" customHeight="1">
      <c r="A52" s="294"/>
      <c r="B52" s="654" t="str">
        <f>IF(A52="","",IFERROR(VLOOKUP(A52,'Fund Vlookup'!B:C,2,FALSE),"Verify fund number and Contact DOA"))</f>
        <v/>
      </c>
      <c r="C52" s="156"/>
      <c r="D52" s="204"/>
    </row>
    <row r="53" spans="1:4" ht="12.6" customHeight="1">
      <c r="A53" s="294"/>
      <c r="B53" s="654" t="str">
        <f>IF(A53="","",IFERROR(VLOOKUP(A53,'Fund Vlookup'!B:C,2,FALSE),"Verify fund number and Contact DOA"))</f>
        <v/>
      </c>
      <c r="C53" s="156"/>
      <c r="D53" s="204"/>
    </row>
    <row r="54" spans="1:4" ht="12.6" customHeight="1">
      <c r="A54" s="294"/>
      <c r="B54" s="654" t="str">
        <f>IF(A54="","",IFERROR(VLOOKUP(A54,'Fund Vlookup'!B:C,2,FALSE),"Verify fund number and Contact DOA"))</f>
        <v/>
      </c>
      <c r="C54" s="156"/>
      <c r="D54" s="204"/>
    </row>
    <row r="55" spans="1:4" ht="12.6" customHeight="1">
      <c r="A55" s="294"/>
      <c r="B55" s="654" t="str">
        <f>IF(A55="","",IFERROR(VLOOKUP(A55,'Fund Vlookup'!B:C,2,FALSE),"Verify fund number and Contact DOA"))</f>
        <v/>
      </c>
      <c r="C55" s="156"/>
      <c r="D55" s="204"/>
    </row>
    <row r="56" spans="1:4" ht="12.6" customHeight="1">
      <c r="A56" s="294"/>
      <c r="B56" s="654" t="str">
        <f>IF(A56="","",IFERROR(VLOOKUP(A56,'Fund Vlookup'!B:C,2,FALSE),"Verify fund number and Contact DOA"))</f>
        <v/>
      </c>
      <c r="C56" s="156"/>
      <c r="D56" s="204"/>
    </row>
    <row r="57" spans="1:4" ht="12.6" customHeight="1">
      <c r="A57" s="294"/>
      <c r="B57" s="654" t="str">
        <f>IF(A57="","",IFERROR(VLOOKUP(A57,'Fund Vlookup'!B:C,2,FALSE),"Verify fund number and Contact DOA"))</f>
        <v/>
      </c>
      <c r="C57" s="156"/>
      <c r="D57" s="204"/>
    </row>
    <row r="58" spans="1:4" ht="12.6" customHeight="1">
      <c r="A58" s="294"/>
      <c r="B58" s="654" t="str">
        <f>IF(A58="","",IFERROR(VLOOKUP(A58,'Fund Vlookup'!B:C,2,FALSE),"Verify fund number and Contact DOA"))</f>
        <v/>
      </c>
      <c r="C58" s="156"/>
      <c r="D58" s="204"/>
    </row>
    <row r="59" spans="1:4" ht="12.6" customHeight="1">
      <c r="A59" s="294"/>
      <c r="B59" s="654" t="str">
        <f>IF(A59="","",IFERROR(VLOOKUP(A59,'Fund Vlookup'!B:C,2,FALSE),"Verify fund number and Contact DOA"))</f>
        <v/>
      </c>
      <c r="C59" s="156"/>
      <c r="D59" s="204"/>
    </row>
    <row r="60" spans="1:4" ht="12.6" customHeight="1">
      <c r="C60" s="631"/>
    </row>
    <row r="61" spans="1:4" ht="12.6" customHeight="1" thickBot="1">
      <c r="B61" s="1240" t="s">
        <v>244</v>
      </c>
      <c r="C61" s="1241"/>
      <c r="D61" s="711">
        <f>IF(SUM(D52:D59)='Internal Service Template'!O133,SUM(D52:D59),"Error")</f>
        <v>0</v>
      </c>
    </row>
    <row r="62" spans="1:4" ht="12.6" customHeight="1" thickTop="1">
      <c r="A62" s="645"/>
      <c r="B62" s="716"/>
      <c r="C62" s="712" t="s">
        <v>146</v>
      </c>
      <c r="D62" s="713">
        <f>(SUM(D52:D59))-'Internal Service Template'!O133</f>
        <v>0</v>
      </c>
    </row>
    <row r="63" spans="1:4" ht="12.6" customHeight="1">
      <c r="A63" s="645"/>
      <c r="B63" s="716"/>
      <c r="C63" s="716"/>
      <c r="D63" s="645"/>
    </row>
    <row r="64" spans="1:4" ht="12.6" customHeight="1">
      <c r="A64" s="715" t="s">
        <v>54</v>
      </c>
      <c r="B64" s="716"/>
      <c r="C64" s="716"/>
      <c r="D64" s="645"/>
    </row>
    <row r="65" spans="1:4" ht="12.6" customHeight="1">
      <c r="A65" s="645"/>
      <c r="B65" s="716"/>
      <c r="C65" s="716"/>
      <c r="D65" s="645"/>
    </row>
    <row r="66" spans="1:4" ht="24" customHeight="1">
      <c r="A66" s="707" t="s">
        <v>889</v>
      </c>
      <c r="B66" s="707" t="s">
        <v>896</v>
      </c>
      <c r="C66" s="707" t="s">
        <v>890</v>
      </c>
      <c r="D66" s="707" t="s">
        <v>341</v>
      </c>
    </row>
    <row r="67" spans="1:4" ht="12.6" customHeight="1">
      <c r="A67" s="295"/>
      <c r="B67" s="654" t="str">
        <f>IF(A67="","",IFERROR(VLOOKUP(A67,'Fund Vlookup'!B:C,2,FALSE),"Verify fund number and Contact DOA"))</f>
        <v/>
      </c>
      <c r="C67" s="156"/>
      <c r="D67" s="204"/>
    </row>
    <row r="68" spans="1:4" ht="12.6" customHeight="1">
      <c r="A68" s="295"/>
      <c r="B68" s="654" t="str">
        <f>IF(A68="","",IFERROR(VLOOKUP(A68,'Fund Vlookup'!B:C,2,FALSE),"Verify fund number and Contact DOA"))</f>
        <v/>
      </c>
      <c r="C68" s="156"/>
      <c r="D68" s="204"/>
    </row>
    <row r="69" spans="1:4" ht="12.6" customHeight="1">
      <c r="A69" s="295"/>
      <c r="B69" s="654" t="str">
        <f>IF(A69="","",IFERROR(VLOOKUP(A69,'Fund Vlookup'!B:C,2,FALSE),"Verify fund number and Contact DOA"))</f>
        <v/>
      </c>
      <c r="C69" s="156"/>
      <c r="D69" s="204"/>
    </row>
    <row r="70" spans="1:4" ht="12.6" customHeight="1">
      <c r="A70" s="295"/>
      <c r="B70" s="654" t="str">
        <f>IF(A70="","",IFERROR(VLOOKUP(A70,'Fund Vlookup'!B:C,2,FALSE),"Verify fund number and Contact DOA"))</f>
        <v/>
      </c>
      <c r="C70" s="156"/>
      <c r="D70" s="204"/>
    </row>
    <row r="71" spans="1:4" ht="12.6" customHeight="1">
      <c r="A71" s="295"/>
      <c r="B71" s="654" t="str">
        <f>IF(A71="","",IFERROR(VLOOKUP(A71,'Fund Vlookup'!B:C,2,FALSE),"Verify fund number and Contact DOA"))</f>
        <v/>
      </c>
      <c r="C71" s="156"/>
      <c r="D71" s="204"/>
    </row>
    <row r="72" spans="1:4" ht="12.6" customHeight="1">
      <c r="A72" s="295"/>
      <c r="B72" s="654" t="str">
        <f>IF(A72="","",IFERROR(VLOOKUP(A72,'Fund Vlookup'!B:C,2,FALSE),"Verify fund number and Contact DOA"))</f>
        <v/>
      </c>
      <c r="C72" s="156"/>
      <c r="D72" s="204"/>
    </row>
    <row r="73" spans="1:4" ht="12.6" customHeight="1">
      <c r="A73" s="295"/>
      <c r="B73" s="654" t="str">
        <f>IF(A73="","",IFERROR(VLOOKUP(A73,'Fund Vlookup'!B:C,2,FALSE),"Verify fund number and Contact DOA"))</f>
        <v/>
      </c>
      <c r="C73" s="156"/>
      <c r="D73" s="204"/>
    </row>
    <row r="74" spans="1:4" ht="12.6" customHeight="1">
      <c r="A74" s="295"/>
      <c r="B74" s="654" t="str">
        <f>IF(A74="","",IFERROR(VLOOKUP(A74,'Fund Vlookup'!B:C,2,FALSE),"Verify fund number and Contact DOA"))</f>
        <v/>
      </c>
      <c r="C74" s="156"/>
      <c r="D74" s="204"/>
    </row>
    <row r="75" spans="1:4" ht="12.6" customHeight="1">
      <c r="C75" s="631"/>
    </row>
    <row r="76" spans="1:4" ht="12.6" customHeight="1" thickBot="1">
      <c r="B76" s="1240" t="s">
        <v>55</v>
      </c>
      <c r="C76" s="1241"/>
      <c r="D76" s="711">
        <f>IF(SUM(D67:D74)='Internal Service Template'!O166,SUM(D67:D74),"Error")</f>
        <v>0</v>
      </c>
    </row>
    <row r="77" spans="1:4" ht="12.6" customHeight="1" thickTop="1">
      <c r="C77" s="712" t="s">
        <v>146</v>
      </c>
      <c r="D77" s="713">
        <f>(SUM(D67:D74))-'Internal Service Template'!O166</f>
        <v>0</v>
      </c>
    </row>
    <row r="79" spans="1:4" ht="12.6" customHeight="1">
      <c r="A79" s="706" t="s">
        <v>14</v>
      </c>
    </row>
    <row r="80" spans="1:4" ht="24" customHeight="1">
      <c r="A80" s="707" t="s">
        <v>797</v>
      </c>
      <c r="B80" s="1252" t="s">
        <v>298</v>
      </c>
      <c r="C80" s="1252"/>
      <c r="D80" s="707" t="s">
        <v>341</v>
      </c>
    </row>
    <row r="81" spans="1:4" ht="12">
      <c r="A81" s="528"/>
      <c r="B81" s="1253"/>
      <c r="C81" s="1254"/>
      <c r="D81" s="204"/>
    </row>
    <row r="82" spans="1:4" ht="12">
      <c r="A82" s="83"/>
      <c r="B82" s="1255"/>
      <c r="C82" s="1254"/>
      <c r="D82" s="204"/>
    </row>
    <row r="83" spans="1:4" ht="12">
      <c r="A83" s="83"/>
      <c r="B83" s="1253"/>
      <c r="C83" s="1254"/>
      <c r="D83" s="204"/>
    </row>
    <row r="84" spans="1:4" ht="12">
      <c r="A84" s="83"/>
      <c r="B84" s="1255"/>
      <c r="C84" s="1254"/>
      <c r="D84" s="204"/>
    </row>
    <row r="85" spans="1:4" ht="12">
      <c r="A85" s="83"/>
      <c r="B85" s="1255"/>
      <c r="C85" s="1254"/>
      <c r="D85" s="204"/>
    </row>
    <row r="86" spans="1:4" ht="12">
      <c r="A86" s="83"/>
      <c r="B86" s="1255"/>
      <c r="C86" s="1254"/>
      <c r="D86" s="204"/>
    </row>
    <row r="87" spans="1:4" ht="12">
      <c r="A87" s="83"/>
      <c r="B87" s="1255"/>
      <c r="C87" s="1254"/>
      <c r="D87" s="204"/>
    </row>
    <row r="88" spans="1:4" ht="12">
      <c r="A88" s="83"/>
      <c r="B88" s="1255"/>
      <c r="C88" s="1254"/>
      <c r="D88" s="204"/>
    </row>
    <row r="89" spans="1:4" ht="12.6" customHeight="1">
      <c r="C89" s="631"/>
    </row>
    <row r="90" spans="1:4" ht="12.6" customHeight="1" thickBot="1">
      <c r="B90" s="1240" t="s">
        <v>798</v>
      </c>
      <c r="C90" s="1241"/>
      <c r="D90" s="711">
        <f>IF(SUM(D81:D88)='Internal Service Template'!O137,SUM(D81:D88),"Error")</f>
        <v>0</v>
      </c>
    </row>
    <row r="91" spans="1:4" ht="12.6" customHeight="1" thickTop="1">
      <c r="C91" s="712" t="s">
        <v>146</v>
      </c>
      <c r="D91" s="713">
        <f>(SUM(D81:D88))-'Internal Service Template'!O137</f>
        <v>0</v>
      </c>
    </row>
  </sheetData>
  <sheetProtection algorithmName="SHA-512" hashValue="LTM3Il/sVefpnVQOz0/hy8yNRaVUKFcus2afahz5l+eWHJDQrnLAu51mFwZTL1jivj2AZO3rxtWgLqCD6NnR8w==" saltValue="1+l020ghBQ8GlW7pfl4N4Q==" spinCount="100000" sheet="1" objects="1" scenarios="1"/>
  <customSheetViews>
    <customSheetView guid="{5CCA66B6-9DBD-4F43-8EC0-0C18444D6068}" showGridLines="0" showRuler="0">
      <selection activeCell="A17" sqref="A17"/>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19">
    <mergeCell ref="B90:C90"/>
    <mergeCell ref="B80:C80"/>
    <mergeCell ref="B81:C81"/>
    <mergeCell ref="B82:C82"/>
    <mergeCell ref="B83:C83"/>
    <mergeCell ref="B84:C84"/>
    <mergeCell ref="B85:C85"/>
    <mergeCell ref="B86:C86"/>
    <mergeCell ref="B87:C87"/>
    <mergeCell ref="B88:C88"/>
    <mergeCell ref="B76:C76"/>
    <mergeCell ref="B5:D5"/>
    <mergeCell ref="B6:D6"/>
    <mergeCell ref="B7:D7"/>
    <mergeCell ref="B1:D1"/>
    <mergeCell ref="B2:D2"/>
    <mergeCell ref="B3:D3"/>
    <mergeCell ref="B4:D4"/>
    <mergeCell ref="B61:C61"/>
  </mergeCells>
  <phoneticPr fontId="46" type="noConversion"/>
  <dataValidations xWindow="149" yWindow="258" count="4">
    <dataValidation type="whole" allowBlank="1" showErrorMessage="1" error="Please enter a whole number." sqref="F17:F41 D67:D74 D52:D59 D81:D88" xr:uid="{00000000-0002-0000-0A00-000000000000}">
      <formula1>-9999999999999</formula1>
      <formula2>9999999999999</formula2>
    </dataValidation>
    <dataValidation type="whole" allowBlank="1" showInputMessage="1" showErrorMessage="1" sqref="F43 D76:D77 D61:D62 D90:D91" xr:uid="{00000000-0002-0000-0A00-000001000000}">
      <formula1>-9999999999999</formula1>
      <formula2>9999999999999</formula2>
    </dataValidation>
    <dataValidation type="whole" allowBlank="1" showInputMessage="1" showErrorMessage="1" error="Enter a fund number between 1000 and 99999" sqref="C17:C41 A52:A59 A67:A74" xr:uid="{00000000-0002-0000-0A00-000003000000}">
      <formula1>1000</formula1>
      <formula2>99999</formula2>
    </dataValidation>
    <dataValidation type="whole" allowBlank="1" showInputMessage="1" showErrorMessage="1" error="Enter an Business Unit number between 10000 and 99600." sqref="B17:B41" xr:uid="{404D8A19-89A1-4562-A481-0B1D0B567B36}">
      <formula1>10000</formula1>
      <formula2>99600</formula2>
    </dataValidation>
  </dataValidations>
  <pageMargins left="0.75" right="0.38" top="0.71" bottom="0.37" header="0.25" footer="0.17"/>
  <pageSetup scale="57" orientation="portrait" cellComments="asDisplayed" r:id="rId2"/>
  <headerFooter alignWithMargins="0">
    <oddHeader xml:space="preserve">&amp;C&amp;"Times New Roman,Bold"Attachment 11
Internal Service Fund Financial Statement Template
&amp;A
</oddHeader>
    <oddFooter>&amp;L&amp;"Times New Roman,Regular"&amp;F \ &amp;A&amp;R&amp;"Times New Roman,Regular" Page &amp;P of &amp;N</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N227"/>
  <sheetViews>
    <sheetView showGridLines="0" topLeftCell="A193" zoomScaleNormal="100" zoomScaleSheetLayoutView="91" workbookViewId="0">
      <selection activeCell="B217" sqref="B217"/>
    </sheetView>
  </sheetViews>
  <sheetFormatPr defaultColWidth="9.109375" defaultRowHeight="13.2"/>
  <cols>
    <col min="1" max="1" width="40.5546875" style="11" customWidth="1"/>
    <col min="2" max="2" width="16.88671875" style="11" customWidth="1"/>
    <col min="3" max="3" width="16.109375" style="11" customWidth="1"/>
    <col min="4" max="4" width="16.33203125" style="11" customWidth="1"/>
    <col min="5" max="5" width="17.88671875" style="11" customWidth="1"/>
    <col min="6" max="6" width="15.109375" style="11" customWidth="1"/>
    <col min="7" max="7" width="14.5546875" style="11" customWidth="1"/>
    <col min="8" max="8" width="17.88671875" style="11" customWidth="1"/>
    <col min="9" max="9" width="16.109375" style="11" customWidth="1"/>
    <col min="10" max="10" width="6.109375" style="11" hidden="1" customWidth="1"/>
    <col min="11" max="12" width="16.109375" style="11" customWidth="1"/>
    <col min="13" max="13" width="17" style="11" customWidth="1"/>
    <col min="14" max="16384" width="9.109375" style="11"/>
  </cols>
  <sheetData>
    <row r="1" spans="1:13" s="657" customFormat="1" ht="12.6" customHeight="1">
      <c r="A1" s="564" t="str">
        <f>'Internal Service Template'!A1:D1</f>
        <v>Agency Number:</v>
      </c>
      <c r="B1" s="1290" t="str">
        <f>'Internal Service Template'!E1</f>
        <v/>
      </c>
      <c r="C1" s="1290"/>
      <c r="D1" s="1291"/>
      <c r="E1" s="1291"/>
      <c r="F1" s="1291"/>
      <c r="G1" s="92"/>
      <c r="H1" s="68"/>
    </row>
    <row r="2" spans="1:13" s="657" customFormat="1">
      <c r="A2" s="564" t="str">
        <f>'Internal Service Template'!A2:D2</f>
        <v>Agency Fund Name:</v>
      </c>
      <c r="B2" s="1290" t="str">
        <f>IF('Internal Service Template'!E2="","",'Internal Service Template'!E2)</f>
        <v/>
      </c>
      <c r="C2" s="1290"/>
      <c r="D2" s="1291"/>
      <c r="E2" s="1291"/>
      <c r="F2" s="1291"/>
      <c r="G2" s="92"/>
      <c r="H2" s="68"/>
    </row>
    <row r="3" spans="1:13" s="657" customFormat="1" ht="15" customHeight="1">
      <c r="A3" s="564" t="str">
        <f>'Internal Service Template'!A3:D3</f>
        <v>Agency Contact Name:</v>
      </c>
      <c r="B3" s="1142" t="str">
        <f>IF('Internal Service Template'!E3="","",'Internal Service Template'!E3)</f>
        <v/>
      </c>
      <c r="C3" s="1142"/>
      <c r="D3" s="1294"/>
      <c r="E3" s="1294"/>
      <c r="F3" s="1294"/>
      <c r="G3" s="92"/>
      <c r="H3" s="68"/>
    </row>
    <row r="4" spans="1:13" s="657" customFormat="1" ht="12.75" customHeight="1">
      <c r="A4" s="564" t="str">
        <f>'Internal Service Template'!A4:D4</f>
        <v>Agency Contact Phone Number:</v>
      </c>
      <c r="B4" s="1127" t="str">
        <f>IF('Internal Service Template'!E4="","",'Internal Service Template'!E4)</f>
        <v/>
      </c>
      <c r="C4" s="1127"/>
      <c r="D4" s="1295"/>
      <c r="E4" s="1295"/>
      <c r="F4" s="1295"/>
      <c r="G4" s="717"/>
      <c r="H4" s="68"/>
    </row>
    <row r="5" spans="1:13" s="657" customFormat="1" ht="12.75" customHeight="1">
      <c r="A5" s="564" t="str">
        <f>'Internal Service Template'!A5:D5</f>
        <v>Agency Contact E-mail Address:</v>
      </c>
      <c r="B5" s="1129" t="str">
        <f>IF('Internal Service Template'!E5="","",'Internal Service Template'!E5)</f>
        <v/>
      </c>
      <c r="C5" s="1129"/>
      <c r="D5" s="1292"/>
      <c r="E5" s="1292"/>
      <c r="F5" s="1292"/>
      <c r="G5" s="718"/>
      <c r="H5" s="68"/>
    </row>
    <row r="6" spans="1:13" s="657" customFormat="1">
      <c r="A6" s="564" t="str">
        <f>'Internal Service Template'!A6:D6</f>
        <v>Date Completed:</v>
      </c>
      <c r="B6" s="1131" t="str">
        <f>IF('Internal Service Template'!E6="","",'Internal Service Template'!E6)</f>
        <v/>
      </c>
      <c r="C6" s="1131"/>
      <c r="D6" s="1293"/>
      <c r="E6" s="1293"/>
      <c r="F6" s="1293"/>
      <c r="G6" s="719"/>
      <c r="H6" s="68"/>
    </row>
    <row r="7" spans="1:13" s="657" customFormat="1">
      <c r="A7" s="564" t="str">
        <f>'Internal Service Template'!A7:D7</f>
        <v>Fund Number:</v>
      </c>
      <c r="B7" s="1290" t="str">
        <f>'Internal Service Template'!E7</f>
        <v/>
      </c>
      <c r="C7" s="1290"/>
      <c r="D7" s="1291"/>
      <c r="E7" s="1291"/>
      <c r="F7" s="1291"/>
      <c r="G7" s="92"/>
      <c r="H7" s="68"/>
    </row>
    <row r="8" spans="1:13" s="657" customFormat="1">
      <c r="A8" s="659"/>
      <c r="B8" s="720"/>
      <c r="C8" s="720"/>
      <c r="D8" s="720"/>
      <c r="E8" s="720"/>
      <c r="F8" s="720"/>
      <c r="G8" s="720"/>
      <c r="H8" s="68"/>
    </row>
    <row r="9" spans="1:13" s="657" customFormat="1" ht="12.6" customHeight="1">
      <c r="A9" s="86" t="s">
        <v>85</v>
      </c>
      <c r="B9" s="17"/>
      <c r="C9" s="17"/>
      <c r="D9" s="17"/>
      <c r="H9" s="69"/>
    </row>
    <row r="10" spans="1:13" s="664" customFormat="1" ht="12.6" customHeight="1">
      <c r="A10" s="632" t="str">
        <f>'Tab 2-Receivables'!A10</f>
        <v>For the Year Ended June 30, 2024</v>
      </c>
      <c r="B10" s="17"/>
      <c r="C10" s="17"/>
      <c r="D10" s="17"/>
      <c r="F10" s="665"/>
      <c r="G10" s="665"/>
      <c r="H10" s="70"/>
    </row>
    <row r="11" spans="1:13" s="664" customFormat="1" ht="12.6" customHeight="1">
      <c r="A11" s="666"/>
      <c r="B11" s="17"/>
      <c r="C11" s="17"/>
      <c r="D11" s="17"/>
      <c r="F11" s="665"/>
      <c r="G11" s="665"/>
      <c r="H11" s="70"/>
    </row>
    <row r="12" spans="1:13">
      <c r="A12" s="13" t="s">
        <v>159</v>
      </c>
    </row>
    <row r="13" spans="1:13">
      <c r="A13" s="721"/>
      <c r="E13" s="722"/>
    </row>
    <row r="14" spans="1:13" ht="6.75" customHeight="1">
      <c r="A14" s="25"/>
      <c r="E14" s="722"/>
    </row>
    <row r="15" spans="1:13" ht="39.6" customHeight="1">
      <c r="A15" s="7"/>
      <c r="B15" s="71" t="s">
        <v>3907</v>
      </c>
      <c r="C15" s="71" t="s">
        <v>558</v>
      </c>
      <c r="D15" s="71" t="s">
        <v>232</v>
      </c>
      <c r="E15" s="71" t="s">
        <v>3908</v>
      </c>
      <c r="F15" s="71" t="s">
        <v>559</v>
      </c>
      <c r="G15" s="71" t="s">
        <v>695</v>
      </c>
      <c r="H15" s="71" t="s">
        <v>2869</v>
      </c>
      <c r="I15" s="71" t="s">
        <v>2870</v>
      </c>
      <c r="K15" s="71" t="s">
        <v>286</v>
      </c>
      <c r="L15" s="71" t="s">
        <v>3909</v>
      </c>
      <c r="M15" s="723" t="s">
        <v>148</v>
      </c>
    </row>
    <row r="16" spans="1:13" hidden="1">
      <c r="A16" s="17" t="s">
        <v>650</v>
      </c>
      <c r="B16" s="60"/>
      <c r="C16" s="60"/>
      <c r="D16" s="60"/>
      <c r="E16" s="72">
        <f>IF(SUM(B16:D16)=SUM('Internal Service Template'!G150,'Internal Service Template'!G174),SUM(B16:D16),"ERROR")</f>
        <v>0</v>
      </c>
      <c r="F16" s="72">
        <f>'Internal Service Template'!G150</f>
        <v>0</v>
      </c>
      <c r="G16" s="239"/>
    </row>
    <row r="17" spans="1:14" hidden="1">
      <c r="A17" s="17" t="s">
        <v>616</v>
      </c>
      <c r="B17" s="60"/>
      <c r="C17" s="60"/>
      <c r="D17" s="60"/>
      <c r="E17" s="72">
        <f>IF(SUM(B17:D17)=SUM('Internal Service Template'!G151,'Internal Service Template'!G175),SUM(B17:D17),"ERROR")</f>
        <v>0</v>
      </c>
      <c r="F17" s="72">
        <f>'Internal Service Template'!G151</f>
        <v>0</v>
      </c>
      <c r="G17" s="239"/>
      <c r="L17" s="724" t="s">
        <v>661</v>
      </c>
      <c r="M17" s="725"/>
      <c r="N17" s="725"/>
    </row>
    <row r="18" spans="1:14">
      <c r="A18" s="11" t="s">
        <v>647</v>
      </c>
      <c r="B18" s="144"/>
      <c r="C18" s="144"/>
      <c r="D18" s="144"/>
      <c r="E18" s="109">
        <f>IF(SUM(B18:D18)=SUM('Internal Service Template'!O152,'Internal Service Template'!O176),SUM(B18:D18),"ERROR")</f>
        <v>0</v>
      </c>
      <c r="F18" s="79">
        <f>'Internal Service Template'!O152</f>
        <v>0</v>
      </c>
      <c r="G18" s="109">
        <f t="shared" ref="G18:G26" si="0">E18-F18</f>
        <v>0</v>
      </c>
      <c r="H18" s="164"/>
      <c r="L18" s="726"/>
      <c r="M18" s="164">
        <f>(SUM(B18:D18))-(SUM('Internal Service Template'!O152,'Internal Service Template'!O176))</f>
        <v>0</v>
      </c>
      <c r="N18" s="726"/>
    </row>
    <row r="19" spans="1:14">
      <c r="A19" s="11" t="s">
        <v>3242</v>
      </c>
      <c r="B19" s="144"/>
      <c r="C19" s="144"/>
      <c r="D19" s="144"/>
      <c r="E19" s="109">
        <f>IF(SUM(B19:D19)=SUM('Internal Service Template'!O153,'Internal Service Template'!O177),SUM(B19:D19),"ERROR")</f>
        <v>0</v>
      </c>
      <c r="F19" s="79">
        <f>'Internal Service Template'!O153</f>
        <v>0</v>
      </c>
      <c r="G19" s="109">
        <f t="shared" si="0"/>
        <v>0</v>
      </c>
      <c r="H19" s="190"/>
      <c r="I19" s="190"/>
      <c r="K19" s="190"/>
      <c r="L19" s="464"/>
      <c r="M19" s="164">
        <f>(SUM(B19:D19))-(SUM('Internal Service Template'!O153,'Internal Service Template'!O177))</f>
        <v>0</v>
      </c>
      <c r="N19" s="726"/>
    </row>
    <row r="20" spans="1:14">
      <c r="A20" s="11" t="s">
        <v>277</v>
      </c>
      <c r="B20" s="144"/>
      <c r="C20" s="144"/>
      <c r="D20" s="144"/>
      <c r="E20" s="109">
        <f>IF(SUM(B20:D20)=SUM('Internal Service Template'!O154,'Internal Service Template'!O178),SUM(B20:D20),"ERROR")</f>
        <v>0</v>
      </c>
      <c r="F20" s="79">
        <f>'Internal Service Template'!O154</f>
        <v>0</v>
      </c>
      <c r="G20" s="109">
        <f t="shared" si="0"/>
        <v>0</v>
      </c>
      <c r="H20" s="190"/>
      <c r="I20" s="190"/>
      <c r="K20" s="190"/>
      <c r="L20" s="464"/>
      <c r="M20" s="164">
        <f>(SUM(B20:D20))-(SUM('Internal Service Template'!O154,'Internal Service Template'!O178))</f>
        <v>0</v>
      </c>
    </row>
    <row r="21" spans="1:14">
      <c r="A21" s="11" t="s">
        <v>3243</v>
      </c>
      <c r="B21" s="144"/>
      <c r="C21" s="144"/>
      <c r="D21" s="144"/>
      <c r="E21" s="109">
        <f>IF(SUM(B21:D21)=SUM('Internal Service Template'!O155,'Internal Service Template'!O179),SUM(B21:D21),"ERROR")</f>
        <v>0</v>
      </c>
      <c r="F21" s="79">
        <f>'Internal Service Template'!O155</f>
        <v>0</v>
      </c>
      <c r="G21" s="109">
        <f t="shared" si="0"/>
        <v>0</v>
      </c>
      <c r="H21" s="190"/>
      <c r="I21" s="190"/>
      <c r="K21" s="190"/>
      <c r="L21" s="464"/>
      <c r="M21" s="164">
        <f>(SUM(B21:D21))-(SUM('Internal Service Template'!O155,'Internal Service Template'!O179))</f>
        <v>0</v>
      </c>
    </row>
    <row r="22" spans="1:14">
      <c r="A22" s="11" t="s">
        <v>3432</v>
      </c>
      <c r="B22" s="144"/>
      <c r="C22" s="144"/>
      <c r="D22" s="144"/>
      <c r="E22" s="109">
        <f>IF(SUM(B22:D22)=SUM('Internal Service Template'!O156,'Internal Service Template'!O180),SUM(B22:D22),"ERROR")</f>
        <v>0</v>
      </c>
      <c r="F22" s="79">
        <f>'Internal Service Template'!O156</f>
        <v>0</v>
      </c>
      <c r="G22" s="109">
        <f t="shared" ref="G22" si="1">E22-F22</f>
        <v>0</v>
      </c>
      <c r="H22" s="190"/>
      <c r="I22" s="190"/>
      <c r="K22" s="190"/>
      <c r="L22" s="464"/>
      <c r="M22" s="164">
        <f>(SUM(B22:D22))-(SUM('Internal Service Template'!O156,'Internal Service Template'!O180))</f>
        <v>0</v>
      </c>
    </row>
    <row r="23" spans="1:14">
      <c r="A23" s="11" t="s">
        <v>278</v>
      </c>
      <c r="B23" s="144"/>
      <c r="C23" s="144"/>
      <c r="D23" s="144"/>
      <c r="E23" s="109">
        <f>IF(SUM(B23:D23)=SUM('Internal Service Template'!O157,'Internal Service Template'!O181),SUM(B23:D23),"ERROR")</f>
        <v>0</v>
      </c>
      <c r="F23" s="79">
        <f>'Internal Service Template'!O157</f>
        <v>0</v>
      </c>
      <c r="G23" s="109">
        <f t="shared" si="0"/>
        <v>0</v>
      </c>
      <c r="H23" s="144"/>
      <c r="I23" s="144"/>
      <c r="J23" s="560"/>
      <c r="K23" s="144"/>
      <c r="L23" s="428">
        <f>IF(E23=SUM(H23,I23,K23),E23,"Error")</f>
        <v>0</v>
      </c>
      <c r="M23" s="164">
        <f>(SUM(B23:D23))-(SUM('Internal Service Template'!O157,'Internal Service Template'!O181))</f>
        <v>0</v>
      </c>
    </row>
    <row r="24" spans="1:14">
      <c r="A24" s="11" t="s">
        <v>82</v>
      </c>
      <c r="B24" s="144"/>
      <c r="C24" s="144"/>
      <c r="D24" s="144"/>
      <c r="E24" s="109">
        <f>IF(SUM(B24:D24)=SUM('Internal Service Template'!O158,'Internal Service Template'!O182),SUM(B24:D24),"ERROR")</f>
        <v>0</v>
      </c>
      <c r="F24" s="79">
        <f>'Internal Service Template'!O158</f>
        <v>0</v>
      </c>
      <c r="G24" s="109">
        <f t="shared" si="0"/>
        <v>0</v>
      </c>
      <c r="H24" s="149"/>
      <c r="I24" s="149"/>
      <c r="J24" s="460"/>
      <c r="K24" s="149"/>
      <c r="L24" s="463">
        <f>IF(E24=SUM(H24,I24,K24),E24,"Error")</f>
        <v>0</v>
      </c>
      <c r="M24" s="164">
        <f>(SUM(B24:D24))-(SUM('Internal Service Template'!O158,'Internal Service Template'!O182))</f>
        <v>0</v>
      </c>
    </row>
    <row r="25" spans="1:14" hidden="1">
      <c r="A25" s="727" t="s">
        <v>826</v>
      </c>
      <c r="B25" s="109">
        <v>0</v>
      </c>
      <c r="C25" s="109">
        <v>0</v>
      </c>
      <c r="D25" s="109">
        <v>0</v>
      </c>
      <c r="E25" s="109">
        <v>0</v>
      </c>
      <c r="F25" s="79">
        <v>0</v>
      </c>
      <c r="G25" s="109">
        <f t="shared" si="0"/>
        <v>0</v>
      </c>
      <c r="H25" s="74"/>
      <c r="M25" s="74"/>
    </row>
    <row r="26" spans="1:14" hidden="1">
      <c r="A26" s="577" t="s">
        <v>2703</v>
      </c>
      <c r="B26" s="109">
        <v>0</v>
      </c>
      <c r="C26" s="109">
        <v>0</v>
      </c>
      <c r="D26" s="109">
        <v>0</v>
      </c>
      <c r="E26" s="109">
        <v>0</v>
      </c>
      <c r="F26" s="79">
        <v>0</v>
      </c>
      <c r="G26" s="109">
        <f t="shared" si="0"/>
        <v>0</v>
      </c>
      <c r="H26" s="74"/>
      <c r="M26" s="74"/>
    </row>
    <row r="27" spans="1:14" ht="13.8" thickBot="1">
      <c r="A27" s="11" t="s">
        <v>233</v>
      </c>
      <c r="B27" s="128">
        <f>SUM(B18:B26)</f>
        <v>0</v>
      </c>
      <c r="C27" s="128">
        <f>SUM(C18:C26)</f>
        <v>0</v>
      </c>
      <c r="D27" s="128">
        <f>SUM(D18:D26)</f>
        <v>0</v>
      </c>
      <c r="E27" s="138">
        <f>IF(SUM(B27:D27)=SUM('Internal Service Template'!O159,'Internal Service Template'!O185),SUM(B27:D27),"ERROR")</f>
        <v>0</v>
      </c>
      <c r="F27" s="80">
        <f>SUM(F18:F26)</f>
        <v>0</v>
      </c>
      <c r="G27" s="80">
        <f>SUM(G18:G26)</f>
        <v>0</v>
      </c>
      <c r="H27" s="164"/>
      <c r="M27" s="164">
        <f>(SUM(B27:D27))-(SUM('Internal Service Template'!O159,'Internal Service Template'!O185))</f>
        <v>0</v>
      </c>
    </row>
    <row r="28" spans="1:14" ht="13.8" thickTop="1">
      <c r="A28" s="7"/>
    </row>
    <row r="29" spans="1:14">
      <c r="A29" s="7"/>
    </row>
    <row r="30" spans="1:14">
      <c r="A30" s="728" t="s">
        <v>150</v>
      </c>
    </row>
    <row r="31" spans="1:14">
      <c r="A31" s="729"/>
    </row>
    <row r="32" spans="1:14" ht="39.6">
      <c r="A32" s="729"/>
      <c r="B32" s="730" t="s">
        <v>3910</v>
      </c>
      <c r="C32" s="730" t="s">
        <v>151</v>
      </c>
      <c r="D32" s="730" t="s">
        <v>152</v>
      </c>
    </row>
    <row r="33" spans="1:8" hidden="1">
      <c r="A33" s="17" t="s">
        <v>650</v>
      </c>
      <c r="B33" s="109"/>
      <c r="C33" s="109"/>
      <c r="D33" s="109"/>
    </row>
    <row r="34" spans="1:8" hidden="1">
      <c r="A34" s="17" t="s">
        <v>616</v>
      </c>
      <c r="B34" s="109"/>
      <c r="C34" s="109"/>
      <c r="D34" s="109"/>
    </row>
    <row r="35" spans="1:8">
      <c r="A35" s="11" t="s">
        <v>647</v>
      </c>
      <c r="B35" s="109">
        <f t="shared" ref="B35:B41" si="2">B18</f>
        <v>0</v>
      </c>
      <c r="C35" s="109" t="str">
        <f>IF(ISNA(HLOOKUP($B$2,'Prior Year FS Balances'!$G$512:$AF$519,2,FALSE)),"",(HLOOKUP($B$2,'Prior Year FS Balances'!$G$512:$AF$519,2,FALSE)))</f>
        <v/>
      </c>
      <c r="D35" s="109" t="str">
        <f t="shared" ref="D35:D41" si="3">IF(ISERR(B35-C35),"",(B35-C35))</f>
        <v/>
      </c>
    </row>
    <row r="36" spans="1:8">
      <c r="A36" s="11" t="s">
        <v>3806</v>
      </c>
      <c r="B36" s="109">
        <f t="shared" si="2"/>
        <v>0</v>
      </c>
      <c r="C36" s="109" t="str">
        <f>IF(ISNA(HLOOKUP($B$2,'Prior Year FS Balances'!$G$512:$AF$519,3,FALSE)),"",(HLOOKUP($B$2,'Prior Year FS Balances'!$G$512:$AF$519,3,FALSE)))</f>
        <v/>
      </c>
      <c r="D36" s="109" t="str">
        <f t="shared" si="3"/>
        <v/>
      </c>
    </row>
    <row r="37" spans="1:8">
      <c r="A37" s="11" t="s">
        <v>277</v>
      </c>
      <c r="B37" s="109">
        <f t="shared" si="2"/>
        <v>0</v>
      </c>
      <c r="C37" s="109" t="str">
        <f>IF(ISNA(HLOOKUP($B$2,'Prior Year FS Balances'!$G$512:$AF$519,4,FALSE)),"",(HLOOKUP($B$2,'Prior Year FS Balances'!$G$512:$AF$519,4,FALSE)))</f>
        <v/>
      </c>
      <c r="D37" s="109" t="str">
        <f t="shared" si="3"/>
        <v/>
      </c>
    </row>
    <row r="38" spans="1:8">
      <c r="A38" s="11" t="s">
        <v>3805</v>
      </c>
      <c r="B38" s="109">
        <f t="shared" si="2"/>
        <v>0</v>
      </c>
      <c r="C38" s="109" t="str">
        <f>IF(ISNA(HLOOKUP($B$2,'Prior Year FS Balances'!$G$512:$AF$519,5,FALSE)),"",(HLOOKUP($B$2,'Prior Year FS Balances'!$G$512:$AF$519,5,FALSE)))</f>
        <v/>
      </c>
      <c r="D38" s="109" t="str">
        <f t="shared" si="3"/>
        <v/>
      </c>
    </row>
    <row r="39" spans="1:8">
      <c r="A39" s="11" t="s">
        <v>3807</v>
      </c>
      <c r="B39" s="109">
        <f t="shared" si="2"/>
        <v>0</v>
      </c>
      <c r="C39" s="109" t="str">
        <f>IF(ISNA(HLOOKUP($B$2,'Prior Year FS Balances'!$G$512:$AF$519,6,FALSE)),"",(HLOOKUP($B$2,'Prior Year FS Balances'!$G$512:$AF$519,6,FALSE)))</f>
        <v/>
      </c>
      <c r="D39" s="109" t="str">
        <f t="shared" si="3"/>
        <v/>
      </c>
    </row>
    <row r="40" spans="1:8">
      <c r="A40" s="11" t="s">
        <v>278</v>
      </c>
      <c r="B40" s="109">
        <f t="shared" si="2"/>
        <v>0</v>
      </c>
      <c r="C40" s="109" t="str">
        <f>IF(ISNA(HLOOKUP($B$2,'Prior Year FS Balances'!$G$512:$AF$519,7,FALSE)),"",(HLOOKUP($B$2,'Prior Year FS Balances'!$G$512:$AF$519,7,FALSE)))</f>
        <v/>
      </c>
      <c r="D40" s="109" t="str">
        <f t="shared" si="3"/>
        <v/>
      </c>
    </row>
    <row r="41" spans="1:8">
      <c r="A41" s="11" t="s">
        <v>82</v>
      </c>
      <c r="B41" s="109">
        <f t="shared" si="2"/>
        <v>0</v>
      </c>
      <c r="C41" s="109" t="str">
        <f>IF(ISNA(HLOOKUP($B$2,'Prior Year FS Balances'!$G$512:$AF$519,8,FALSE)),"",(HLOOKUP($B$2,'Prior Year FS Balances'!$G$512:$AF$519,8,FALSE)))</f>
        <v/>
      </c>
      <c r="D41" s="109" t="str">
        <f t="shared" si="3"/>
        <v/>
      </c>
    </row>
    <row r="42" spans="1:8" ht="13.8" thickBot="1">
      <c r="A42" s="11" t="s">
        <v>233</v>
      </c>
      <c r="B42" s="128">
        <f>SUM(B34:B41)</f>
        <v>0</v>
      </c>
      <c r="C42" s="128">
        <f>SUM(C34:C41)</f>
        <v>0</v>
      </c>
      <c r="D42" s="128">
        <f>SUM(D34:D41)</f>
        <v>0</v>
      </c>
    </row>
    <row r="43" spans="1:8" ht="13.8" thickTop="1">
      <c r="A43" s="729"/>
      <c r="H43" s="731"/>
    </row>
    <row r="44" spans="1:8">
      <c r="A44" s="732" t="s">
        <v>158</v>
      </c>
    </row>
    <row r="45" spans="1:8" ht="101.25" customHeight="1">
      <c r="A45" s="1259" t="str">
        <f>IF(AND(D35="",D36="",D37="",D38="",D39="",D40="", D41=""),"N/A",IF(AND(D35=0,D36=0,D37=0,D38=0,D69=0,D40=0,D41=0),"N/A","Answer Required"))</f>
        <v>N/A</v>
      </c>
      <c r="B45" s="1260"/>
      <c r="C45" s="1260"/>
      <c r="D45" s="1260"/>
      <c r="E45" s="1260"/>
      <c r="F45" s="1261"/>
      <c r="G45" s="733"/>
    </row>
    <row r="46" spans="1:8">
      <c r="A46" s="7"/>
    </row>
    <row r="47" spans="1:8">
      <c r="A47" s="7"/>
    </row>
    <row r="48" spans="1:8">
      <c r="A48" s="734"/>
      <c r="B48" s="35"/>
      <c r="C48" s="35"/>
      <c r="D48" s="35"/>
      <c r="E48" s="35"/>
      <c r="F48" s="35"/>
      <c r="G48" s="35"/>
      <c r="H48" s="35"/>
    </row>
    <row r="49" spans="1:6">
      <c r="A49" s="7"/>
    </row>
    <row r="50" spans="1:6">
      <c r="A50" s="13" t="s">
        <v>236</v>
      </c>
    </row>
    <row r="51" spans="1:6">
      <c r="A51" s="94" t="s">
        <v>175</v>
      </c>
      <c r="B51" s="207" t="s">
        <v>174</v>
      </c>
      <c r="C51" s="207" t="s">
        <v>176</v>
      </c>
      <c r="D51" s="207" t="s">
        <v>652</v>
      </c>
      <c r="F51" s="735" t="s">
        <v>2909</v>
      </c>
    </row>
    <row r="52" spans="1:6">
      <c r="A52" s="736">
        <v>2025</v>
      </c>
      <c r="B52" s="144"/>
      <c r="C52" s="144"/>
      <c r="D52" s="81">
        <f t="shared" ref="D52:D65" si="4">SUM(B52:C52)</f>
        <v>0</v>
      </c>
      <c r="F52" s="165">
        <f>(B52)-(F20)</f>
        <v>0</v>
      </c>
    </row>
    <row r="53" spans="1:6">
      <c r="A53" s="736">
        <v>2026</v>
      </c>
      <c r="B53" s="144"/>
      <c r="C53" s="144"/>
      <c r="D53" s="81">
        <f t="shared" si="4"/>
        <v>0</v>
      </c>
    </row>
    <row r="54" spans="1:6">
      <c r="A54" s="736">
        <v>2027</v>
      </c>
      <c r="B54" s="144"/>
      <c r="C54" s="144"/>
      <c r="D54" s="81">
        <f t="shared" si="4"/>
        <v>0</v>
      </c>
    </row>
    <row r="55" spans="1:6">
      <c r="A55" s="736">
        <v>2028</v>
      </c>
      <c r="B55" s="144"/>
      <c r="C55" s="144"/>
      <c r="D55" s="81">
        <f t="shared" si="4"/>
        <v>0</v>
      </c>
    </row>
    <row r="56" spans="1:6">
      <c r="A56" s="736">
        <v>2029</v>
      </c>
      <c r="B56" s="144"/>
      <c r="C56" s="144"/>
      <c r="D56" s="81">
        <f t="shared" si="4"/>
        <v>0</v>
      </c>
    </row>
    <row r="57" spans="1:6">
      <c r="A57" s="94" t="s">
        <v>3933</v>
      </c>
      <c r="B57" s="144"/>
      <c r="C57" s="144"/>
      <c r="D57" s="81">
        <f t="shared" si="4"/>
        <v>0</v>
      </c>
    </row>
    <row r="58" spans="1:6">
      <c r="A58" s="94" t="s">
        <v>3934</v>
      </c>
      <c r="B58" s="144"/>
      <c r="C58" s="144"/>
      <c r="D58" s="81">
        <f t="shared" si="4"/>
        <v>0</v>
      </c>
    </row>
    <row r="59" spans="1:6">
      <c r="A59" s="94" t="s">
        <v>3935</v>
      </c>
      <c r="B59" s="144"/>
      <c r="C59" s="144"/>
      <c r="D59" s="81">
        <f t="shared" si="4"/>
        <v>0</v>
      </c>
    </row>
    <row r="60" spans="1:6">
      <c r="A60" s="94" t="s">
        <v>3936</v>
      </c>
      <c r="B60" s="144"/>
      <c r="C60" s="144"/>
      <c r="D60" s="81">
        <f t="shared" si="4"/>
        <v>0</v>
      </c>
    </row>
    <row r="61" spans="1:6">
      <c r="A61" s="94" t="s">
        <v>3937</v>
      </c>
      <c r="B61" s="144"/>
      <c r="C61" s="144"/>
      <c r="D61" s="81">
        <f t="shared" si="4"/>
        <v>0</v>
      </c>
    </row>
    <row r="62" spans="1:6">
      <c r="A62" s="94" t="s">
        <v>3938</v>
      </c>
      <c r="B62" s="144"/>
      <c r="C62" s="144"/>
      <c r="D62" s="81">
        <f t="shared" si="4"/>
        <v>0</v>
      </c>
    </row>
    <row r="63" spans="1:6">
      <c r="A63" s="94" t="s">
        <v>3939</v>
      </c>
      <c r="B63" s="144"/>
      <c r="C63" s="144"/>
      <c r="D63" s="81">
        <f t="shared" si="4"/>
        <v>0</v>
      </c>
    </row>
    <row r="64" spans="1:6">
      <c r="A64" s="94" t="s">
        <v>3940</v>
      </c>
      <c r="B64" s="144"/>
      <c r="C64" s="144"/>
      <c r="D64" s="81">
        <f t="shared" si="4"/>
        <v>0</v>
      </c>
    </row>
    <row r="65" spans="1:10">
      <c r="A65" s="94" t="s">
        <v>3941</v>
      </c>
      <c r="B65" s="144"/>
      <c r="C65" s="144"/>
      <c r="D65" s="81">
        <f t="shared" si="4"/>
        <v>0</v>
      </c>
    </row>
    <row r="66" spans="1:10" ht="13.8" thickBot="1">
      <c r="A66" s="94" t="s">
        <v>652</v>
      </c>
      <c r="B66" s="128">
        <f>IF(SUM(B52:B65)=SUM('Internal Service Template'!O154,'Internal Service Template'!O178),SUM(B52:B65),"ERROR")</f>
        <v>0</v>
      </c>
      <c r="C66" s="128">
        <f>SUM(C52:C65)</f>
        <v>0</v>
      </c>
      <c r="D66" s="128">
        <f>SUM(D52:D65)</f>
        <v>0</v>
      </c>
    </row>
    <row r="67" spans="1:10" ht="13.8" thickTop="1">
      <c r="A67" s="737" t="s">
        <v>146</v>
      </c>
      <c r="B67" s="165">
        <f>(SUM(B52:B65))-(SUM('Internal Service Template'!O154,'Internal Service Template'!O178))</f>
        <v>0</v>
      </c>
      <c r="C67" s="111"/>
      <c r="D67" s="111"/>
    </row>
    <row r="68" spans="1:10">
      <c r="A68" s="738"/>
      <c r="B68" s="111"/>
      <c r="C68" s="111"/>
      <c r="D68" s="111"/>
    </row>
    <row r="69" spans="1:10">
      <c r="A69" s="86" t="s">
        <v>42</v>
      </c>
      <c r="B69" s="111"/>
      <c r="C69" s="111"/>
      <c r="D69" s="111"/>
      <c r="F69" s="738"/>
      <c r="G69" s="738"/>
      <c r="H69" s="259" t="str">
        <f>IF($B$27&gt;0,"Answer Required",IF($E$27&gt;0,"Answer Required","N/A"))</f>
        <v>N/A</v>
      </c>
      <c r="I69" s="254"/>
      <c r="J69" s="254"/>
    </row>
    <row r="70" spans="1:10">
      <c r="A70" s="92" t="s">
        <v>812</v>
      </c>
      <c r="B70" s="111"/>
      <c r="C70" s="111"/>
      <c r="D70" s="111"/>
      <c r="F70" s="738"/>
      <c r="G70" s="738"/>
      <c r="H70" s="739"/>
    </row>
    <row r="71" spans="1:10" ht="5.25" customHeight="1">
      <c r="A71" s="94"/>
      <c r="B71" s="111"/>
      <c r="C71" s="111"/>
      <c r="D71" s="111"/>
    </row>
    <row r="72" spans="1:10">
      <c r="A72" s="13" t="s">
        <v>43</v>
      </c>
      <c r="B72" s="722"/>
      <c r="H72" s="4" t="str">
        <f>IF(H69="yes","Answer Required", "N/A")</f>
        <v>N/A</v>
      </c>
    </row>
    <row r="73" spans="1:10">
      <c r="A73" s="11" t="s">
        <v>56</v>
      </c>
      <c r="B73" s="722"/>
    </row>
    <row r="74" spans="1:10" ht="85.5" customHeight="1">
      <c r="A74" s="1256" t="str">
        <f>IF(H72="No", "Answer Required","N/A")</f>
        <v>N/A</v>
      </c>
      <c r="B74" s="1268"/>
      <c r="C74" s="1268"/>
      <c r="D74" s="1268"/>
      <c r="E74" s="1268"/>
      <c r="F74" s="1268"/>
      <c r="G74" s="1268"/>
      <c r="H74" s="1269"/>
    </row>
    <row r="75" spans="1:10">
      <c r="A75" s="7"/>
    </row>
    <row r="76" spans="1:10" s="741" customFormat="1">
      <c r="A76" s="740" t="s">
        <v>41</v>
      </c>
    </row>
    <row r="77" spans="1:10" s="741" customFormat="1" ht="10.199999999999999"/>
    <row r="78" spans="1:10" s="741" customFormat="1">
      <c r="A78" s="742" t="s">
        <v>134</v>
      </c>
      <c r="B78" s="161">
        <f>B66</f>
        <v>0</v>
      </c>
    </row>
    <row r="79" spans="1:10" s="741" customFormat="1" ht="22.5" customHeight="1">
      <c r="A79" s="743" t="s">
        <v>135</v>
      </c>
      <c r="B79" s="175"/>
    </row>
    <row r="80" spans="1:10" s="741" customFormat="1">
      <c r="A80" s="742" t="s">
        <v>136</v>
      </c>
      <c r="B80" s="744">
        <f>B78-B79</f>
        <v>0</v>
      </c>
    </row>
    <row r="81" spans="1:8" s="741" customFormat="1" ht="37.5" customHeight="1">
      <c r="A81" s="743" t="s">
        <v>814</v>
      </c>
      <c r="B81" s="745" t="str">
        <f>IF(B80&lt;0,"YES","NO")</f>
        <v>NO</v>
      </c>
    </row>
    <row r="82" spans="1:8" s="741" customFormat="1" ht="10.199999999999999">
      <c r="A82" s="741" t="s">
        <v>19</v>
      </c>
    </row>
    <row r="83" spans="1:8" s="741" customFormat="1">
      <c r="A83" s="746" t="s">
        <v>40</v>
      </c>
    </row>
    <row r="84" spans="1:8" s="741" customFormat="1">
      <c r="A84" s="1270" t="str">
        <f>IF(B81="Yes", "Answer Required","N/A")</f>
        <v>N/A</v>
      </c>
      <c r="B84" s="1271"/>
      <c r="C84" s="1271"/>
      <c r="D84" s="1271"/>
      <c r="E84" s="1271"/>
      <c r="F84" s="1272"/>
      <c r="G84" s="747"/>
    </row>
    <row r="85" spans="1:8" s="741" customFormat="1">
      <c r="A85" s="1273"/>
      <c r="B85" s="1274"/>
      <c r="C85" s="1274"/>
      <c r="D85" s="1274"/>
      <c r="E85" s="1274"/>
      <c r="F85" s="1275"/>
      <c r="G85" s="747"/>
    </row>
    <row r="86" spans="1:8" s="741" customFormat="1">
      <c r="A86" s="1273"/>
      <c r="B86" s="1274"/>
      <c r="C86" s="1274"/>
      <c r="D86" s="1274"/>
      <c r="E86" s="1274"/>
      <c r="F86" s="1275"/>
      <c r="G86" s="747"/>
    </row>
    <row r="87" spans="1:8" s="741" customFormat="1">
      <c r="A87" s="1273"/>
      <c r="B87" s="1274"/>
      <c r="C87" s="1274"/>
      <c r="D87" s="1274"/>
      <c r="E87" s="1274"/>
      <c r="F87" s="1275"/>
      <c r="G87" s="747"/>
    </row>
    <row r="88" spans="1:8" s="741" customFormat="1">
      <c r="A88" s="1273"/>
      <c r="B88" s="1274"/>
      <c r="C88" s="1274"/>
      <c r="D88" s="1274"/>
      <c r="E88" s="1274"/>
      <c r="F88" s="1275"/>
      <c r="G88" s="747"/>
    </row>
    <row r="89" spans="1:8" s="741" customFormat="1">
      <c r="A89" s="1273"/>
      <c r="B89" s="1274"/>
      <c r="C89" s="1274"/>
      <c r="D89" s="1274"/>
      <c r="E89" s="1274"/>
      <c r="F89" s="1275"/>
      <c r="G89" s="747"/>
    </row>
    <row r="90" spans="1:8" s="741" customFormat="1">
      <c r="A90" s="1276"/>
      <c r="B90" s="1277"/>
      <c r="C90" s="1277"/>
      <c r="D90" s="1277"/>
      <c r="E90" s="1277"/>
      <c r="F90" s="1278"/>
      <c r="G90" s="747"/>
    </row>
    <row r="91" spans="1:8">
      <c r="A91" s="7"/>
    </row>
    <row r="92" spans="1:8">
      <c r="A92" s="734"/>
      <c r="B92" s="35"/>
      <c r="C92" s="35"/>
      <c r="D92" s="35"/>
      <c r="E92" s="35"/>
      <c r="F92" s="35"/>
      <c r="G92" s="35"/>
      <c r="H92" s="35"/>
    </row>
    <row r="93" spans="1:8">
      <c r="A93" s="7"/>
    </row>
    <row r="94" spans="1:8">
      <c r="A94" s="13" t="s">
        <v>3226</v>
      </c>
    </row>
    <row r="95" spans="1:8">
      <c r="A95" s="94" t="s">
        <v>175</v>
      </c>
      <c r="B95" s="207" t="s">
        <v>174</v>
      </c>
      <c r="C95" s="207" t="s">
        <v>176</v>
      </c>
      <c r="D95" s="207" t="s">
        <v>652</v>
      </c>
      <c r="E95" s="75"/>
      <c r="F95" s="75"/>
      <c r="G95" s="75"/>
      <c r="H95" s="75"/>
    </row>
    <row r="96" spans="1:8">
      <c r="A96" s="748">
        <f>A52</f>
        <v>2025</v>
      </c>
      <c r="B96" s="144"/>
      <c r="C96" s="144"/>
      <c r="D96" s="81">
        <f t="shared" ref="D96:D109" si="5">SUM(B96:C96)</f>
        <v>0</v>
      </c>
      <c r="F96" s="735" t="s">
        <v>2909</v>
      </c>
    </row>
    <row r="97" spans="1:9">
      <c r="A97" s="748">
        <f t="shared" ref="A97:A109" si="6">A53</f>
        <v>2026</v>
      </c>
      <c r="B97" s="144"/>
      <c r="C97" s="144"/>
      <c r="D97" s="81">
        <f t="shared" si="5"/>
        <v>0</v>
      </c>
      <c r="F97" s="749">
        <f>(B96)-(F19)</f>
        <v>0</v>
      </c>
    </row>
    <row r="98" spans="1:9">
      <c r="A98" s="748">
        <f t="shared" si="6"/>
        <v>2027</v>
      </c>
      <c r="B98" s="144"/>
      <c r="C98" s="144"/>
      <c r="D98" s="81">
        <f t="shared" si="5"/>
        <v>0</v>
      </c>
    </row>
    <row r="99" spans="1:9">
      <c r="A99" s="748">
        <f t="shared" si="6"/>
        <v>2028</v>
      </c>
      <c r="B99" s="144"/>
      <c r="C99" s="144"/>
      <c r="D99" s="81">
        <f t="shared" si="5"/>
        <v>0</v>
      </c>
    </row>
    <row r="100" spans="1:9">
      <c r="A100" s="748">
        <f t="shared" si="6"/>
        <v>2029</v>
      </c>
      <c r="B100" s="144"/>
      <c r="C100" s="144"/>
      <c r="D100" s="81">
        <f t="shared" si="5"/>
        <v>0</v>
      </c>
    </row>
    <row r="101" spans="1:9">
      <c r="A101" s="748" t="str">
        <f t="shared" si="6"/>
        <v>2030-2034</v>
      </c>
      <c r="B101" s="144"/>
      <c r="C101" s="144"/>
      <c r="D101" s="81">
        <f t="shared" si="5"/>
        <v>0</v>
      </c>
    </row>
    <row r="102" spans="1:9">
      <c r="A102" s="748" t="str">
        <f t="shared" si="6"/>
        <v>2035-2039</v>
      </c>
      <c r="B102" s="144"/>
      <c r="C102" s="144"/>
      <c r="D102" s="81">
        <f t="shared" si="5"/>
        <v>0</v>
      </c>
    </row>
    <row r="103" spans="1:9">
      <c r="A103" s="748" t="str">
        <f t="shared" si="6"/>
        <v>2040-2044</v>
      </c>
      <c r="B103" s="144"/>
      <c r="C103" s="144"/>
      <c r="D103" s="81">
        <f t="shared" si="5"/>
        <v>0</v>
      </c>
      <c r="E103" s="1296" t="s">
        <v>2871</v>
      </c>
      <c r="F103" s="1100"/>
      <c r="G103" s="1100"/>
      <c r="H103" s="1100"/>
      <c r="I103" s="1100"/>
    </row>
    <row r="104" spans="1:9">
      <c r="A104" s="748" t="str">
        <f t="shared" si="6"/>
        <v>2045-2049</v>
      </c>
      <c r="B104" s="144"/>
      <c r="C104" s="144"/>
      <c r="D104" s="81">
        <f t="shared" si="5"/>
        <v>0</v>
      </c>
      <c r="E104" s="1100"/>
      <c r="F104" s="1100"/>
      <c r="G104" s="1100"/>
      <c r="H104" s="1100"/>
      <c r="I104" s="1100"/>
    </row>
    <row r="105" spans="1:9">
      <c r="A105" s="748" t="str">
        <f t="shared" si="6"/>
        <v>2050-2054</v>
      </c>
      <c r="B105" s="144"/>
      <c r="C105" s="144"/>
      <c r="D105" s="81">
        <f t="shared" si="5"/>
        <v>0</v>
      </c>
    </row>
    <row r="106" spans="1:9">
      <c r="A106" s="748" t="str">
        <f t="shared" si="6"/>
        <v>2055-2059</v>
      </c>
      <c r="B106" s="144"/>
      <c r="C106" s="144"/>
      <c r="D106" s="81">
        <f t="shared" si="5"/>
        <v>0</v>
      </c>
    </row>
    <row r="107" spans="1:9">
      <c r="A107" s="748" t="str">
        <f t="shared" si="6"/>
        <v>2060-2064</v>
      </c>
      <c r="B107" s="144"/>
      <c r="C107" s="144"/>
      <c r="D107" s="81">
        <f t="shared" si="5"/>
        <v>0</v>
      </c>
    </row>
    <row r="108" spans="1:9">
      <c r="A108" s="748" t="str">
        <f t="shared" si="6"/>
        <v>2065-2069</v>
      </c>
      <c r="B108" s="144"/>
      <c r="C108" s="144"/>
      <c r="D108" s="81">
        <f t="shared" si="5"/>
        <v>0</v>
      </c>
    </row>
    <row r="109" spans="1:9">
      <c r="A109" s="748" t="str">
        <f t="shared" si="6"/>
        <v>2070-2074</v>
      </c>
      <c r="B109" s="144"/>
      <c r="C109" s="144"/>
      <c r="D109" s="81">
        <f t="shared" si="5"/>
        <v>0</v>
      </c>
    </row>
    <row r="110" spans="1:9" ht="13.8" thickBot="1">
      <c r="A110" s="94" t="s">
        <v>652</v>
      </c>
      <c r="B110" s="128">
        <f>IF(SUM(B96:B109)=SUM('Internal Service Template'!O153,'Internal Service Template'!O177),SUM(B96:B109),"ERROR")</f>
        <v>0</v>
      </c>
      <c r="C110" s="128">
        <f>SUM(C96:C109)</f>
        <v>0</v>
      </c>
      <c r="D110" s="128">
        <f>SUM(D96:D109)</f>
        <v>0</v>
      </c>
    </row>
    <row r="111" spans="1:9" ht="13.8" thickTop="1">
      <c r="A111" s="737" t="s">
        <v>146</v>
      </c>
      <c r="B111" s="165">
        <f>(SUM(B96:B109))-(SUM('Internal Service Template'!O153,'Internal Service Template'!O177))</f>
        <v>0</v>
      </c>
      <c r="C111" s="448"/>
      <c r="D111" s="448"/>
    </row>
    <row r="112" spans="1:9">
      <c r="A112" s="94"/>
      <c r="B112" s="107"/>
    </row>
    <row r="113" spans="1:8">
      <c r="A113" s="94"/>
      <c r="B113" s="190"/>
    </row>
    <row r="114" spans="1:8" ht="13.8">
      <c r="A114" s="1279" t="s">
        <v>3227</v>
      </c>
      <c r="B114" s="1279"/>
      <c r="C114" s="1279"/>
      <c r="D114" s="1279"/>
      <c r="E114" s="1279"/>
      <c r="F114" s="1279"/>
      <c r="G114" s="690"/>
      <c r="H114" s="447" t="s">
        <v>751</v>
      </c>
    </row>
    <row r="115" spans="1:8">
      <c r="A115" s="92" t="s">
        <v>3228</v>
      </c>
      <c r="B115" s="722"/>
    </row>
    <row r="116" spans="1:8" ht="30" customHeight="1">
      <c r="A116" s="1280" t="str">
        <f>IF(H114= "yes","Answer Required","N/A")</f>
        <v>N/A</v>
      </c>
      <c r="B116" s="1281"/>
      <c r="C116" s="1281"/>
      <c r="D116" s="1281"/>
      <c r="E116" s="1281"/>
      <c r="F116" s="1281"/>
      <c r="G116" s="1281"/>
      <c r="H116" s="1282"/>
    </row>
    <row r="117" spans="1:8">
      <c r="A117" s="737"/>
      <c r="B117" s="165"/>
      <c r="C117" s="448"/>
      <c r="D117" s="448"/>
    </row>
    <row r="118" spans="1:8" ht="33.75" customHeight="1">
      <c r="A118" s="1279" t="s">
        <v>3229</v>
      </c>
      <c r="B118" s="1279"/>
      <c r="C118" s="1279"/>
      <c r="D118" s="1279"/>
      <c r="E118" s="1279"/>
      <c r="F118" s="1279"/>
      <c r="G118" s="690"/>
      <c r="H118" s="447" t="s">
        <v>751</v>
      </c>
    </row>
    <row r="119" spans="1:8">
      <c r="A119" s="92" t="s">
        <v>3228</v>
      </c>
      <c r="B119" s="722"/>
    </row>
    <row r="120" spans="1:8" ht="31.5" customHeight="1">
      <c r="A120" s="1280" t="str">
        <f>IF(H118= "yes","Answer Required","N/A")</f>
        <v>N/A</v>
      </c>
      <c r="B120" s="1281"/>
      <c r="C120" s="1281"/>
      <c r="D120" s="1281"/>
      <c r="E120" s="1281"/>
      <c r="F120" s="1281"/>
      <c r="G120" s="1281"/>
      <c r="H120" s="1282"/>
    </row>
    <row r="121" spans="1:8">
      <c r="A121" s="608"/>
      <c r="B121" s="190"/>
      <c r="C121" s="190"/>
      <c r="D121" s="103"/>
    </row>
    <row r="122" spans="1:8" hidden="1">
      <c r="A122" s="8"/>
      <c r="B122" s="103"/>
      <c r="C122" s="103"/>
      <c r="D122" s="103"/>
    </row>
    <row r="123" spans="1:8" hidden="1">
      <c r="A123" s="8"/>
      <c r="B123" s="103"/>
      <c r="C123" s="103"/>
      <c r="D123" s="103"/>
    </row>
    <row r="124" spans="1:8" hidden="1">
      <c r="A124" s="8"/>
      <c r="B124" s="140"/>
      <c r="C124" s="140"/>
      <c r="D124" s="140"/>
    </row>
    <row r="125" spans="1:8">
      <c r="A125" s="750"/>
      <c r="B125" s="35"/>
      <c r="C125" s="35"/>
      <c r="D125" s="35"/>
      <c r="E125" s="35"/>
      <c r="F125" s="35"/>
      <c r="G125" s="35"/>
      <c r="H125" s="35"/>
    </row>
    <row r="126" spans="1:8">
      <c r="A126" s="8"/>
    </row>
    <row r="127" spans="1:8">
      <c r="A127" s="13" t="s">
        <v>3230</v>
      </c>
    </row>
    <row r="128" spans="1:8">
      <c r="A128" s="13"/>
    </row>
    <row r="129" spans="1:6">
      <c r="A129" s="94" t="s">
        <v>175</v>
      </c>
      <c r="B129" s="207" t="s">
        <v>174</v>
      </c>
      <c r="C129" s="207" t="s">
        <v>176</v>
      </c>
      <c r="D129" s="207" t="s">
        <v>652</v>
      </c>
      <c r="F129" s="735" t="s">
        <v>2909</v>
      </c>
    </row>
    <row r="130" spans="1:6">
      <c r="A130" s="748">
        <f>A52</f>
        <v>2025</v>
      </c>
      <c r="B130" s="144"/>
      <c r="C130" s="144"/>
      <c r="D130" s="81">
        <f t="shared" ref="D130:D143" si="7">SUM(B130:C130)</f>
        <v>0</v>
      </c>
      <c r="F130" s="749">
        <f>(B130)-(F21)</f>
        <v>0</v>
      </c>
    </row>
    <row r="131" spans="1:6">
      <c r="A131" s="748">
        <f t="shared" ref="A131:A143" si="8">A53</f>
        <v>2026</v>
      </c>
      <c r="B131" s="144"/>
      <c r="C131" s="144"/>
      <c r="D131" s="81">
        <f t="shared" si="7"/>
        <v>0</v>
      </c>
    </row>
    <row r="132" spans="1:6">
      <c r="A132" s="748">
        <f t="shared" si="8"/>
        <v>2027</v>
      </c>
      <c r="B132" s="144"/>
      <c r="C132" s="144"/>
      <c r="D132" s="81">
        <f t="shared" si="7"/>
        <v>0</v>
      </c>
    </row>
    <row r="133" spans="1:6">
      <c r="A133" s="748">
        <f t="shared" si="8"/>
        <v>2028</v>
      </c>
      <c r="B133" s="144"/>
      <c r="C133" s="144"/>
      <c r="D133" s="81">
        <f t="shared" si="7"/>
        <v>0</v>
      </c>
    </row>
    <row r="134" spans="1:6">
      <c r="A134" s="748">
        <f t="shared" si="8"/>
        <v>2029</v>
      </c>
      <c r="B134" s="144"/>
      <c r="C134" s="144"/>
      <c r="D134" s="81">
        <f t="shared" si="7"/>
        <v>0</v>
      </c>
    </row>
    <row r="135" spans="1:6">
      <c r="A135" s="748" t="str">
        <f t="shared" si="8"/>
        <v>2030-2034</v>
      </c>
      <c r="B135" s="144"/>
      <c r="C135" s="144"/>
      <c r="D135" s="81">
        <f t="shared" si="7"/>
        <v>0</v>
      </c>
    </row>
    <row r="136" spans="1:6">
      <c r="A136" s="748" t="str">
        <f t="shared" si="8"/>
        <v>2035-2039</v>
      </c>
      <c r="B136" s="144"/>
      <c r="C136" s="144"/>
      <c r="D136" s="81">
        <f t="shared" si="7"/>
        <v>0</v>
      </c>
    </row>
    <row r="137" spans="1:6">
      <c r="A137" s="748" t="str">
        <f t="shared" si="8"/>
        <v>2040-2044</v>
      </c>
      <c r="B137" s="144"/>
      <c r="C137" s="144"/>
      <c r="D137" s="81">
        <f t="shared" si="7"/>
        <v>0</v>
      </c>
    </row>
    <row r="138" spans="1:6">
      <c r="A138" s="748" t="str">
        <f t="shared" si="8"/>
        <v>2045-2049</v>
      </c>
      <c r="B138" s="144"/>
      <c r="C138" s="144"/>
      <c r="D138" s="81">
        <f t="shared" si="7"/>
        <v>0</v>
      </c>
    </row>
    <row r="139" spans="1:6">
      <c r="A139" s="748" t="str">
        <f t="shared" si="8"/>
        <v>2050-2054</v>
      </c>
      <c r="B139" s="144"/>
      <c r="C139" s="144"/>
      <c r="D139" s="81">
        <f t="shared" si="7"/>
        <v>0</v>
      </c>
    </row>
    <row r="140" spans="1:6">
      <c r="A140" s="748" t="str">
        <f t="shared" si="8"/>
        <v>2055-2059</v>
      </c>
      <c r="B140" s="144"/>
      <c r="C140" s="144"/>
      <c r="D140" s="81">
        <f t="shared" si="7"/>
        <v>0</v>
      </c>
    </row>
    <row r="141" spans="1:6">
      <c r="A141" s="748" t="str">
        <f t="shared" si="8"/>
        <v>2060-2064</v>
      </c>
      <c r="B141" s="144"/>
      <c r="C141" s="144"/>
      <c r="D141" s="81">
        <f t="shared" si="7"/>
        <v>0</v>
      </c>
    </row>
    <row r="142" spans="1:6">
      <c r="A142" s="748" t="str">
        <f t="shared" si="8"/>
        <v>2065-2069</v>
      </c>
      <c r="B142" s="144"/>
      <c r="C142" s="144"/>
      <c r="D142" s="81">
        <f t="shared" si="7"/>
        <v>0</v>
      </c>
    </row>
    <row r="143" spans="1:6">
      <c r="A143" s="748" t="str">
        <f t="shared" si="8"/>
        <v>2070-2074</v>
      </c>
      <c r="B143" s="144"/>
      <c r="C143" s="144"/>
      <c r="D143" s="81">
        <f t="shared" si="7"/>
        <v>0</v>
      </c>
    </row>
    <row r="144" spans="1:6" ht="13.8" thickBot="1">
      <c r="A144" s="94" t="s">
        <v>652</v>
      </c>
      <c r="B144" s="128">
        <f>IF(SUM(B130:B143)=SUM('Internal Service Template'!O155,'Internal Service Template'!O179),SUM(B130:B143),"ERROR")</f>
        <v>0</v>
      </c>
      <c r="C144" s="128">
        <f>SUM(C130:C143)</f>
        <v>0</v>
      </c>
      <c r="D144" s="128">
        <f>SUM(D130:D143)</f>
        <v>0</v>
      </c>
    </row>
    <row r="145" spans="1:9" ht="13.8" thickTop="1">
      <c r="A145" s="737" t="s">
        <v>146</v>
      </c>
      <c r="B145" s="165">
        <f>(SUM(B130:B143))-(SUM('Internal Service Template'!O155,'Internal Service Template'!O179))</f>
        <v>0</v>
      </c>
      <c r="C145" s="448"/>
      <c r="D145" s="448"/>
    </row>
    <row r="146" spans="1:9">
      <c r="A146" s="8"/>
    </row>
    <row r="147" spans="1:9" hidden="1">
      <c r="A147" s="8"/>
    </row>
    <row r="148" spans="1:9" hidden="1">
      <c r="A148" s="8"/>
    </row>
    <row r="149" spans="1:9">
      <c r="A149" s="751"/>
      <c r="B149" s="752"/>
      <c r="C149" s="752"/>
      <c r="D149" s="752"/>
      <c r="E149" s="752"/>
      <c r="F149" s="752"/>
      <c r="G149" s="752"/>
      <c r="H149" s="752"/>
    </row>
    <row r="150" spans="1:9">
      <c r="A150" s="13" t="s">
        <v>3433</v>
      </c>
    </row>
    <row r="151" spans="1:9">
      <c r="A151" s="94" t="s">
        <v>175</v>
      </c>
      <c r="B151" s="207" t="s">
        <v>174</v>
      </c>
      <c r="C151" s="207" t="s">
        <v>176</v>
      </c>
      <c r="D151" s="207" t="s">
        <v>652</v>
      </c>
      <c r="E151" s="75"/>
      <c r="F151" s="75"/>
      <c r="G151" s="75"/>
      <c r="H151" s="75"/>
    </row>
    <row r="152" spans="1:9">
      <c r="A152" s="748">
        <f>A52</f>
        <v>2025</v>
      </c>
      <c r="B152" s="144"/>
      <c r="C152" s="144"/>
      <c r="D152" s="81">
        <f t="shared" ref="D152:D165" si="9">SUM(B152:C152)</f>
        <v>0</v>
      </c>
      <c r="F152" s="735" t="s">
        <v>2909</v>
      </c>
    </row>
    <row r="153" spans="1:9">
      <c r="A153" s="748">
        <f t="shared" ref="A153:A165" si="10">A53</f>
        <v>2026</v>
      </c>
      <c r="B153" s="144"/>
      <c r="C153" s="144"/>
      <c r="D153" s="81">
        <f t="shared" si="9"/>
        <v>0</v>
      </c>
      <c r="F153" s="753">
        <f>(B152)-(F22)</f>
        <v>0</v>
      </c>
    </row>
    <row r="154" spans="1:9">
      <c r="A154" s="748">
        <f t="shared" si="10"/>
        <v>2027</v>
      </c>
      <c r="B154" s="144"/>
      <c r="C154" s="144"/>
      <c r="D154" s="81">
        <f t="shared" si="9"/>
        <v>0</v>
      </c>
    </row>
    <row r="155" spans="1:9">
      <c r="A155" s="748">
        <f t="shared" si="10"/>
        <v>2028</v>
      </c>
      <c r="B155" s="144"/>
      <c r="C155" s="144"/>
      <c r="D155" s="81">
        <f t="shared" si="9"/>
        <v>0</v>
      </c>
    </row>
    <row r="156" spans="1:9">
      <c r="A156" s="748">
        <f t="shared" si="10"/>
        <v>2029</v>
      </c>
      <c r="B156" s="144"/>
      <c r="C156" s="144"/>
      <c r="D156" s="81">
        <f t="shared" si="9"/>
        <v>0</v>
      </c>
    </row>
    <row r="157" spans="1:9">
      <c r="A157" s="748" t="str">
        <f t="shared" si="10"/>
        <v>2030-2034</v>
      </c>
      <c r="B157" s="144"/>
      <c r="C157" s="144"/>
      <c r="D157" s="81">
        <f t="shared" si="9"/>
        <v>0</v>
      </c>
    </row>
    <row r="158" spans="1:9">
      <c r="A158" s="748" t="str">
        <f t="shared" si="10"/>
        <v>2035-2039</v>
      </c>
      <c r="B158" s="144"/>
      <c r="C158" s="144"/>
      <c r="D158" s="81">
        <f t="shared" si="9"/>
        <v>0</v>
      </c>
    </row>
    <row r="159" spans="1:9">
      <c r="A159" s="748" t="str">
        <f t="shared" si="10"/>
        <v>2040-2044</v>
      </c>
      <c r="B159" s="144"/>
      <c r="C159" s="144"/>
      <c r="D159" s="81">
        <f t="shared" si="9"/>
        <v>0</v>
      </c>
      <c r="E159" s="1296"/>
      <c r="F159" s="1100"/>
      <c r="G159" s="1100"/>
      <c r="H159" s="1100"/>
      <c r="I159" s="1100"/>
    </row>
    <row r="160" spans="1:9">
      <c r="A160" s="748" t="str">
        <f t="shared" si="10"/>
        <v>2045-2049</v>
      </c>
      <c r="B160" s="144"/>
      <c r="C160" s="144"/>
      <c r="D160" s="81">
        <f t="shared" si="9"/>
        <v>0</v>
      </c>
      <c r="E160" s="1100"/>
      <c r="F160" s="1100"/>
      <c r="G160" s="1100"/>
      <c r="H160" s="1100"/>
      <c r="I160" s="1100"/>
    </row>
    <row r="161" spans="1:8">
      <c r="A161" s="748" t="str">
        <f t="shared" si="10"/>
        <v>2050-2054</v>
      </c>
      <c r="B161" s="144"/>
      <c r="C161" s="144"/>
      <c r="D161" s="81">
        <f t="shared" si="9"/>
        <v>0</v>
      </c>
    </row>
    <row r="162" spans="1:8">
      <c r="A162" s="748" t="str">
        <f t="shared" si="10"/>
        <v>2055-2059</v>
      </c>
      <c r="B162" s="144"/>
      <c r="C162" s="144"/>
      <c r="D162" s="81">
        <f t="shared" si="9"/>
        <v>0</v>
      </c>
    </row>
    <row r="163" spans="1:8">
      <c r="A163" s="748" t="str">
        <f t="shared" si="10"/>
        <v>2060-2064</v>
      </c>
      <c r="B163" s="144"/>
      <c r="C163" s="144"/>
      <c r="D163" s="81">
        <f t="shared" si="9"/>
        <v>0</v>
      </c>
    </row>
    <row r="164" spans="1:8">
      <c r="A164" s="748" t="str">
        <f t="shared" si="10"/>
        <v>2065-2069</v>
      </c>
      <c r="B164" s="144"/>
      <c r="C164" s="144"/>
      <c r="D164" s="81">
        <f t="shared" si="9"/>
        <v>0</v>
      </c>
    </row>
    <row r="165" spans="1:8">
      <c r="A165" s="748" t="str">
        <f t="shared" si="10"/>
        <v>2070-2074</v>
      </c>
      <c r="B165" s="144"/>
      <c r="C165" s="144"/>
      <c r="D165" s="81">
        <f t="shared" si="9"/>
        <v>0</v>
      </c>
    </row>
    <row r="166" spans="1:8" ht="13.8" thickBot="1">
      <c r="A166" s="94" t="s">
        <v>652</v>
      </c>
      <c r="B166" s="128">
        <f>IF(SUM(B152:B165)=SUM('Internal Service Template'!O156,'Internal Service Template'!O180),SUM(B152:B165),"ERROR")</f>
        <v>0</v>
      </c>
      <c r="C166" s="128">
        <f>SUM(C152:C165)</f>
        <v>0</v>
      </c>
      <c r="D166" s="128">
        <f>SUM(D152:D165)</f>
        <v>0</v>
      </c>
    </row>
    <row r="167" spans="1:8" ht="13.8" thickTop="1">
      <c r="A167" s="737" t="s">
        <v>146</v>
      </c>
      <c r="B167" s="165">
        <f>(SUM(B152:B165))-(SUM('Internal Service Template'!O156,'Internal Service Template'!O180))</f>
        <v>0</v>
      </c>
      <c r="C167" s="448"/>
      <c r="D167" s="448"/>
    </row>
    <row r="168" spans="1:8">
      <c r="A168" s="94"/>
      <c r="B168" s="107"/>
    </row>
    <row r="169" spans="1:8">
      <c r="A169" s="94"/>
      <c r="B169" s="190"/>
    </row>
    <row r="170" spans="1:8" ht="13.8">
      <c r="A170" s="1279" t="s">
        <v>3434</v>
      </c>
      <c r="B170" s="1279"/>
      <c r="C170" s="1279"/>
      <c r="D170" s="1279"/>
      <c r="E170" s="1279"/>
      <c r="F170" s="1279"/>
      <c r="G170" s="690"/>
      <c r="H170" s="447" t="s">
        <v>751</v>
      </c>
    </row>
    <row r="171" spans="1:8">
      <c r="A171" s="92" t="s">
        <v>3228</v>
      </c>
      <c r="B171" s="722"/>
    </row>
    <row r="172" spans="1:8" ht="30" customHeight="1">
      <c r="A172" s="1280" t="str">
        <f>IF(H170= "yes","Answer Required","N/A")</f>
        <v>N/A</v>
      </c>
      <c r="B172" s="1281"/>
      <c r="C172" s="1281"/>
      <c r="D172" s="1281"/>
      <c r="E172" s="1281"/>
      <c r="F172" s="1281"/>
      <c r="G172" s="1281"/>
      <c r="H172" s="1282"/>
    </row>
    <row r="173" spans="1:8">
      <c r="A173" s="737"/>
      <c r="B173" s="165"/>
      <c r="C173" s="448"/>
      <c r="D173" s="448"/>
    </row>
    <row r="174" spans="1:8" ht="33.75" customHeight="1">
      <c r="A174" s="1279" t="s">
        <v>3435</v>
      </c>
      <c r="B174" s="1279"/>
      <c r="C174" s="1279"/>
      <c r="D174" s="1279"/>
      <c r="E174" s="1279"/>
      <c r="F174" s="1279"/>
      <c r="G174" s="690"/>
      <c r="H174" s="447" t="s">
        <v>751</v>
      </c>
    </row>
    <row r="175" spans="1:8">
      <c r="A175" s="92" t="s">
        <v>3228</v>
      </c>
      <c r="B175" s="722"/>
    </row>
    <row r="176" spans="1:8" ht="31.5" customHeight="1">
      <c r="A176" s="1280" t="str">
        <f>IF(H174= "yes","Answer Required","N/A")</f>
        <v>N/A</v>
      </c>
      <c r="B176" s="1281"/>
      <c r="C176" s="1281"/>
      <c r="D176" s="1281"/>
      <c r="E176" s="1281"/>
      <c r="F176" s="1281"/>
      <c r="G176" s="1281"/>
      <c r="H176" s="1282"/>
    </row>
    <row r="177" spans="1:8">
      <c r="A177" s="608"/>
      <c r="B177" s="190"/>
      <c r="C177" s="190"/>
      <c r="D177" s="103"/>
    </row>
    <row r="178" spans="1:8" hidden="1">
      <c r="A178" s="8"/>
      <c r="B178" s="103"/>
      <c r="C178" s="103"/>
      <c r="D178" s="103"/>
    </row>
    <row r="179" spans="1:8" hidden="1">
      <c r="A179" s="8"/>
      <c r="B179" s="103"/>
      <c r="C179" s="103"/>
      <c r="D179" s="103"/>
    </row>
    <row r="180" spans="1:8" hidden="1">
      <c r="A180" s="8"/>
      <c r="B180" s="140"/>
      <c r="C180" s="140"/>
      <c r="D180" s="140"/>
    </row>
    <row r="181" spans="1:8">
      <c r="A181" s="750"/>
      <c r="B181" s="35"/>
      <c r="C181" s="35"/>
      <c r="D181" s="35"/>
      <c r="E181" s="35"/>
      <c r="F181" s="35"/>
      <c r="G181" s="35"/>
      <c r="H181" s="35"/>
    </row>
    <row r="182" spans="1:8">
      <c r="A182" s="8"/>
    </row>
    <row r="183" spans="1:8">
      <c r="A183" s="7"/>
    </row>
    <row r="184" spans="1:8">
      <c r="A184" s="13" t="s">
        <v>3436</v>
      </c>
    </row>
    <row r="187" spans="1:8">
      <c r="A187" s="94" t="s">
        <v>175</v>
      </c>
      <c r="B187" s="754" t="s">
        <v>174</v>
      </c>
      <c r="C187" s="754" t="s">
        <v>176</v>
      </c>
      <c r="D187" s="755" t="s">
        <v>652</v>
      </c>
    </row>
    <row r="188" spans="1:8">
      <c r="A188" s="756"/>
      <c r="B188" s="757"/>
      <c r="C188" s="757"/>
      <c r="F188" s="735" t="s">
        <v>2909</v>
      </c>
    </row>
    <row r="189" spans="1:8">
      <c r="A189" s="748">
        <f>A52</f>
        <v>2025</v>
      </c>
      <c r="B189" s="144"/>
      <c r="C189" s="144"/>
      <c r="D189" s="129">
        <f t="shared" ref="D189:D204" si="11">SUM(B189:C189)</f>
        <v>0</v>
      </c>
      <c r="F189" s="165">
        <f>(B189)-(F23)</f>
        <v>0</v>
      </c>
    </row>
    <row r="190" spans="1:8">
      <c r="A190" s="748">
        <f t="shared" ref="A190:A201" si="12">A53</f>
        <v>2026</v>
      </c>
      <c r="B190" s="144"/>
      <c r="C190" s="144"/>
      <c r="D190" s="129">
        <f t="shared" si="11"/>
        <v>0</v>
      </c>
    </row>
    <row r="191" spans="1:8">
      <c r="A191" s="748">
        <f t="shared" si="12"/>
        <v>2027</v>
      </c>
      <c r="B191" s="144"/>
      <c r="C191" s="144"/>
      <c r="D191" s="129">
        <f t="shared" si="11"/>
        <v>0</v>
      </c>
    </row>
    <row r="192" spans="1:8">
      <c r="A192" s="748">
        <f t="shared" si="12"/>
        <v>2028</v>
      </c>
      <c r="B192" s="144"/>
      <c r="C192" s="144"/>
      <c r="D192" s="129">
        <f t="shared" si="11"/>
        <v>0</v>
      </c>
    </row>
    <row r="193" spans="1:8">
      <c r="A193" s="748">
        <f t="shared" si="12"/>
        <v>2029</v>
      </c>
      <c r="B193" s="144"/>
      <c r="C193" s="144"/>
      <c r="D193" s="129">
        <f t="shared" si="11"/>
        <v>0</v>
      </c>
    </row>
    <row r="194" spans="1:8">
      <c r="A194" s="748" t="str">
        <f t="shared" si="12"/>
        <v>2030-2034</v>
      </c>
      <c r="B194" s="144"/>
      <c r="C194" s="144"/>
      <c r="D194" s="129">
        <f t="shared" si="11"/>
        <v>0</v>
      </c>
    </row>
    <row r="195" spans="1:8">
      <c r="A195" s="748" t="str">
        <f t="shared" si="12"/>
        <v>2035-2039</v>
      </c>
      <c r="B195" s="144"/>
      <c r="C195" s="144"/>
      <c r="D195" s="129">
        <f t="shared" si="11"/>
        <v>0</v>
      </c>
    </row>
    <row r="196" spans="1:8">
      <c r="A196" s="748" t="str">
        <f t="shared" si="12"/>
        <v>2040-2044</v>
      </c>
      <c r="B196" s="144"/>
      <c r="C196" s="144"/>
      <c r="D196" s="129">
        <f t="shared" si="11"/>
        <v>0</v>
      </c>
    </row>
    <row r="197" spans="1:8">
      <c r="A197" s="748" t="str">
        <f t="shared" si="12"/>
        <v>2045-2049</v>
      </c>
      <c r="B197" s="144"/>
      <c r="C197" s="144"/>
      <c r="D197" s="129">
        <f t="shared" si="11"/>
        <v>0</v>
      </c>
    </row>
    <row r="198" spans="1:8">
      <c r="A198" s="748" t="str">
        <f t="shared" si="12"/>
        <v>2050-2054</v>
      </c>
      <c r="B198" s="144"/>
      <c r="C198" s="144"/>
      <c r="D198" s="129">
        <f t="shared" si="11"/>
        <v>0</v>
      </c>
    </row>
    <row r="199" spans="1:8">
      <c r="A199" s="748" t="str">
        <f t="shared" si="12"/>
        <v>2055-2059</v>
      </c>
      <c r="B199" s="144"/>
      <c r="C199" s="144"/>
      <c r="D199" s="129">
        <f t="shared" si="11"/>
        <v>0</v>
      </c>
    </row>
    <row r="200" spans="1:8">
      <c r="A200" s="748" t="str">
        <f t="shared" si="12"/>
        <v>2060-2064</v>
      </c>
      <c r="B200" s="144"/>
      <c r="C200" s="144"/>
      <c r="D200" s="129">
        <f t="shared" si="11"/>
        <v>0</v>
      </c>
    </row>
    <row r="201" spans="1:8">
      <c r="A201" s="748" t="str">
        <f t="shared" si="12"/>
        <v>2065-2069</v>
      </c>
      <c r="B201" s="144"/>
      <c r="C201" s="144"/>
      <c r="D201" s="129">
        <f t="shared" si="11"/>
        <v>0</v>
      </c>
    </row>
    <row r="202" spans="1:8">
      <c r="A202" s="758" t="str">
        <f>A65</f>
        <v>2070-2074</v>
      </c>
      <c r="B202" s="144"/>
      <c r="C202" s="144"/>
      <c r="D202" s="129">
        <f t="shared" si="11"/>
        <v>0</v>
      </c>
    </row>
    <row r="203" spans="1:8">
      <c r="A203" s="759" t="s">
        <v>555</v>
      </c>
      <c r="B203" s="144"/>
      <c r="C203" s="144"/>
      <c r="D203" s="129">
        <f t="shared" si="11"/>
        <v>0</v>
      </c>
    </row>
    <row r="204" spans="1:8" ht="26.4">
      <c r="A204" s="760" t="s">
        <v>556</v>
      </c>
      <c r="B204" s="144"/>
      <c r="C204" s="144"/>
      <c r="D204" s="129">
        <f t="shared" si="11"/>
        <v>0</v>
      </c>
    </row>
    <row r="205" spans="1:8">
      <c r="A205" s="761" t="s">
        <v>194</v>
      </c>
      <c r="B205" s="148"/>
      <c r="C205" s="148"/>
      <c r="D205" s="762"/>
    </row>
    <row r="206" spans="1:8">
      <c r="A206" s="125"/>
      <c r="B206" s="149"/>
      <c r="C206" s="149"/>
      <c r="D206" s="763">
        <f>SUM(B206:C206)</f>
        <v>0</v>
      </c>
      <c r="E206" s="1267"/>
      <c r="F206" s="1267"/>
      <c r="G206" s="1267"/>
      <c r="H206" s="1267"/>
    </row>
    <row r="207" spans="1:8">
      <c r="A207" s="125"/>
      <c r="B207" s="144"/>
      <c r="C207" s="144"/>
      <c r="D207" s="129">
        <f>SUM(B207:C207)</f>
        <v>0</v>
      </c>
      <c r="E207" s="1241"/>
      <c r="F207" s="1241"/>
      <c r="G207" s="1241"/>
      <c r="H207" s="1241"/>
    </row>
    <row r="208" spans="1:8">
      <c r="A208" s="8"/>
      <c r="B208" s="764"/>
      <c r="C208" s="764"/>
      <c r="D208" s="74"/>
    </row>
    <row r="209" spans="1:10" ht="13.8" thickBot="1">
      <c r="A209" s="94" t="s">
        <v>652</v>
      </c>
      <c r="B209" s="765">
        <f>IF(SUM(B189:B207)=SUM('Internal Service Template'!O157,'Internal Service Template'!O181),SUM(B189:B207),"ERROR")</f>
        <v>0</v>
      </c>
      <c r="C209" s="765">
        <f>SUM(C189:C207)</f>
        <v>0</v>
      </c>
      <c r="D209" s="765">
        <f>SUM(D189:D207)</f>
        <v>0</v>
      </c>
    </row>
    <row r="210" spans="1:10" ht="13.8" thickTop="1">
      <c r="A210" s="166" t="s">
        <v>146</v>
      </c>
      <c r="B210" s="164">
        <f>(SUM(B189:B207))-(SUM('Internal Service Template'!O157,'Internal Service Template'!O181))</f>
        <v>0</v>
      </c>
      <c r="C210" s="74"/>
      <c r="D210" s="74"/>
    </row>
    <row r="211" spans="1:10">
      <c r="B211" s="722"/>
    </row>
    <row r="212" spans="1:10">
      <c r="A212" s="1262" t="s">
        <v>3942</v>
      </c>
      <c r="B212" s="1125"/>
      <c r="C212" s="1125"/>
      <c r="D212" s="1126"/>
      <c r="E212" s="1263"/>
      <c r="F212" s="1264"/>
      <c r="G212" s="719"/>
    </row>
    <row r="213" spans="1:10">
      <c r="A213" s="1262" t="s">
        <v>3943</v>
      </c>
      <c r="B213" s="1125"/>
      <c r="C213" s="1125"/>
      <c r="D213" s="1126"/>
      <c r="E213" s="1263"/>
      <c r="F213" s="1264"/>
      <c r="G213" s="719"/>
    </row>
    <row r="214" spans="1:10">
      <c r="A214" s="1262" t="s">
        <v>3944</v>
      </c>
      <c r="B214" s="1125"/>
      <c r="C214" s="1125"/>
      <c r="D214" s="1126"/>
      <c r="E214" s="1265"/>
      <c r="F214" s="1266"/>
      <c r="G214" s="261"/>
    </row>
    <row r="215" spans="1:10">
      <c r="A215" s="1262" t="s">
        <v>3945</v>
      </c>
      <c r="B215" s="1125"/>
      <c r="C215" s="1125"/>
      <c r="D215" s="1126"/>
      <c r="E215" s="1265"/>
      <c r="F215" s="1266"/>
      <c r="G215" s="261"/>
    </row>
    <row r="216" spans="1:10">
      <c r="J216" s="11" t="s">
        <v>260</v>
      </c>
    </row>
    <row r="217" spans="1:10" ht="13.8">
      <c r="A217" s="767" t="s">
        <v>3946</v>
      </c>
      <c r="B217" s="768"/>
      <c r="C217" s="768"/>
      <c r="D217" s="768"/>
      <c r="E217" s="283" t="str">
        <f>IF(D209&lt;&gt;0,"Answer Required","N/A")</f>
        <v>N/A</v>
      </c>
      <c r="F217" s="770"/>
      <c r="G217" s="770"/>
      <c r="H217" s="301"/>
      <c r="I217" s="771"/>
      <c r="J217" s="771"/>
    </row>
    <row r="218" spans="1:10" ht="121.5" customHeight="1">
      <c r="A218" s="1287" t="s">
        <v>3947</v>
      </c>
      <c r="B218" s="1288"/>
      <c r="C218" s="1288"/>
      <c r="D218" s="1289"/>
      <c r="E218" s="770"/>
      <c r="F218" s="770"/>
      <c r="G218" s="770"/>
      <c r="H218" s="301"/>
      <c r="I218" s="771"/>
      <c r="J218" s="771"/>
    </row>
    <row r="219" spans="1:10" ht="70.5" customHeight="1">
      <c r="A219" s="1256" t="str">
        <f>IF(E217="Yes","Answer Required","N/A")</f>
        <v>N/A</v>
      </c>
      <c r="B219" s="1257"/>
      <c r="C219" s="1257"/>
      <c r="D219" s="1257"/>
      <c r="E219" s="1258"/>
      <c r="F219" s="770"/>
      <c r="G219" s="770"/>
      <c r="H219" s="301"/>
      <c r="I219" s="771"/>
      <c r="J219" s="771"/>
    </row>
    <row r="220" spans="1:10" ht="13.5" customHeight="1">
      <c r="A220" s="770"/>
      <c r="B220" s="770"/>
      <c r="C220" s="770"/>
      <c r="D220" s="770"/>
      <c r="E220" s="770"/>
      <c r="F220" s="770"/>
      <c r="G220" s="770"/>
      <c r="H220" s="770"/>
      <c r="I220" s="771"/>
      <c r="J220" s="771"/>
    </row>
    <row r="221" spans="1:10" ht="45.75" customHeight="1">
      <c r="A221" s="1283" t="s">
        <v>3948</v>
      </c>
      <c r="B221" s="1284"/>
      <c r="C221" s="1284"/>
      <c r="D221" s="1285"/>
      <c r="E221" s="283" t="str">
        <f>IF(D209&lt;&gt;0,"Answer Required","N/A")</f>
        <v>N/A</v>
      </c>
      <c r="F221" s="770"/>
      <c r="G221" s="770"/>
      <c r="H221" s="301"/>
      <c r="I221" s="771"/>
      <c r="J221" s="771"/>
    </row>
    <row r="222" spans="1:10" ht="54" customHeight="1">
      <c r="A222" s="1286" t="s">
        <v>2605</v>
      </c>
      <c r="B222" s="1286"/>
      <c r="C222" s="1286"/>
      <c r="D222" s="1286"/>
      <c r="E222" s="770"/>
      <c r="F222" s="770"/>
      <c r="G222" s="771"/>
      <c r="H222" s="771"/>
      <c r="I222" s="771"/>
      <c r="J222" s="771"/>
    </row>
    <row r="223" spans="1:10" ht="66.75" customHeight="1">
      <c r="A223" s="1256" t="str">
        <f>IF(E221="Yes","Answer Required","N/A")</f>
        <v>N/A</v>
      </c>
      <c r="B223" s="1257"/>
      <c r="C223" s="1257"/>
      <c r="D223" s="1257"/>
      <c r="E223" s="1258"/>
      <c r="F223" s="770"/>
      <c r="G223" s="770"/>
      <c r="H223" s="301"/>
    </row>
    <row r="224" spans="1:10" ht="20.25" customHeight="1"/>
    <row r="225" spans="5:5" hidden="1">
      <c r="E225" s="207" t="s">
        <v>260</v>
      </c>
    </row>
    <row r="226" spans="5:5" hidden="1">
      <c r="E226" s="207" t="s">
        <v>261</v>
      </c>
    </row>
    <row r="227" spans="5:5" hidden="1">
      <c r="E227" s="207" t="s">
        <v>262</v>
      </c>
    </row>
  </sheetData>
  <sheetProtection algorithmName="SHA-512" hashValue="LxRgDCfRp+kKFwuaAIQZvPg4KU2LolPqKvspzDC5hgy4pdlCEycckIohmCRUt0mXtGYO+zwGXvERS/Otkuvy0w==" saltValue="PqQWaXsdhi7gSrW8hc1u/g==" spinCount="100000" sheet="1" objects="1" scenarios="1"/>
  <customSheetViews>
    <customSheetView guid="{5CCA66B6-9DBD-4F43-8EC0-0C18444D6068}" scale="85" showGridLines="0" hiddenRows="1" showRuler="0" topLeftCell="A33">
      <selection activeCell="C38" sqref="C38"/>
      <rowBreaks count="1" manualBreakCount="1">
        <brk id="87" max="10" man="1"/>
      </rowBreaks>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35">
    <mergeCell ref="A172:H172"/>
    <mergeCell ref="A174:F174"/>
    <mergeCell ref="A176:H176"/>
    <mergeCell ref="B1:F1"/>
    <mergeCell ref="B5:F5"/>
    <mergeCell ref="B6:F6"/>
    <mergeCell ref="B2:F2"/>
    <mergeCell ref="B3:F3"/>
    <mergeCell ref="B4:F4"/>
    <mergeCell ref="B7:F7"/>
    <mergeCell ref="E103:I104"/>
    <mergeCell ref="A114:F114"/>
    <mergeCell ref="A116:H116"/>
    <mergeCell ref="E159:I160"/>
    <mergeCell ref="A221:D221"/>
    <mergeCell ref="A222:D222"/>
    <mergeCell ref="A219:E219"/>
    <mergeCell ref="A213:D213"/>
    <mergeCell ref="A218:D218"/>
    <mergeCell ref="A223:E223"/>
    <mergeCell ref="A45:F45"/>
    <mergeCell ref="A214:D214"/>
    <mergeCell ref="A215:D215"/>
    <mergeCell ref="E212:F212"/>
    <mergeCell ref="E213:F213"/>
    <mergeCell ref="E214:F214"/>
    <mergeCell ref="E215:F215"/>
    <mergeCell ref="A212:D212"/>
    <mergeCell ref="E206:H206"/>
    <mergeCell ref="E207:H207"/>
    <mergeCell ref="A74:H74"/>
    <mergeCell ref="A84:F90"/>
    <mergeCell ref="A118:F118"/>
    <mergeCell ref="A120:H120"/>
    <mergeCell ref="A170:F170"/>
  </mergeCells>
  <phoneticPr fontId="46" type="noConversion"/>
  <conditionalFormatting sqref="A45:F45 A74:H74 A84:F90 A219:E219 A223:E223">
    <cfRule type="cellIs" dxfId="121" priority="15" operator="equal">
      <formula>"Answer Required"</formula>
    </cfRule>
  </conditionalFormatting>
  <conditionalFormatting sqref="A116:H116">
    <cfRule type="cellIs" dxfId="120" priority="4" operator="equal">
      <formula>"Answer Required"</formula>
    </cfRule>
  </conditionalFormatting>
  <conditionalFormatting sqref="A120:H120">
    <cfRule type="cellIs" dxfId="119" priority="3" operator="equal">
      <formula>"Answer Required"</formula>
    </cfRule>
  </conditionalFormatting>
  <conditionalFormatting sqref="A172:H172">
    <cfRule type="cellIs" dxfId="118" priority="2" operator="equal">
      <formula>"Answer Required"</formula>
    </cfRule>
  </conditionalFormatting>
  <conditionalFormatting sqref="A176:H176">
    <cfRule type="cellIs" dxfId="117" priority="1" operator="equal">
      <formula>"Answer Required"</formula>
    </cfRule>
  </conditionalFormatting>
  <conditionalFormatting sqref="E217">
    <cfRule type="cellIs" dxfId="116" priority="24" operator="equal">
      <formula>"Answer Required"</formula>
    </cfRule>
  </conditionalFormatting>
  <conditionalFormatting sqref="E221">
    <cfRule type="cellIs" dxfId="115" priority="21" operator="equal">
      <formula>"Answer Required"</formula>
    </cfRule>
  </conditionalFormatting>
  <conditionalFormatting sqref="H72">
    <cfRule type="cellIs" dxfId="114" priority="30" operator="equal">
      <formula>"Answer Required"</formula>
    </cfRule>
  </conditionalFormatting>
  <conditionalFormatting sqref="H114">
    <cfRule type="cellIs" dxfId="113" priority="13" operator="equal">
      <formula>"Answer Required"</formula>
    </cfRule>
    <cfRule type="cellIs" dxfId="112" priority="14" operator="equal">
      <formula>"Error"</formula>
    </cfRule>
  </conditionalFormatting>
  <conditionalFormatting sqref="H118">
    <cfRule type="cellIs" dxfId="111" priority="9" operator="equal">
      <formula>"Answer Required"</formula>
    </cfRule>
    <cfRule type="cellIs" dxfId="110" priority="10" operator="equal">
      <formula>"Error"</formula>
    </cfRule>
  </conditionalFormatting>
  <conditionalFormatting sqref="H170">
    <cfRule type="cellIs" dxfId="109" priority="7" operator="equal">
      <formula>"Answer Required"</formula>
    </cfRule>
    <cfRule type="cellIs" dxfId="108" priority="8" operator="equal">
      <formula>"Error"</formula>
    </cfRule>
  </conditionalFormatting>
  <conditionalFormatting sqref="H174">
    <cfRule type="cellIs" dxfId="107" priority="5" operator="equal">
      <formula>"Answer Required"</formula>
    </cfRule>
    <cfRule type="cellIs" dxfId="106" priority="6" operator="equal">
      <formula>"Error"</formula>
    </cfRule>
  </conditionalFormatting>
  <conditionalFormatting sqref="H69:J69">
    <cfRule type="cellIs" dxfId="105" priority="27" operator="equal">
      <formula>"Answer Required"</formula>
    </cfRule>
  </conditionalFormatting>
  <dataValidations xWindow="168" yWindow="207" count="27">
    <dataValidation type="whole" allowBlank="1" showInputMessage="1" showErrorMessage="1" sqref="B122:D124 B178:D180" xr:uid="{00000000-0002-0000-0B00-000000000000}">
      <formula1>0</formula1>
      <formula2>9999999999999990</formula2>
    </dataValidation>
    <dataValidation type="whole" allowBlank="1" showInputMessage="1" showErrorMessage="1" sqref="D203:D207" xr:uid="{00000000-0002-0000-0B00-000001000000}">
      <formula1>-99999999999999900</formula1>
      <formula2>999999999999999000</formula2>
    </dataValidation>
    <dataValidation type="whole" allowBlank="1" showInputMessage="1" showErrorMessage="1" sqref="D121 D177" xr:uid="{00000000-0002-0000-0B00-000002000000}">
      <formula1>-99999999999999</formula1>
      <formula2>9999999999999990</formula2>
    </dataValidation>
    <dataValidation allowBlank="1" showErrorMessage="1" sqref="B209:B210" xr:uid="{00000000-0002-0000-0B00-000003000000}"/>
    <dataValidation type="whole" allowBlank="1" showErrorMessage="1" error="Please enter a negative whole number." sqref="B205:C205" xr:uid="{00000000-0002-0000-0B00-000004000000}">
      <formula1>-99999999999999900</formula1>
      <formula2>0</formula2>
    </dataValidation>
    <dataValidation type="whole" allowBlank="1" showErrorMessage="1" error="Please enter a whole number." sqref="B206:C207 B52:C65 B96:C109 B189:C202 B130:C143 B152:C165" xr:uid="{00000000-0002-0000-0B00-000005000000}">
      <formula1>-9999999999999</formula1>
      <formula2>9999999999999</formula2>
    </dataValidation>
    <dataValidation type="whole" allowBlank="1" showErrorMessage="1" error="Please enter a negative whole number." sqref="B203:C204" xr:uid="{00000000-0002-0000-0B00-000006000000}">
      <formula1>-9999999999999</formula1>
      <formula2>0</formula2>
    </dataValidation>
    <dataValidation type="whole" allowBlank="1" showInputMessage="1" showErrorMessage="1" sqref="B80 B66:D66 B67 B78 B173 B145 D52:D65 B25:D27 F189 G27 F52 E18:F27 B110:D110 D96:D109 B117 D130:D143 B144:D144 B35:B42 B166:D166 D152:D165 C42" xr:uid="{00000000-0002-0000-0B00-000007000000}">
      <formula1>-9999999999999</formula1>
      <formula2>9999999999999</formula2>
    </dataValidation>
    <dataValidation type="whole" allowBlank="1" showInputMessage="1" showErrorMessage="1" error="Please enter a whole number." sqref="B79" xr:uid="{00000000-0002-0000-0B00-000008000000}">
      <formula1>-9999999999999</formula1>
      <formula2>9999999999999</formula2>
    </dataValidation>
    <dataValidation type="whole" allowBlank="1" showInputMessage="1" showErrorMessage="1" sqref="C67:D71 C111:D111 C117:D117 C145:D145 C167:D167 C173:D173" xr:uid="{00000000-0002-0000-0B00-000009000000}">
      <formula1>0</formula1>
      <formula2>99999999999999900000</formula2>
    </dataValidation>
    <dataValidation type="whole" allowBlank="1" showErrorMessage="1" prompt="_x000a_" sqref="B68:B71" xr:uid="{00000000-0002-0000-0B00-00000A000000}">
      <formula1>0</formula1>
      <formula2>99999999999999900000</formula2>
    </dataValidation>
    <dataValidation type="whole" allowBlank="1" showInputMessage="1" showErrorMessage="1" sqref="F16:G17" xr:uid="{00000000-0002-0000-0B00-00000B000000}">
      <formula1>0</formula1>
      <formula2>9.99999999999999E+23</formula2>
    </dataValidation>
    <dataValidation type="whole" allowBlank="1" showErrorMessage="1" prompt="_x000a_" sqref="E16:E17" xr:uid="{00000000-0002-0000-0B00-00000C000000}">
      <formula1>0</formula1>
      <formula2>9.99999999999999E+23</formula2>
    </dataValidation>
    <dataValidation type="whole" allowBlank="1" showErrorMessage="1" error="Amount must be rounded to the nearest dollar." sqref="B16:B17" xr:uid="{00000000-0002-0000-0B00-00000D000000}">
      <formula1>-1000000000000</formula1>
      <formula2>1000000000000</formula2>
    </dataValidation>
    <dataValidation type="whole" allowBlank="1" showErrorMessage="1" error="Enter a whole number and it must be negative." sqref="D16:D17 D33:D34" xr:uid="{00000000-0002-0000-0B00-00000E000000}">
      <formula1>-1000000000000</formula1>
      <formula2>0</formula2>
    </dataValidation>
    <dataValidation type="whole" allowBlank="1" showErrorMessage="1" error="Amount must be rounded to the nearest dollar and must be positive." sqref="C16:C17" xr:uid="{00000000-0002-0000-0B00-00000F000000}">
      <formula1>0</formula1>
      <formula2>1000000000000</formula2>
    </dataValidation>
    <dataValidation type="whole" allowBlank="1" showInputMessage="1" showErrorMessage="1" sqref="C33:C34" xr:uid="{00000000-0002-0000-0B00-000010000000}">
      <formula1>-99999999999999</formula1>
      <formula2>999999999999999</formula2>
    </dataValidation>
    <dataValidation type="whole" allowBlank="1" showInputMessage="1" showErrorMessage="1" error="Please enter a whole number." sqref="B33:B34" xr:uid="{00000000-0002-0000-0B00-000011000000}">
      <formula1>-99999999999999</formula1>
      <formula2>999999999999999</formula2>
    </dataValidation>
    <dataValidation type="whole" allowBlank="1" showInputMessage="1" showErrorMessage="1" error="Please enter a whole number" sqref="B18:C24 K20:K24 H20:I24" xr:uid="{00000000-0002-0000-0B00-000012000000}">
      <formula1>-9999999999999</formula1>
      <formula2>9999999999999</formula2>
    </dataValidation>
    <dataValidation type="list" allowBlank="1" showInputMessage="1" showErrorMessage="1" error="Please use drop-down list to select Yes, No, or N/A." sqref="H72 H69" xr:uid="{00000000-0002-0000-0B00-000013000000}">
      <formula1>$E$225:$E$227</formula1>
    </dataValidation>
    <dataValidation type="list" allowBlank="1" showInputMessage="1" showErrorMessage="1" error="Please use the drop-down list to select Yes, No, or N/A." sqref="E217" xr:uid="{00000000-0002-0000-0B00-000014000000}">
      <formula1>$E$225:$E$227</formula1>
    </dataValidation>
    <dataValidation type="list" allowBlank="1" showInputMessage="1" showErrorMessage="1" error="Please use the drop-down to select Yes, No, or N/A." sqref="E221" xr:uid="{00000000-0002-0000-0B00-000015000000}">
      <formula1>$E$225:$E$227</formula1>
    </dataValidation>
    <dataValidation type="whole" allowBlank="1" showInputMessage="1" showErrorMessage="1" error="Please enter a negative whole number" sqref="D18:D24" xr:uid="{00000000-0002-0000-0B00-000016000000}">
      <formula1>-9999999999999</formula1>
      <formula2>0</formula2>
    </dataValidation>
    <dataValidation type="list" allowBlank="1" showInputMessage="1" showErrorMessage="1" error="Please use the drop-down to select Yes or No." sqref="H114" xr:uid="{00000000-0002-0000-0B00-000017000000}">
      <formula1>$E225:$E$226</formula1>
    </dataValidation>
    <dataValidation type="list" allowBlank="1" showInputMessage="1" showErrorMessage="1" error="Please use the drop-down to select Yes or No." sqref="H118" xr:uid="{00000000-0002-0000-0B00-000018000000}">
      <formula1>$E225:$E$226</formula1>
    </dataValidation>
    <dataValidation type="list" allowBlank="1" showInputMessage="1" showErrorMessage="1" error="Please use the drop-down to select Yes or No." sqref="H170" xr:uid="{E4DE2405-7B23-4EB0-9FBF-2EE4EB45C511}">
      <formula1>$E225:$E$226</formula1>
    </dataValidation>
    <dataValidation type="list" allowBlank="1" showInputMessage="1" showErrorMessage="1" error="Please use the drop-down to select Yes or No." sqref="H174" xr:uid="{BB2E0978-5429-4902-B531-71FCE78C462C}">
      <formula1>$E225:$E$226</formula1>
    </dataValidation>
  </dataValidations>
  <pageMargins left="0.75" right="0.28999999999999998" top="0.56999999999999995" bottom="0.37" header="0.19" footer="0.17"/>
  <pageSetup scale="56" orientation="landscape"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4" manualBreakCount="4">
    <brk id="48" max="12" man="1"/>
    <brk id="91" max="12" man="1"/>
    <brk id="148" max="12" man="1"/>
    <brk id="182" max="12" man="1"/>
  </rowBreak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autoPageBreaks="0"/>
  </sheetPr>
  <dimension ref="A1:H39"/>
  <sheetViews>
    <sheetView showGridLines="0" zoomScaleNormal="100" zoomScaleSheetLayoutView="75" workbookViewId="0">
      <selection activeCell="Q16" sqref="Q16"/>
    </sheetView>
  </sheetViews>
  <sheetFormatPr defaultColWidth="9.109375" defaultRowHeight="13.2"/>
  <cols>
    <col min="1" max="1" width="38.109375" style="11" customWidth="1"/>
    <col min="2" max="2" width="19" style="11" customWidth="1"/>
    <col min="3" max="3" width="9.109375" style="11"/>
    <col min="4" max="4" width="9.109375" style="11" customWidth="1"/>
    <col min="5" max="5" width="16.44140625" style="11" customWidth="1"/>
    <col min="6" max="6" width="9.109375" style="11"/>
    <col min="7" max="7" width="6.109375" style="11" customWidth="1"/>
    <col min="8" max="8" width="9.109375" style="11"/>
    <col min="9" max="9" width="9.109375" style="11" customWidth="1"/>
    <col min="10" max="16384" width="9.109375" style="11"/>
  </cols>
  <sheetData>
    <row r="1" spans="1:8" ht="12.6" customHeight="1">
      <c r="A1" s="564" t="str">
        <f>'Internal Service Template'!A1:D1</f>
        <v>Agency Number:</v>
      </c>
      <c r="B1" s="1290" t="str">
        <f>'Internal Service Template'!E1</f>
        <v/>
      </c>
      <c r="C1" s="1290"/>
      <c r="D1" s="1291"/>
      <c r="E1" s="1291"/>
      <c r="F1" s="1291"/>
    </row>
    <row r="2" spans="1:8" ht="12.75" customHeight="1">
      <c r="A2" s="564" t="str">
        <f>'Internal Service Template'!A2:D2</f>
        <v>Agency Fund Name:</v>
      </c>
      <c r="B2" s="1290" t="str">
        <f>IF('Internal Service Template'!E2="","",('Internal Service Template'!E2))</f>
        <v/>
      </c>
      <c r="C2" s="1290"/>
      <c r="D2" s="1291"/>
      <c r="E2" s="1291"/>
      <c r="F2" s="1291"/>
    </row>
    <row r="3" spans="1:8" ht="15" customHeight="1">
      <c r="A3" s="564" t="str">
        <f>'Internal Service Template'!A3:D3</f>
        <v>Agency Contact Name:</v>
      </c>
      <c r="B3" s="1142" t="str">
        <f>IF('Internal Service Template'!E3="","",'Internal Service Template'!E3)</f>
        <v/>
      </c>
      <c r="C3" s="1142"/>
      <c r="D3" s="1294"/>
      <c r="E3" s="1294"/>
      <c r="F3" s="1294"/>
    </row>
    <row r="4" spans="1:8">
      <c r="A4" s="564" t="str">
        <f>'Internal Service Template'!A4:D4</f>
        <v>Agency Contact Phone Number:</v>
      </c>
      <c r="B4" s="1127" t="str">
        <f>IF('Internal Service Template'!E4="","",'Internal Service Template'!E4)</f>
        <v/>
      </c>
      <c r="C4" s="1127"/>
      <c r="D4" s="1295"/>
      <c r="E4" s="1295"/>
      <c r="F4" s="1295"/>
    </row>
    <row r="5" spans="1:8">
      <c r="A5" s="564" t="str">
        <f>'Internal Service Template'!A5:D5</f>
        <v>Agency Contact E-mail Address:</v>
      </c>
      <c r="B5" s="1129" t="str">
        <f>IF('Internal Service Template'!E5="","",'Internal Service Template'!E5)</f>
        <v/>
      </c>
      <c r="C5" s="1129"/>
      <c r="D5" s="1292"/>
      <c r="E5" s="1292"/>
      <c r="F5" s="1292"/>
    </row>
    <row r="6" spans="1:8">
      <c r="A6" s="564" t="str">
        <f>'Internal Service Template'!A6:D6</f>
        <v>Date Completed:</v>
      </c>
      <c r="B6" s="1131" t="str">
        <f>IF('Internal Service Template'!E6="","",'Internal Service Template'!E6)</f>
        <v/>
      </c>
      <c r="C6" s="1131"/>
      <c r="D6" s="1293"/>
      <c r="E6" s="1293"/>
      <c r="F6" s="1293"/>
    </row>
    <row r="7" spans="1:8">
      <c r="A7" s="564" t="str">
        <f>'Internal Service Template'!A7:D7</f>
        <v>Fund Number:</v>
      </c>
      <c r="B7" s="1290" t="str">
        <f>'Internal Service Template'!E7</f>
        <v/>
      </c>
      <c r="C7" s="1290"/>
      <c r="D7" s="1291"/>
      <c r="E7" s="1291"/>
      <c r="F7" s="1291"/>
    </row>
    <row r="8" spans="1:8">
      <c r="A8" s="659"/>
      <c r="B8" s="720"/>
      <c r="C8" s="720"/>
      <c r="D8" s="720"/>
      <c r="E8" s="720"/>
    </row>
    <row r="9" spans="1:8" ht="12.6" customHeight="1">
      <c r="A9" s="86" t="s">
        <v>460</v>
      </c>
      <c r="B9" s="27"/>
      <c r="C9" s="27"/>
      <c r="D9" s="27"/>
      <c r="E9" s="690"/>
    </row>
    <row r="10" spans="1:8" ht="12.6" customHeight="1">
      <c r="A10" s="632" t="str">
        <f>'Tab 2-Receivables'!A10</f>
        <v>For the Year Ended June 30, 2024</v>
      </c>
      <c r="B10" s="27"/>
      <c r="C10" s="27"/>
      <c r="D10" s="27"/>
      <c r="E10" s="772"/>
    </row>
    <row r="11" spans="1:8" ht="12.6" customHeight="1">
      <c r="A11" s="666"/>
      <c r="B11" s="17"/>
      <c r="C11" s="17"/>
      <c r="D11" s="17"/>
      <c r="E11" s="664"/>
    </row>
    <row r="12" spans="1:8" ht="12.75" hidden="1" customHeight="1">
      <c r="A12" s="11" t="s">
        <v>260</v>
      </c>
    </row>
    <row r="13" spans="1:8" ht="12.75" hidden="1" customHeight="1">
      <c r="A13" s="11" t="s">
        <v>261</v>
      </c>
    </row>
    <row r="16" spans="1:8" ht="135" customHeight="1">
      <c r="A16" s="447" t="s">
        <v>751</v>
      </c>
      <c r="B16" s="773">
        <v>1</v>
      </c>
      <c r="C16" s="1297" t="s">
        <v>3911</v>
      </c>
      <c r="D16" s="1297"/>
      <c r="E16" s="1297"/>
      <c r="F16" s="1297"/>
      <c r="G16" s="1297"/>
      <c r="H16" s="1297"/>
    </row>
    <row r="17" spans="1:8" ht="56.25" customHeight="1">
      <c r="A17" s="774"/>
      <c r="B17" s="774"/>
      <c r="C17" s="1298" t="str">
        <f>IF(A16="Yes","Answer Required","N/A")</f>
        <v>N/A</v>
      </c>
      <c r="D17" s="1298"/>
      <c r="E17" s="1298"/>
      <c r="F17" s="1298"/>
      <c r="G17" s="1298"/>
      <c r="H17" s="1298"/>
    </row>
    <row r="19" spans="1:8">
      <c r="A19" s="13"/>
    </row>
    <row r="20" spans="1:8" ht="135" customHeight="1">
      <c r="A20" s="447" t="s">
        <v>751</v>
      </c>
      <c r="B20" s="773">
        <v>2</v>
      </c>
      <c r="C20" s="1297" t="s">
        <v>3912</v>
      </c>
      <c r="D20" s="1297"/>
      <c r="E20" s="1297"/>
      <c r="F20" s="1297"/>
      <c r="G20" s="1297"/>
      <c r="H20" s="1297"/>
    </row>
    <row r="21" spans="1:8" ht="56.25" customHeight="1">
      <c r="A21" s="774"/>
      <c r="B21" s="774"/>
      <c r="C21" s="1298" t="str">
        <f>IF(A20="Yes","Answer Required","N/A")</f>
        <v>N/A</v>
      </c>
      <c r="D21" s="1298"/>
      <c r="E21" s="1298"/>
      <c r="F21" s="1298"/>
      <c r="G21" s="1298"/>
      <c r="H21" s="1298"/>
    </row>
    <row r="22" spans="1:8" ht="32.25" customHeight="1"/>
    <row r="23" spans="1:8">
      <c r="A23" s="1299"/>
      <c r="B23" s="1299"/>
      <c r="C23" s="1299"/>
      <c r="D23" s="1299"/>
      <c r="E23" s="1299"/>
    </row>
    <row r="24" spans="1:8" ht="114.6" customHeight="1">
      <c r="A24" s="447" t="s">
        <v>751</v>
      </c>
      <c r="B24" s="773">
        <v>3</v>
      </c>
      <c r="C24" s="1297" t="s">
        <v>3913</v>
      </c>
      <c r="D24" s="1297"/>
      <c r="E24" s="1297"/>
      <c r="F24" s="1297"/>
      <c r="G24" s="1297"/>
      <c r="H24" s="1297"/>
    </row>
    <row r="25" spans="1:8" ht="60.75" customHeight="1">
      <c r="A25" s="748"/>
      <c r="B25" s="775"/>
      <c r="C25" s="1298" t="str">
        <f>IF(A24="Yes","Answer Required","N/A")</f>
        <v>N/A</v>
      </c>
      <c r="D25" s="1298"/>
      <c r="E25" s="1298"/>
      <c r="F25" s="1298"/>
      <c r="G25" s="1298"/>
      <c r="H25" s="1298"/>
    </row>
    <row r="27" spans="1:8" ht="143.4" customHeight="1">
      <c r="A27" s="447" t="s">
        <v>751</v>
      </c>
      <c r="B27" s="773">
        <v>4</v>
      </c>
      <c r="C27" s="1297" t="s">
        <v>3914</v>
      </c>
      <c r="D27" s="1297"/>
      <c r="E27" s="1297"/>
      <c r="F27" s="1297"/>
      <c r="G27" s="1297"/>
      <c r="H27" s="1297"/>
    </row>
    <row r="28" spans="1:8" ht="56.25" customHeight="1">
      <c r="A28" s="774"/>
      <c r="B28" s="774"/>
      <c r="C28" s="1298" t="str">
        <f>IF(A27="Yes","Answer Required","N/A")</f>
        <v>N/A</v>
      </c>
      <c r="D28" s="1298"/>
      <c r="E28" s="1298"/>
      <c r="F28" s="1298"/>
      <c r="G28" s="1298"/>
      <c r="H28" s="1298"/>
    </row>
    <row r="29" spans="1:8" ht="32.25" customHeight="1"/>
    <row r="30" spans="1:8">
      <c r="A30" s="1299"/>
      <c r="B30" s="1299"/>
      <c r="C30" s="1299"/>
      <c r="D30" s="1299"/>
      <c r="E30" s="1299"/>
    </row>
    <row r="31" spans="1:8" ht="129" customHeight="1">
      <c r="A31" s="447" t="s">
        <v>751</v>
      </c>
      <c r="B31" s="773">
        <v>5</v>
      </c>
      <c r="C31" s="1297" t="s">
        <v>3915</v>
      </c>
      <c r="D31" s="1297"/>
      <c r="E31" s="1297"/>
      <c r="F31" s="1297"/>
      <c r="G31" s="1297"/>
      <c r="H31" s="1297"/>
    </row>
    <row r="32" spans="1:8" ht="60.75" customHeight="1">
      <c r="A32" s="748"/>
      <c r="B32" s="775"/>
      <c r="C32" s="1298" t="str">
        <f>IF(A31="Yes","Answer Required","N/A")</f>
        <v>N/A</v>
      </c>
      <c r="D32" s="1298"/>
      <c r="E32" s="1298"/>
      <c r="F32" s="1298"/>
      <c r="G32" s="1298"/>
      <c r="H32" s="1298"/>
    </row>
    <row r="38" spans="1:1" hidden="1">
      <c r="A38" s="11" t="s">
        <v>260</v>
      </c>
    </row>
    <row r="39" spans="1:1" hidden="1">
      <c r="A39" s="11" t="s">
        <v>261</v>
      </c>
    </row>
  </sheetData>
  <sheetProtection algorithmName="SHA-512" hashValue="Kp8OLbo4OWld9YxK8VFLwgv1R23iqcgZQW7lw5uSqs1Gkjg7Ai52nHHH4tnvnycK2pCP7XPEC7qouWvzbNIftw==" saltValue="63bv5lW2A6MRFEXf6mUpew==" spinCount="100000" sheet="1" objects="1" scenarios="1"/>
  <customSheetViews>
    <customSheetView guid="{5CCA66B6-9DBD-4F43-8EC0-0C18444D6068}" scale="75" showGridLines="0" hiddenRows="1" showRuler="0">
      <selection activeCell="A42" sqref="A42"/>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19">
    <mergeCell ref="C27:H27"/>
    <mergeCell ref="C28:H28"/>
    <mergeCell ref="A30:E30"/>
    <mergeCell ref="C31:H31"/>
    <mergeCell ref="C32:H32"/>
    <mergeCell ref="C16:H16"/>
    <mergeCell ref="C25:H25"/>
    <mergeCell ref="B1:F1"/>
    <mergeCell ref="B2:F2"/>
    <mergeCell ref="B7:F7"/>
    <mergeCell ref="B3:F3"/>
    <mergeCell ref="B4:F4"/>
    <mergeCell ref="B5:F5"/>
    <mergeCell ref="B6:F6"/>
    <mergeCell ref="C17:H17"/>
    <mergeCell ref="C20:H20"/>
    <mergeCell ref="C21:H21"/>
    <mergeCell ref="A23:E23"/>
    <mergeCell ref="C24:H24"/>
  </mergeCells>
  <phoneticPr fontId="46" type="noConversion"/>
  <conditionalFormatting sqref="A16">
    <cfRule type="cellIs" dxfId="104" priority="27" operator="equal">
      <formula>"Error"</formula>
    </cfRule>
  </conditionalFormatting>
  <conditionalFormatting sqref="A16:A17">
    <cfRule type="cellIs" dxfId="103" priority="26" operator="equal">
      <formula>"Answer Required"</formula>
    </cfRule>
  </conditionalFormatting>
  <conditionalFormatting sqref="A20">
    <cfRule type="cellIs" dxfId="102" priority="10" operator="equal">
      <formula>"Error"</formula>
    </cfRule>
  </conditionalFormatting>
  <conditionalFormatting sqref="A20:A21">
    <cfRule type="cellIs" dxfId="101" priority="9" operator="equal">
      <formula>"Answer Required"</formula>
    </cfRule>
  </conditionalFormatting>
  <conditionalFormatting sqref="A24">
    <cfRule type="cellIs" dxfId="100" priority="7" operator="equal">
      <formula>"Answer Required"</formula>
    </cfRule>
    <cfRule type="cellIs" dxfId="99" priority="8" operator="equal">
      <formula>"Error"</formula>
    </cfRule>
  </conditionalFormatting>
  <conditionalFormatting sqref="A27">
    <cfRule type="cellIs" dxfId="98" priority="4" operator="equal">
      <formula>"Error"</formula>
    </cfRule>
  </conditionalFormatting>
  <conditionalFormatting sqref="A27:A28">
    <cfRule type="cellIs" dxfId="97" priority="3" operator="equal">
      <formula>"Answer Required"</formula>
    </cfRule>
  </conditionalFormatting>
  <conditionalFormatting sqref="A31">
    <cfRule type="cellIs" dxfId="96" priority="1" operator="equal">
      <formula>"Answer Required"</formula>
    </cfRule>
    <cfRule type="cellIs" dxfId="95" priority="2" operator="equal">
      <formula>"Error"</formula>
    </cfRule>
  </conditionalFormatting>
  <conditionalFormatting sqref="C17">
    <cfRule type="cellIs" dxfId="94" priority="28" operator="equal">
      <formula>"Answer Required"</formula>
    </cfRule>
  </conditionalFormatting>
  <conditionalFormatting sqref="C21">
    <cfRule type="cellIs" dxfId="93" priority="30" operator="equal">
      <formula>"Answer Required"</formula>
    </cfRule>
  </conditionalFormatting>
  <conditionalFormatting sqref="C25">
    <cfRule type="cellIs" dxfId="92" priority="32" operator="equal">
      <formula>"Answer Required"</formula>
    </cfRule>
  </conditionalFormatting>
  <conditionalFormatting sqref="C28">
    <cfRule type="cellIs" dxfId="91" priority="15" operator="equal">
      <formula>"Answer Required"</formula>
    </cfRule>
  </conditionalFormatting>
  <conditionalFormatting sqref="C32">
    <cfRule type="cellIs" dxfId="90" priority="17" operator="equal">
      <formula>"Answer Required"</formula>
    </cfRule>
  </conditionalFormatting>
  <dataValidations xWindow="312" yWindow="303" count="1">
    <dataValidation type="list" allowBlank="1" showInputMessage="1" showErrorMessage="1" error="Please use the drop-down to select Yes or No." sqref="A16 A20 A27 A24 A31" xr:uid="{1B5B82F8-D07F-4151-AF49-8666583B1403}">
      <formula1>$A$38:$A$39</formula1>
    </dataValidation>
  </dataValidations>
  <pageMargins left="0.75" right="0.25" top="0.69" bottom="0.37" header="0.19" footer="0.17"/>
  <pageSetup scale="72"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1" manualBreakCount="1">
    <brk id="25" max="8" man="1"/>
  </rowBreak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autoPageBreaks="0"/>
  </sheetPr>
  <dimension ref="A1:T353"/>
  <sheetViews>
    <sheetView showGridLines="0" zoomScale="90" zoomScaleNormal="90" zoomScaleSheetLayoutView="85" workbookViewId="0">
      <selection activeCell="C3" sqref="C3"/>
    </sheetView>
  </sheetViews>
  <sheetFormatPr defaultColWidth="9.109375" defaultRowHeight="13.8"/>
  <cols>
    <col min="1" max="1" width="21.6640625" style="178" customWidth="1"/>
    <col min="2" max="2" width="17.88671875" style="789" customWidth="1"/>
    <col min="3" max="3" width="110.33203125" style="790" customWidth="1"/>
    <col min="4" max="4" width="5.88671875" style="178" customWidth="1"/>
    <col min="5" max="5" width="6.33203125" style="178" customWidth="1"/>
    <col min="6" max="9" width="9.109375" style="178" hidden="1" customWidth="1"/>
    <col min="10" max="10" width="1.88671875" style="178" customWidth="1"/>
    <col min="11" max="12" width="9.109375" style="178" customWidth="1"/>
    <col min="13" max="13" width="9.109375" style="178" hidden="1" customWidth="1"/>
    <col min="14" max="21" width="0" style="178" hidden="1" customWidth="1"/>
    <col min="22" max="16384" width="9.109375" style="178"/>
  </cols>
  <sheetData>
    <row r="1" spans="1:9">
      <c r="A1" s="1327" t="str">
        <f>'Internal Service Template'!A1:D1</f>
        <v>Agency Number:</v>
      </c>
      <c r="B1" s="1328"/>
      <c r="C1" s="777" t="str">
        <f>'Internal Service Template'!E1</f>
        <v/>
      </c>
      <c r="D1" s="778"/>
      <c r="E1" s="779"/>
      <c r="F1" s="779"/>
      <c r="G1" s="178" t="s">
        <v>263</v>
      </c>
      <c r="H1" s="178" t="s">
        <v>584</v>
      </c>
      <c r="I1" s="780" t="s">
        <v>260</v>
      </c>
    </row>
    <row r="2" spans="1:9">
      <c r="A2" s="1327" t="str">
        <f>'Internal Service Template'!A2:D2</f>
        <v>Agency Fund Name:</v>
      </c>
      <c r="B2" s="1328"/>
      <c r="C2" s="777" t="str">
        <f>IF('Internal Service Template'!E2="","",'Internal Service Template'!E2)</f>
        <v/>
      </c>
      <c r="D2" s="778"/>
      <c r="E2" s="779"/>
      <c r="F2" s="779"/>
      <c r="G2" s="178" t="s">
        <v>264</v>
      </c>
      <c r="H2" s="178" t="s">
        <v>572</v>
      </c>
      <c r="I2" s="780" t="s">
        <v>261</v>
      </c>
    </row>
    <row r="3" spans="1:9" ht="15" customHeight="1">
      <c r="A3" s="1327" t="str">
        <f>'Internal Service Template'!A3:D3</f>
        <v>Agency Contact Name:</v>
      </c>
      <c r="B3" s="1328"/>
      <c r="C3" s="181" t="str">
        <f>IF('Internal Service Template'!E3="","",'Internal Service Template'!E3)</f>
        <v/>
      </c>
      <c r="D3" s="778"/>
      <c r="E3" s="779"/>
      <c r="F3" s="779"/>
      <c r="G3" s="178" t="s">
        <v>572</v>
      </c>
      <c r="H3" s="178" t="s">
        <v>573</v>
      </c>
      <c r="I3" s="780" t="s">
        <v>262</v>
      </c>
    </row>
    <row r="4" spans="1:9">
      <c r="A4" s="1327" t="str">
        <f>'Internal Service Template'!A4:D4</f>
        <v>Agency Contact Phone Number:</v>
      </c>
      <c r="B4" s="1328"/>
      <c r="C4" s="182" t="str">
        <f>IF('Internal Service Template'!E4="","",'Internal Service Template'!E4)</f>
        <v/>
      </c>
      <c r="D4" s="778"/>
      <c r="E4" s="779"/>
      <c r="F4" s="779"/>
      <c r="G4" s="178" t="s">
        <v>265</v>
      </c>
      <c r="H4" s="178" t="s">
        <v>574</v>
      </c>
    </row>
    <row r="5" spans="1:9">
      <c r="A5" s="1327" t="str">
        <f>'Internal Service Template'!A5:D5</f>
        <v>Agency Contact E-mail Address:</v>
      </c>
      <c r="B5" s="1328"/>
      <c r="C5" s="183" t="str">
        <f>IF('Internal Service Template'!E5="","",'Internal Service Template'!E5)</f>
        <v/>
      </c>
      <c r="D5" s="778"/>
      <c r="E5" s="779"/>
      <c r="F5" s="779"/>
      <c r="G5" s="779" t="s">
        <v>262</v>
      </c>
      <c r="H5" s="178" t="s">
        <v>262</v>
      </c>
    </row>
    <row r="6" spans="1:9">
      <c r="A6" s="1327" t="str">
        <f>'Internal Service Template'!A6:D6</f>
        <v>Date Completed:</v>
      </c>
      <c r="B6" s="1328"/>
      <c r="C6" s="191" t="str">
        <f>IF('Internal Service Template'!E6="","",'Internal Service Template'!E6)</f>
        <v/>
      </c>
      <c r="D6" s="781"/>
      <c r="E6" s="782"/>
      <c r="F6" s="782"/>
      <c r="G6" s="782"/>
    </row>
    <row r="7" spans="1:9">
      <c r="A7" s="1327" t="str">
        <f>'Internal Service Template'!A7:D7</f>
        <v>Fund Number:</v>
      </c>
      <c r="B7" s="1328"/>
      <c r="C7" s="777" t="str">
        <f>'Internal Service Template'!E7</f>
        <v/>
      </c>
      <c r="D7" s="778"/>
      <c r="E7" s="779"/>
      <c r="F7" s="779"/>
      <c r="G7" s="779"/>
    </row>
    <row r="8" spans="1:9">
      <c r="A8" s="783"/>
      <c r="B8" s="784"/>
      <c r="C8" s="784"/>
      <c r="D8" s="785"/>
      <c r="E8" s="785"/>
    </row>
    <row r="9" spans="1:9">
      <c r="A9" s="98" t="s">
        <v>564</v>
      </c>
      <c r="B9" s="780"/>
      <c r="C9" s="780"/>
      <c r="E9" s="786"/>
    </row>
    <row r="10" spans="1:9">
      <c r="A10" s="787" t="str">
        <f>'Tab 2-Receivables'!A10</f>
        <v>For the Year Ended June 30, 2024</v>
      </c>
      <c r="B10" s="780"/>
      <c r="C10" s="780"/>
      <c r="E10" s="788"/>
    </row>
    <row r="11" spans="1:9" ht="18" customHeight="1"/>
    <row r="12" spans="1:9">
      <c r="A12" s="790"/>
      <c r="B12" s="790"/>
      <c r="C12" s="791" t="s">
        <v>891</v>
      </c>
    </row>
    <row r="13" spans="1:9">
      <c r="B13" s="790"/>
      <c r="C13" s="286" t="s">
        <v>751</v>
      </c>
    </row>
    <row r="14" spans="1:9">
      <c r="A14" s="780" t="s">
        <v>585</v>
      </c>
    </row>
    <row r="15" spans="1:9" ht="46.5" customHeight="1">
      <c r="A15" s="792" t="s">
        <v>575</v>
      </c>
      <c r="B15" s="1319" t="str">
        <f>IF('Internal Service Template'!O$64&lt;&gt;0,"Answer Required","N/A")</f>
        <v>N/A</v>
      </c>
      <c r="C15" s="1320"/>
    </row>
    <row r="16" spans="1:9" ht="45.75" customHeight="1">
      <c r="A16" s="793" t="s">
        <v>583</v>
      </c>
      <c r="B16" s="1319" t="str">
        <f>IF('Internal Service Template'!O$64&lt;&gt;0,"Answer Required","N/A")</f>
        <v>N/A</v>
      </c>
      <c r="C16" s="1320"/>
    </row>
    <row r="17" spans="1:12" ht="27.6">
      <c r="A17" s="794" t="s">
        <v>576</v>
      </c>
      <c r="B17" s="1319" t="str">
        <f>IF('Internal Service Template'!O$64&lt;&gt;0,"Answer Required","N/A")</f>
        <v>N/A</v>
      </c>
      <c r="C17" s="1320"/>
      <c r="J17" s="795"/>
      <c r="K17" s="795"/>
      <c r="L17" s="795"/>
    </row>
    <row r="18" spans="1:12" ht="41.4">
      <c r="A18" s="794" t="s">
        <v>521</v>
      </c>
      <c r="B18" s="1319" t="str">
        <f>IF('Internal Service Template'!O64&lt;&gt;0,"Answer Required","N/A")</f>
        <v>N/A</v>
      </c>
      <c r="C18" s="1320"/>
      <c r="J18" s="795"/>
      <c r="K18" s="795"/>
      <c r="L18" s="795"/>
    </row>
    <row r="19" spans="1:12" ht="69">
      <c r="A19" s="792" t="s">
        <v>305</v>
      </c>
      <c r="B19" s="1319" t="str">
        <f>IF('Internal Service Template'!O$64&lt;&gt;0,"Answer Required","N/A")</f>
        <v>N/A</v>
      </c>
      <c r="C19" s="1320"/>
      <c r="J19" s="795"/>
      <c r="K19" s="795"/>
      <c r="L19" s="795"/>
    </row>
    <row r="20" spans="1:12" ht="41.4">
      <c r="A20" s="793" t="s">
        <v>689</v>
      </c>
      <c r="B20" s="1319" t="str">
        <f>IF('Internal Service Template'!O$64&lt;&gt;0,"Answer Required","N/A")</f>
        <v>N/A</v>
      </c>
      <c r="C20" s="1320"/>
      <c r="J20" s="795"/>
      <c r="K20" s="795"/>
      <c r="L20" s="795"/>
    </row>
    <row r="21" spans="1:12">
      <c r="A21" s="780"/>
      <c r="B21" s="796"/>
      <c r="C21" s="796"/>
    </row>
    <row r="22" spans="1:12" ht="59.25" customHeight="1">
      <c r="A22" s="1317" t="s">
        <v>2719</v>
      </c>
      <c r="B22" s="1318"/>
      <c r="C22" s="1318"/>
    </row>
    <row r="23" spans="1:12">
      <c r="A23" s="780"/>
      <c r="C23" s="797"/>
    </row>
    <row r="24" spans="1:12">
      <c r="A24" s="798" t="s">
        <v>638</v>
      </c>
    </row>
    <row r="25" spans="1:12" ht="29.25" customHeight="1">
      <c r="A25" s="272" t="s">
        <v>751</v>
      </c>
      <c r="B25" s="773" t="s">
        <v>815</v>
      </c>
      <c r="C25" s="800" t="s">
        <v>444</v>
      </c>
    </row>
    <row r="26" spans="1:12" ht="27.6">
      <c r="B26" s="801"/>
      <c r="C26" s="802" t="s">
        <v>639</v>
      </c>
    </row>
    <row r="27" spans="1:12">
      <c r="B27" s="790"/>
      <c r="C27" s="184" t="str">
        <f>IF(A25="yes","Answer Required","N/A")</f>
        <v>N/A</v>
      </c>
    </row>
    <row r="29" spans="1:12" ht="33.75" customHeight="1">
      <c r="A29" s="272" t="s">
        <v>751</v>
      </c>
      <c r="B29" s="773" t="s">
        <v>486</v>
      </c>
      <c r="C29" s="800" t="s">
        <v>3916</v>
      </c>
    </row>
    <row r="30" spans="1:12" ht="27.6">
      <c r="C30" s="802" t="s">
        <v>785</v>
      </c>
    </row>
    <row r="31" spans="1:12">
      <c r="B31" s="790"/>
      <c r="C31" s="184" t="str">
        <f>IF(A29="yes","Answer Required","N/A")</f>
        <v>N/A</v>
      </c>
    </row>
    <row r="33" spans="1:3">
      <c r="A33" s="798" t="s">
        <v>380</v>
      </c>
    </row>
    <row r="34" spans="1:3" ht="50.25" customHeight="1">
      <c r="A34" s="272" t="s">
        <v>751</v>
      </c>
      <c r="B34" s="773">
        <v>2</v>
      </c>
      <c r="C34" s="803" t="s">
        <v>39</v>
      </c>
    </row>
    <row r="35" spans="1:3" ht="27.6">
      <c r="C35" s="802" t="s">
        <v>639</v>
      </c>
    </row>
    <row r="36" spans="1:3">
      <c r="B36" s="790"/>
      <c r="C36" s="184" t="str">
        <f>IF(A34="yes","Answer Required","N/A")</f>
        <v>N/A</v>
      </c>
    </row>
    <row r="37" spans="1:3" ht="12.75" customHeight="1">
      <c r="B37" s="790"/>
    </row>
    <row r="38" spans="1:3">
      <c r="A38" s="178" t="s">
        <v>172</v>
      </c>
    </row>
    <row r="39" spans="1:3">
      <c r="A39" s="272" t="s">
        <v>751</v>
      </c>
      <c r="B39" s="804">
        <v>3</v>
      </c>
      <c r="C39" s="802" t="s">
        <v>171</v>
      </c>
    </row>
    <row r="40" spans="1:3" ht="27.6">
      <c r="C40" s="802" t="s">
        <v>639</v>
      </c>
    </row>
    <row r="41" spans="1:3">
      <c r="B41" s="790"/>
      <c r="C41" s="184" t="str">
        <f>IF(A39="yes","Answer Required","N/A")</f>
        <v>N/A</v>
      </c>
    </row>
    <row r="42" spans="1:3" ht="16.5" customHeight="1"/>
    <row r="43" spans="1:3">
      <c r="A43" s="178" t="s">
        <v>173</v>
      </c>
    </row>
    <row r="44" spans="1:3" ht="99.75" customHeight="1">
      <c r="A44" s="1321" t="s">
        <v>3917</v>
      </c>
      <c r="B44" s="1322"/>
      <c r="C44" s="1323"/>
    </row>
    <row r="45" spans="1:3" ht="21.75" customHeight="1">
      <c r="A45" s="272" t="s">
        <v>751</v>
      </c>
      <c r="B45" s="805">
        <v>4</v>
      </c>
      <c r="C45" s="802" t="s">
        <v>445</v>
      </c>
    </row>
    <row r="46" spans="1:3" ht="27.6">
      <c r="C46" s="802" t="s">
        <v>639</v>
      </c>
    </row>
    <row r="47" spans="1:3">
      <c r="B47" s="790"/>
      <c r="C47" s="437" t="str">
        <f>IF(A45="yes","Answer Required","N/A")</f>
        <v>N/A</v>
      </c>
    </row>
    <row r="49" spans="1:3" ht="9" hidden="1" customHeight="1"/>
    <row r="50" spans="1:3">
      <c r="A50" s="798" t="s">
        <v>376</v>
      </c>
    </row>
    <row r="51" spans="1:3" ht="142.5" customHeight="1">
      <c r="A51" s="272" t="s">
        <v>751</v>
      </c>
      <c r="B51" s="773">
        <v>5</v>
      </c>
      <c r="C51" s="802" t="s">
        <v>2599</v>
      </c>
    </row>
    <row r="52" spans="1:3" ht="58.5" customHeight="1">
      <c r="B52" s="801"/>
      <c r="C52" s="802" t="s">
        <v>786</v>
      </c>
    </row>
    <row r="53" spans="1:3">
      <c r="C53" s="802" t="s">
        <v>440</v>
      </c>
    </row>
    <row r="54" spans="1:3">
      <c r="C54" s="184" t="str">
        <f>IF(A51="yes","Answer Required","N/A")</f>
        <v>N/A</v>
      </c>
    </row>
    <row r="55" spans="1:3">
      <c r="A55" s="1324" t="s">
        <v>441</v>
      </c>
      <c r="B55" s="1325"/>
      <c r="C55" s="806" t="s">
        <v>442</v>
      </c>
    </row>
    <row r="56" spans="1:3" ht="31.5" customHeight="1">
      <c r="A56" s="1324" t="s">
        <v>257</v>
      </c>
      <c r="B56" s="1325"/>
      <c r="C56" s="226"/>
    </row>
    <row r="57" spans="1:3">
      <c r="A57" s="1324" t="s">
        <v>443</v>
      </c>
      <c r="B57" s="1325"/>
      <c r="C57" s="226"/>
    </row>
    <row r="59" spans="1:3">
      <c r="A59" s="178" t="s">
        <v>301</v>
      </c>
    </row>
    <row r="60" spans="1:3" ht="33" customHeight="1">
      <c r="A60" s="272" t="s">
        <v>751</v>
      </c>
      <c r="B60" s="773">
        <v>6</v>
      </c>
      <c r="C60" s="802" t="s">
        <v>787</v>
      </c>
    </row>
    <row r="61" spans="1:3" ht="76.5" customHeight="1">
      <c r="A61" s="807"/>
      <c r="B61" s="272" t="str">
        <f>IF($A$60="Yes","Answer Required","N/A")</f>
        <v>N/A</v>
      </c>
      <c r="C61" s="802" t="s">
        <v>377</v>
      </c>
    </row>
    <row r="62" spans="1:3">
      <c r="C62" s="184" t="str">
        <f>IF(B61="no","Answer Required","N/A")</f>
        <v>N/A</v>
      </c>
    </row>
    <row r="64" spans="1:3">
      <c r="A64" s="798" t="s">
        <v>378</v>
      </c>
    </row>
    <row r="65" spans="1:3" ht="78" customHeight="1">
      <c r="A65" s="272" t="s">
        <v>751</v>
      </c>
      <c r="B65" s="773" t="s">
        <v>873</v>
      </c>
      <c r="C65" s="808" t="s">
        <v>3918</v>
      </c>
    </row>
    <row r="66" spans="1:3">
      <c r="C66" s="808" t="s">
        <v>803</v>
      </c>
    </row>
    <row r="67" spans="1:3">
      <c r="A67" s="1313" t="s">
        <v>802</v>
      </c>
      <c r="B67" s="1314"/>
      <c r="C67" s="272" t="str">
        <f t="shared" ref="C67:C74" si="0">IF($A$65="Yes","Answer Required","N/A")</f>
        <v>N/A</v>
      </c>
    </row>
    <row r="68" spans="1:3">
      <c r="A68" s="809"/>
      <c r="B68" s="810" t="s">
        <v>3919</v>
      </c>
      <c r="C68" s="279" t="str">
        <f t="shared" si="0"/>
        <v>N/A</v>
      </c>
    </row>
    <row r="69" spans="1:3" hidden="1">
      <c r="A69" s="776"/>
      <c r="B69" s="811"/>
      <c r="C69" s="277"/>
    </row>
    <row r="70" spans="1:3" hidden="1">
      <c r="A70" s="1326"/>
      <c r="B70" s="1326"/>
      <c r="C70" s="277"/>
    </row>
    <row r="71" spans="1:3">
      <c r="A71" s="776"/>
      <c r="B71" s="812" t="s">
        <v>799</v>
      </c>
      <c r="C71" s="277" t="str">
        <f t="shared" si="0"/>
        <v>N/A</v>
      </c>
    </row>
    <row r="72" spans="1:3">
      <c r="A72" s="776"/>
      <c r="B72" s="812" t="s">
        <v>800</v>
      </c>
      <c r="C72" s="272" t="str">
        <f t="shared" si="0"/>
        <v>N/A</v>
      </c>
    </row>
    <row r="73" spans="1:3" ht="34.5" customHeight="1">
      <c r="A73" s="1315" t="s">
        <v>804</v>
      </c>
      <c r="B73" s="1316"/>
      <c r="C73" s="272" t="str">
        <f t="shared" si="0"/>
        <v>N/A</v>
      </c>
    </row>
    <row r="74" spans="1:3" ht="36.75" customHeight="1">
      <c r="A74" s="1310" t="s">
        <v>801</v>
      </c>
      <c r="B74" s="1310"/>
      <c r="C74" s="282" t="str">
        <f t="shared" si="0"/>
        <v>N/A</v>
      </c>
    </row>
    <row r="75" spans="1:3">
      <c r="C75" s="813"/>
    </row>
    <row r="76" spans="1:3" s="11" customFormat="1" ht="162" customHeight="1">
      <c r="A76" s="272" t="s">
        <v>751</v>
      </c>
      <c r="B76" s="773" t="s">
        <v>2606</v>
      </c>
      <c r="C76" s="814" t="s">
        <v>872</v>
      </c>
    </row>
    <row r="77" spans="1:3" s="11" customFormat="1" ht="36.75" customHeight="1">
      <c r="A77" s="774"/>
      <c r="B77" s="774"/>
      <c r="C77" s="252" t="str">
        <f>IF($A$76="Yes","Answer Required","N/A")</f>
        <v>N/A</v>
      </c>
    </row>
    <row r="78" spans="1:3">
      <c r="C78" s="816"/>
    </row>
    <row r="79" spans="1:3">
      <c r="A79" s="178" t="s">
        <v>195</v>
      </c>
    </row>
    <row r="80" spans="1:3" ht="21.75" customHeight="1">
      <c r="A80" s="272" t="s">
        <v>751</v>
      </c>
      <c r="B80" s="773">
        <v>8</v>
      </c>
      <c r="C80" s="802" t="s">
        <v>3447</v>
      </c>
    </row>
    <row r="81" spans="1:14" ht="27.6">
      <c r="C81" s="802" t="s">
        <v>483</v>
      </c>
    </row>
    <row r="82" spans="1:14">
      <c r="C82" s="184" t="str">
        <f>IF(A80="yes","Answer Required","N/A")</f>
        <v>N/A</v>
      </c>
    </row>
    <row r="84" spans="1:14" hidden="1"/>
    <row r="85" spans="1:14">
      <c r="A85" s="178" t="s">
        <v>491</v>
      </c>
    </row>
    <row r="86" spans="1:14" ht="20.25" customHeight="1">
      <c r="A86" s="817" t="str">
        <f>IF((SUM('Internal Service Template'!O65))&gt;0,"Yes","No")</f>
        <v>No</v>
      </c>
      <c r="B86" s="773">
        <v>9</v>
      </c>
      <c r="C86" s="802" t="s">
        <v>721</v>
      </c>
    </row>
    <row r="87" spans="1:14" ht="27.6">
      <c r="A87" s="818"/>
      <c r="B87" s="801"/>
      <c r="C87" s="802" t="s">
        <v>484</v>
      </c>
    </row>
    <row r="88" spans="1:14">
      <c r="B88" s="819" t="s">
        <v>442</v>
      </c>
      <c r="C88" s="819" t="s">
        <v>828</v>
      </c>
      <c r="N88" s="178" t="s">
        <v>808</v>
      </c>
    </row>
    <row r="89" spans="1:14">
      <c r="A89" s="820"/>
      <c r="B89" s="185"/>
      <c r="C89" s="186"/>
      <c r="N89" s="178" t="s">
        <v>2720</v>
      </c>
    </row>
    <row r="90" spans="1:14">
      <c r="A90" s="820"/>
      <c r="B90" s="185"/>
      <c r="C90" s="186"/>
      <c r="N90" s="178" t="s">
        <v>810</v>
      </c>
    </row>
    <row r="91" spans="1:14">
      <c r="A91" s="820"/>
      <c r="B91" s="185"/>
      <c r="C91" s="186"/>
      <c r="N91" s="178" t="s">
        <v>2865</v>
      </c>
    </row>
    <row r="92" spans="1:14">
      <c r="A92" s="820"/>
      <c r="B92" s="185"/>
      <c r="C92" s="186"/>
      <c r="N92" s="178" t="s">
        <v>360</v>
      </c>
    </row>
    <row r="93" spans="1:14">
      <c r="A93" s="820"/>
      <c r="B93" s="185"/>
      <c r="C93" s="186"/>
      <c r="N93" s="178" t="s">
        <v>737</v>
      </c>
    </row>
    <row r="94" spans="1:14">
      <c r="A94" s="820"/>
      <c r="B94" s="185"/>
      <c r="C94" s="186"/>
      <c r="N94" s="178" t="s">
        <v>379</v>
      </c>
    </row>
    <row r="95" spans="1:14">
      <c r="A95" s="820"/>
      <c r="B95" s="185"/>
      <c r="C95" s="186"/>
      <c r="N95" s="178" t="s">
        <v>809</v>
      </c>
    </row>
    <row r="96" spans="1:14">
      <c r="A96" s="820"/>
      <c r="B96" s="821"/>
      <c r="C96" s="819" t="s">
        <v>827</v>
      </c>
      <c r="N96" s="178" t="s">
        <v>362</v>
      </c>
    </row>
    <row r="97" spans="1:20">
      <c r="A97" s="820"/>
      <c r="B97" s="185"/>
      <c r="C97" s="184"/>
      <c r="N97" s="178" t="s">
        <v>364</v>
      </c>
    </row>
    <row r="98" spans="1:20">
      <c r="A98" s="820"/>
      <c r="B98" s="185"/>
      <c r="C98" s="184"/>
      <c r="N98" s="178" t="s">
        <v>363</v>
      </c>
    </row>
    <row r="99" spans="1:20">
      <c r="A99" s="820"/>
      <c r="B99" s="185"/>
      <c r="C99" s="184"/>
      <c r="N99" s="178" t="s">
        <v>361</v>
      </c>
    </row>
    <row r="100" spans="1:20" ht="14.4" thickBot="1">
      <c r="A100" s="822" t="s">
        <v>652</v>
      </c>
      <c r="B100" s="187">
        <f>IF(SUM(B89:B99)=SUM('Internal Service Template'!O65),SUM(B89:B99),"ERROR")</f>
        <v>0</v>
      </c>
      <c r="C100" s="188"/>
    </row>
    <row r="101" spans="1:20" ht="14.4" thickTop="1">
      <c r="A101" s="823" t="s">
        <v>146</v>
      </c>
      <c r="B101" s="824">
        <f>(SUM(B89:B99))-'Internal Service Template'!O65</f>
        <v>0</v>
      </c>
    </row>
    <row r="103" spans="1:20" hidden="1"/>
    <row r="104" spans="1:20" hidden="1"/>
    <row r="105" spans="1:20">
      <c r="A105" s="798" t="s">
        <v>485</v>
      </c>
    </row>
    <row r="106" spans="1:20" ht="15.75" customHeight="1">
      <c r="A106" s="1301" t="s">
        <v>482</v>
      </c>
      <c r="B106" s="1302"/>
      <c r="C106" s="1303"/>
    </row>
    <row r="107" spans="1:20" ht="63.75" customHeight="1">
      <c r="A107" s="272" t="s">
        <v>751</v>
      </c>
      <c r="B107" s="773">
        <v>10</v>
      </c>
      <c r="C107" s="825" t="s">
        <v>3244</v>
      </c>
      <c r="K107" s="11"/>
      <c r="Q107" s="826"/>
      <c r="R107" s="826"/>
      <c r="S107" s="826"/>
      <c r="T107" s="826"/>
    </row>
    <row r="108" spans="1:20" s="826" customFormat="1" hidden="1">
      <c r="A108" s="827"/>
      <c r="B108" s="828"/>
      <c r="C108" s="829" t="str">
        <f>IF(A107="yes","Answer Required","N/A")</f>
        <v>N/A</v>
      </c>
      <c r="N108" s="178"/>
      <c r="Q108" s="178"/>
      <c r="R108" s="178"/>
      <c r="S108" s="178"/>
      <c r="T108" s="178"/>
    </row>
    <row r="109" spans="1:20" ht="27.6">
      <c r="A109" s="830"/>
      <c r="B109" s="831"/>
      <c r="C109" s="832" t="s">
        <v>66</v>
      </c>
    </row>
    <row r="110" spans="1:20" ht="32.25" customHeight="1">
      <c r="A110" s="830"/>
      <c r="B110" s="831"/>
      <c r="C110" s="833" t="s">
        <v>691</v>
      </c>
      <c r="N110" s="826"/>
    </row>
    <row r="111" spans="1:20" ht="33" customHeight="1">
      <c r="A111" s="830"/>
      <c r="B111" s="831"/>
      <c r="C111" s="833" t="s">
        <v>577</v>
      </c>
    </row>
    <row r="112" spans="1:20" ht="31.5" customHeight="1">
      <c r="A112" s="830"/>
      <c r="B112" s="831"/>
      <c r="C112" s="833" t="s">
        <v>246</v>
      </c>
    </row>
    <row r="113" spans="1:20">
      <c r="A113" s="830"/>
      <c r="B113" s="831"/>
      <c r="C113" s="833" t="s">
        <v>523</v>
      </c>
    </row>
    <row r="114" spans="1:20" ht="78.75" customHeight="1">
      <c r="A114" s="830"/>
      <c r="B114" s="831"/>
      <c r="C114" s="834" t="s">
        <v>256</v>
      </c>
      <c r="Q114" s="826"/>
      <c r="R114" s="826"/>
      <c r="S114" s="826"/>
      <c r="T114" s="826"/>
    </row>
    <row r="115" spans="1:20" s="826" customFormat="1" ht="93.75" hidden="1" customHeight="1">
      <c r="A115" s="835" t="str">
        <f>IF($A$107="Yes", "Answer Required","N/A")</f>
        <v>N/A</v>
      </c>
      <c r="B115" s="836" t="s">
        <v>348</v>
      </c>
      <c r="C115" s="837" t="s">
        <v>2668</v>
      </c>
      <c r="N115" s="178"/>
    </row>
    <row r="116" spans="1:20" s="826" customFormat="1" ht="51.75" hidden="1" customHeight="1">
      <c r="A116" s="835" t="str">
        <f>IF($A$115="Yes", "Answer Required","N/A")</f>
        <v>N/A</v>
      </c>
      <c r="B116" s="836" t="s">
        <v>349</v>
      </c>
      <c r="C116" s="838" t="s">
        <v>2669</v>
      </c>
      <c r="N116" s="178"/>
    </row>
    <row r="117" spans="1:20" s="826" customFormat="1" hidden="1">
      <c r="A117" s="839"/>
      <c r="B117" s="840"/>
      <c r="C117" s="829" t="str">
        <f>IF(A116="no","Answer Required","N/A")</f>
        <v>N/A</v>
      </c>
    </row>
    <row r="118" spans="1:20" s="826" customFormat="1" ht="27.6" hidden="1">
      <c r="A118" s="835" t="str">
        <f>IF($A$107="Yes", "Answer Required","N/A")</f>
        <v>N/A</v>
      </c>
      <c r="B118" s="836" t="s">
        <v>350</v>
      </c>
      <c r="C118" s="837" t="s">
        <v>2670</v>
      </c>
    </row>
    <row r="119" spans="1:20" s="826" customFormat="1" hidden="1">
      <c r="A119" s="841"/>
      <c r="B119" s="842"/>
      <c r="C119" s="829" t="str">
        <f>IF(A118="no","Answer Required","N/A")</f>
        <v>N/A</v>
      </c>
    </row>
    <row r="120" spans="1:20" s="826" customFormat="1" ht="66" hidden="1" customHeight="1">
      <c r="A120" s="835" t="str">
        <f>IF($A$107="Yes", "Answer Required","N/A")</f>
        <v>N/A</v>
      </c>
      <c r="B120" s="836" t="s">
        <v>252</v>
      </c>
      <c r="C120" s="838" t="s">
        <v>2671</v>
      </c>
    </row>
    <row r="121" spans="1:20" s="826" customFormat="1" hidden="1">
      <c r="A121" s="841"/>
      <c r="B121" s="842"/>
      <c r="C121" s="829" t="str">
        <f>IF(A120="yes","Answer Required","N/A")</f>
        <v>N/A</v>
      </c>
    </row>
    <row r="122" spans="1:20" s="826" customFormat="1" ht="67.5" hidden="1" customHeight="1">
      <c r="A122" s="835" t="str">
        <f>IF($A$107="Yes", "Answer Required","N/A")</f>
        <v>N/A</v>
      </c>
      <c r="B122" s="836" t="s">
        <v>253</v>
      </c>
      <c r="C122" s="843" t="s">
        <v>2672</v>
      </c>
    </row>
    <row r="123" spans="1:20" s="826" customFormat="1" hidden="1">
      <c r="A123" s="839"/>
      <c r="B123" s="840"/>
      <c r="C123" s="829" t="str">
        <f>IF(A122="yes","Answer Required","N/A")</f>
        <v>N/A</v>
      </c>
    </row>
    <row r="124" spans="1:20" s="826" customFormat="1" ht="218.25" hidden="1" customHeight="1">
      <c r="A124" s="835" t="str">
        <f>IF($A$107="Yes", "Answer Required","N/A")</f>
        <v>N/A</v>
      </c>
      <c r="B124" s="836" t="s">
        <v>254</v>
      </c>
      <c r="C124" s="838" t="s">
        <v>2673</v>
      </c>
    </row>
    <row r="125" spans="1:20" s="826" customFormat="1" ht="34.5" hidden="1" customHeight="1">
      <c r="A125" s="835" t="str">
        <f>IF($A$107="Yes", "Answer Required","N/A")</f>
        <v>N/A</v>
      </c>
      <c r="B125" s="836" t="s">
        <v>255</v>
      </c>
      <c r="C125" s="838" t="s">
        <v>2674</v>
      </c>
    </row>
    <row r="126" spans="1:20" s="826" customFormat="1" hidden="1">
      <c r="A126" s="841"/>
      <c r="B126" s="842"/>
      <c r="C126" s="829" t="str">
        <f>IF(A125="no","Answer Required","N/A")</f>
        <v>N/A</v>
      </c>
    </row>
    <row r="127" spans="1:20" s="826" customFormat="1" hidden="1">
      <c r="A127" s="839"/>
      <c r="B127" s="844" t="s">
        <v>539</v>
      </c>
      <c r="C127" s="843" t="s">
        <v>2675</v>
      </c>
    </row>
    <row r="128" spans="1:20" s="826" customFormat="1" hidden="1">
      <c r="A128" s="1312" t="s">
        <v>369</v>
      </c>
      <c r="B128" s="1312"/>
      <c r="C128" s="845"/>
    </row>
    <row r="129" spans="1:20" s="826" customFormat="1" ht="18.75" hidden="1" customHeight="1">
      <c r="A129" s="1311" t="s">
        <v>436</v>
      </c>
      <c r="B129" s="1311"/>
      <c r="C129" s="846"/>
    </row>
    <row r="130" spans="1:20" s="826" customFormat="1" ht="63" hidden="1" customHeight="1">
      <c r="A130" s="1311" t="s">
        <v>2676</v>
      </c>
      <c r="B130" s="1311"/>
      <c r="C130" s="846"/>
    </row>
    <row r="131" spans="1:20" s="826" customFormat="1" ht="47.25" hidden="1" customHeight="1">
      <c r="A131" s="1311" t="s">
        <v>347</v>
      </c>
      <c r="B131" s="1311"/>
      <c r="C131" s="847">
        <f>SUM(C129:C130)</f>
        <v>0</v>
      </c>
    </row>
    <row r="132" spans="1:20" s="826" customFormat="1" ht="45" hidden="1" customHeight="1">
      <c r="A132" s="1311" t="s">
        <v>437</v>
      </c>
      <c r="B132" s="1311"/>
      <c r="C132" s="845"/>
    </row>
    <row r="133" spans="1:20" s="826" customFormat="1" ht="35.25" hidden="1" customHeight="1">
      <c r="A133" s="1311" t="s">
        <v>438</v>
      </c>
      <c r="B133" s="1311"/>
      <c r="C133" s="845"/>
    </row>
    <row r="134" spans="1:20" s="826" customFormat="1" ht="46.5" hidden="1" customHeight="1">
      <c r="A134" s="1311" t="s">
        <v>439</v>
      </c>
      <c r="B134" s="1311"/>
      <c r="C134" s="845"/>
      <c r="Q134" s="178"/>
      <c r="R134" s="178"/>
      <c r="S134" s="178"/>
      <c r="T134" s="178"/>
    </row>
    <row r="135" spans="1:20" ht="30" customHeight="1">
      <c r="A135" s="1345" t="s">
        <v>792</v>
      </c>
      <c r="B135" s="1345"/>
      <c r="C135" s="1345"/>
      <c r="N135" s="826"/>
    </row>
    <row r="136" spans="1:20" ht="122.25" customHeight="1">
      <c r="A136" s="1301" t="s">
        <v>3802</v>
      </c>
      <c r="B136" s="1302"/>
      <c r="C136" s="1303"/>
      <c r="N136" s="826"/>
    </row>
    <row r="137" spans="1:20" ht="38.25" customHeight="1">
      <c r="A137" s="272" t="s">
        <v>751</v>
      </c>
      <c r="B137" s="773" t="s">
        <v>692</v>
      </c>
      <c r="C137" s="848" t="s">
        <v>3969</v>
      </c>
    </row>
    <row r="138" spans="1:20" ht="111" customHeight="1">
      <c r="A138" s="272" t="s">
        <v>751</v>
      </c>
      <c r="B138" s="773" t="s">
        <v>693</v>
      </c>
      <c r="C138" s="848" t="s">
        <v>3970</v>
      </c>
    </row>
    <row r="139" spans="1:20">
      <c r="A139" s="849"/>
      <c r="B139" s="850"/>
      <c r="C139" s="184" t="str">
        <f>IF(A138="yes","Answer Required","N/A")</f>
        <v>N/A</v>
      </c>
    </row>
    <row r="140" spans="1:20" ht="34.5" customHeight="1">
      <c r="A140" s="272" t="str">
        <f>IF(A137="yes","Answer Required", "N/A")</f>
        <v>N/A</v>
      </c>
      <c r="B140" s="851" t="s">
        <v>694</v>
      </c>
      <c r="C140" s="825" t="s">
        <v>13</v>
      </c>
    </row>
    <row r="141" spans="1:20">
      <c r="A141" s="849"/>
      <c r="B141" s="852"/>
      <c r="C141" s="434" t="str">
        <f>IF(A140="no","Answer Required","N/A")</f>
        <v>N/A</v>
      </c>
    </row>
    <row r="142" spans="1:20" ht="6.75" customHeight="1"/>
    <row r="143" spans="1:20">
      <c r="A143" s="853" t="s">
        <v>793</v>
      </c>
      <c r="B143" s="854"/>
      <c r="C143" s="854"/>
    </row>
    <row r="144" spans="1:20" ht="126" customHeight="1">
      <c r="A144" s="1329" t="s">
        <v>3971</v>
      </c>
      <c r="B144" s="1330"/>
      <c r="C144" s="1331"/>
    </row>
    <row r="145" spans="1:20" ht="60" hidden="1" customHeight="1">
      <c r="A145" s="1332" t="s">
        <v>3960</v>
      </c>
      <c r="B145" s="1333"/>
      <c r="C145" s="1334"/>
    </row>
    <row r="146" spans="1:20" ht="28.5" hidden="1" customHeight="1">
      <c r="A146" s="1332" t="s">
        <v>3961</v>
      </c>
      <c r="B146" s="1333"/>
      <c r="C146" s="1334"/>
    </row>
    <row r="147" spans="1:20" ht="29.25" hidden="1" customHeight="1">
      <c r="A147" s="1332" t="s">
        <v>3962</v>
      </c>
      <c r="B147" s="1333"/>
      <c r="C147" s="1334"/>
    </row>
    <row r="148" spans="1:20" ht="9" customHeight="1">
      <c r="A148" s="855"/>
      <c r="B148" s="856"/>
      <c r="C148" s="857"/>
    </row>
    <row r="149" spans="1:20" ht="63" customHeight="1">
      <c r="A149" s="272" t="s">
        <v>751</v>
      </c>
      <c r="B149" s="858">
        <v>12</v>
      </c>
      <c r="C149" s="859" t="s">
        <v>3949</v>
      </c>
      <c r="E149" s="11"/>
      <c r="Q149" s="826"/>
      <c r="R149" s="826"/>
      <c r="S149" s="826"/>
      <c r="T149" s="826"/>
    </row>
    <row r="150" spans="1:20" s="826" customFormat="1" ht="63" hidden="1" customHeight="1">
      <c r="A150" s="1349"/>
      <c r="B150" s="1350"/>
      <c r="C150" s="860" t="str">
        <f>IF(A149="yes","Answer Required","N/A")</f>
        <v>N/A</v>
      </c>
      <c r="N150" s="178"/>
      <c r="Q150" s="178"/>
      <c r="R150" s="178"/>
      <c r="S150" s="178"/>
      <c r="T150" s="178"/>
    </row>
    <row r="151" spans="1:20" hidden="1">
      <c r="A151" s="861" t="str">
        <f>IF($A$149="yes","Answer Required","N/A")</f>
        <v>N/A</v>
      </c>
      <c r="B151" s="858" t="s">
        <v>703</v>
      </c>
      <c r="C151" s="862" t="s">
        <v>757</v>
      </c>
    </row>
    <row r="152" spans="1:20" hidden="1">
      <c r="A152" s="861" t="str">
        <f t="shared" ref="A152:A156" si="1">IF($A$149="yes","Answer Required","N/A")</f>
        <v>N/A</v>
      </c>
      <c r="B152" s="858" t="s">
        <v>703</v>
      </c>
      <c r="C152" s="862" t="s">
        <v>758</v>
      </c>
      <c r="N152" s="826"/>
    </row>
    <row r="153" spans="1:20" ht="27.6" hidden="1">
      <c r="A153" s="861" t="str">
        <f t="shared" si="1"/>
        <v>N/A</v>
      </c>
      <c r="B153" s="858" t="s">
        <v>703</v>
      </c>
      <c r="C153" s="862" t="s">
        <v>870</v>
      </c>
    </row>
    <row r="154" spans="1:20" hidden="1">
      <c r="A154" s="861" t="str">
        <f t="shared" si="1"/>
        <v>N/A</v>
      </c>
      <c r="B154" s="858" t="s">
        <v>703</v>
      </c>
      <c r="C154" s="862" t="s">
        <v>759</v>
      </c>
    </row>
    <row r="155" spans="1:20" hidden="1">
      <c r="A155" s="84"/>
      <c r="B155"/>
      <c r="C155" s="863"/>
    </row>
    <row r="156" spans="1:20" ht="41.4" hidden="1">
      <c r="A156" s="861" t="str">
        <f t="shared" si="1"/>
        <v>N/A</v>
      </c>
      <c r="B156" s="858" t="s">
        <v>704</v>
      </c>
      <c r="C156" s="864" t="s">
        <v>2659</v>
      </c>
    </row>
    <row r="157" spans="1:20" hidden="1">
      <c r="A157" s="84"/>
      <c r="B157"/>
      <c r="C157" s="863"/>
    </row>
    <row r="158" spans="1:20" ht="41.4" hidden="1">
      <c r="A158" s="861" t="str">
        <f>IF($A$156="yes","Answer Required","N/A")</f>
        <v>N/A</v>
      </c>
      <c r="B158" s="858" t="s">
        <v>704</v>
      </c>
      <c r="C158" s="864" t="s">
        <v>2660</v>
      </c>
    </row>
    <row r="159" spans="1:20" ht="64.5" hidden="1" customHeight="1">
      <c r="A159" s="861" t="str">
        <f>IF($A$158="yes","Answer Required","N/A")</f>
        <v>N/A</v>
      </c>
      <c r="B159" s="858" t="s">
        <v>704</v>
      </c>
      <c r="C159" s="864" t="s">
        <v>2661</v>
      </c>
    </row>
    <row r="160" spans="1:20" hidden="1">
      <c r="A160" s="84"/>
      <c r="B160"/>
      <c r="C160" s="863"/>
    </row>
    <row r="161" spans="1:3" ht="55.2" hidden="1">
      <c r="A161" s="799" t="s">
        <v>751</v>
      </c>
      <c r="B161" s="858" t="s">
        <v>705</v>
      </c>
      <c r="C161" s="864" t="s">
        <v>2662</v>
      </c>
    </row>
    <row r="162" spans="1:3" hidden="1">
      <c r="A162" s="865"/>
      <c r="B162" s="865"/>
      <c r="C162" s="866" t="s">
        <v>756</v>
      </c>
    </row>
    <row r="163" spans="1:3" hidden="1">
      <c r="A163" s="861" t="str">
        <f>IF($A$161="yes","Answer Required","N/A")</f>
        <v>N/A</v>
      </c>
      <c r="B163" s="858" t="s">
        <v>705</v>
      </c>
      <c r="C163" s="862" t="s">
        <v>788</v>
      </c>
    </row>
    <row r="164" spans="1:3" hidden="1">
      <c r="A164" s="861" t="str">
        <f t="shared" ref="A164:A166" si="2">IF($A$161="yes","Answer Required","N/A")</f>
        <v>N/A</v>
      </c>
      <c r="B164" s="858" t="s">
        <v>705</v>
      </c>
      <c r="C164" s="862" t="s">
        <v>758</v>
      </c>
    </row>
    <row r="165" spans="1:3" ht="27.6" hidden="1">
      <c r="A165" s="861" t="str">
        <f t="shared" si="2"/>
        <v>N/A</v>
      </c>
      <c r="B165" s="858" t="s">
        <v>705</v>
      </c>
      <c r="C165" s="862" t="s">
        <v>870</v>
      </c>
    </row>
    <row r="166" spans="1:3" hidden="1">
      <c r="A166" s="861" t="str">
        <f t="shared" si="2"/>
        <v>N/A</v>
      </c>
      <c r="B166" s="858" t="s">
        <v>705</v>
      </c>
      <c r="C166" s="862" t="s">
        <v>760</v>
      </c>
    </row>
    <row r="167" spans="1:3" hidden="1">
      <c r="A167" s="84"/>
      <c r="B167"/>
      <c r="C167" s="863"/>
    </row>
    <row r="168" spans="1:3" ht="66" hidden="1" customHeight="1">
      <c r="A168" s="861" t="str">
        <f>IF($A$163="yes","Answer Required","N/A")</f>
        <v>N/A</v>
      </c>
      <c r="B168" s="858" t="s">
        <v>705</v>
      </c>
      <c r="C168" s="848" t="s">
        <v>892</v>
      </c>
    </row>
    <row r="169" spans="1:3" ht="31.5" hidden="1" customHeight="1">
      <c r="A169" s="1306" t="s">
        <v>794</v>
      </c>
      <c r="B169" s="1306"/>
      <c r="C169" s="868"/>
    </row>
    <row r="170" spans="1:3" hidden="1">
      <c r="A170" s="1306" t="s">
        <v>761</v>
      </c>
      <c r="B170" s="1306"/>
      <c r="C170" s="869"/>
    </row>
    <row r="171" spans="1:3" hidden="1">
      <c r="A171" s="1306" t="s">
        <v>762</v>
      </c>
      <c r="B171" s="1306"/>
      <c r="C171" s="868"/>
    </row>
    <row r="172" spans="1:3" ht="48.75" hidden="1" customHeight="1">
      <c r="A172" s="1306" t="s">
        <v>871</v>
      </c>
      <c r="B172" s="1306"/>
      <c r="C172" s="870"/>
    </row>
    <row r="173" spans="1:3" ht="27.6" hidden="1">
      <c r="A173" s="861" t="str">
        <f>IF($A$163="yes","Answer Required","N/A")</f>
        <v>N/A</v>
      </c>
      <c r="B173" s="858" t="s">
        <v>705</v>
      </c>
      <c r="C173" s="867" t="s">
        <v>789</v>
      </c>
    </row>
    <row r="174" spans="1:3" hidden="1">
      <c r="A174" s="84"/>
      <c r="B174"/>
      <c r="C174" s="863"/>
    </row>
    <row r="175" spans="1:3" ht="50.25" hidden="1" customHeight="1">
      <c r="A175" s="799" t="s">
        <v>751</v>
      </c>
      <c r="B175" s="858" t="s">
        <v>706</v>
      </c>
      <c r="C175" s="859" t="s">
        <v>893</v>
      </c>
    </row>
    <row r="176" spans="1:3" hidden="1">
      <c r="A176" s="84"/>
      <c r="B176"/>
      <c r="C176" s="863"/>
    </row>
    <row r="177" spans="1:20" ht="41.4" hidden="1">
      <c r="A177" s="861" t="str">
        <f>IF($A$149="yes","Answer Required","N/A")</f>
        <v>N/A</v>
      </c>
      <c r="B177" s="858" t="s">
        <v>707</v>
      </c>
      <c r="C177" s="859" t="s">
        <v>831</v>
      </c>
    </row>
    <row r="178" spans="1:20" hidden="1">
      <c r="A178" s="84"/>
      <c r="B178"/>
      <c r="C178" s="863"/>
      <c r="Q178" s="826"/>
      <c r="R178" s="826"/>
      <c r="S178" s="826"/>
      <c r="T178" s="826"/>
    </row>
    <row r="179" spans="1:20" s="826" customFormat="1" ht="27.6" hidden="1">
      <c r="A179" s="871" t="str">
        <f>IF($A$149="yes","Answer Required","N/A")</f>
        <v>N/A</v>
      </c>
      <c r="B179" s="872" t="s">
        <v>704</v>
      </c>
      <c r="C179" s="873" t="s">
        <v>2677</v>
      </c>
      <c r="N179" s="178"/>
    </row>
    <row r="180" spans="1:20" s="826" customFormat="1" ht="12.75" hidden="1" customHeight="1">
      <c r="A180" s="874"/>
      <c r="B180" s="874"/>
      <c r="C180" s="860" t="str">
        <f>IF(A179="No","Answer Required","N/A")</f>
        <v>N/A</v>
      </c>
      <c r="N180" s="178"/>
      <c r="Q180" s="178"/>
      <c r="R180" s="178"/>
      <c r="S180" s="178"/>
      <c r="T180" s="178"/>
    </row>
    <row r="181" spans="1:20">
      <c r="N181" s="826"/>
    </row>
    <row r="182" spans="1:20" s="826" customFormat="1" ht="33" hidden="1" customHeight="1">
      <c r="A182" s="835" t="e">
        <f>IF(#REF!="yes","Answer Required","N/A")</f>
        <v>#REF!</v>
      </c>
      <c r="B182" s="836" t="s">
        <v>766</v>
      </c>
      <c r="C182" s="875" t="s">
        <v>2678</v>
      </c>
    </row>
    <row r="183" spans="1:20" s="826" customFormat="1" ht="36.75" hidden="1" customHeight="1">
      <c r="A183" s="835" t="e">
        <f>IF($A$182="yes","Answer Required","N/A")</f>
        <v>#REF!</v>
      </c>
      <c r="B183" s="836" t="s">
        <v>767</v>
      </c>
      <c r="C183" s="875" t="s">
        <v>2679</v>
      </c>
      <c r="N183" s="178"/>
    </row>
    <row r="184" spans="1:20" s="826" customFormat="1" ht="33" hidden="1" customHeight="1">
      <c r="A184" s="835" t="e">
        <f>IF($A$183="yes","Answer Required","N/A")</f>
        <v>#REF!</v>
      </c>
      <c r="B184" s="836" t="s">
        <v>768</v>
      </c>
      <c r="C184" s="875" t="s">
        <v>2680</v>
      </c>
    </row>
    <row r="185" spans="1:20" s="826" customFormat="1" ht="17.25" hidden="1" customHeight="1">
      <c r="A185" s="835" t="e">
        <f>IF($A$184="yes","Answer Required","N/A")</f>
        <v>#REF!</v>
      </c>
      <c r="B185" s="836" t="s">
        <v>769</v>
      </c>
      <c r="C185" s="875" t="s">
        <v>771</v>
      </c>
    </row>
    <row r="186" spans="1:20" s="826" customFormat="1" ht="48.75" hidden="1" customHeight="1">
      <c r="A186" s="835" t="e">
        <f>IF($A$184="yes","Answer Required","N/A")</f>
        <v>#REF!</v>
      </c>
      <c r="B186" s="836" t="s">
        <v>770</v>
      </c>
      <c r="C186" s="875" t="s">
        <v>2681</v>
      </c>
    </row>
    <row r="187" spans="1:20" s="826" customFormat="1" hidden="1">
      <c r="A187" s="876"/>
      <c r="B187" s="877"/>
      <c r="C187" s="860" t="e">
        <f>IF(A186="No","Answer Required","N/A")</f>
        <v>#REF!</v>
      </c>
    </row>
    <row r="188" spans="1:20" s="826" customFormat="1" ht="33" hidden="1" customHeight="1">
      <c r="B188" s="878"/>
      <c r="C188" s="879" t="s">
        <v>2682</v>
      </c>
      <c r="Q188" s="178"/>
      <c r="R188" s="178"/>
      <c r="S188" s="178"/>
      <c r="T188" s="178"/>
    </row>
    <row r="189" spans="1:20" hidden="1">
      <c r="N189" s="826"/>
    </row>
    <row r="190" spans="1:20" ht="9" customHeight="1">
      <c r="N190" s="826"/>
    </row>
    <row r="191" spans="1:20">
      <c r="A191" s="880" t="s">
        <v>849</v>
      </c>
      <c r="B191" s="881"/>
      <c r="C191" s="881"/>
    </row>
    <row r="192" spans="1:20" ht="303" customHeight="1">
      <c r="A192" s="1346" t="s">
        <v>3957</v>
      </c>
      <c r="B192" s="1347"/>
      <c r="C192" s="1348"/>
    </row>
    <row r="193" spans="1:20" ht="58.5" customHeight="1">
      <c r="A193" s="272" t="s">
        <v>751</v>
      </c>
      <c r="B193" s="882" t="s">
        <v>763</v>
      </c>
      <c r="C193" s="808" t="s">
        <v>3920</v>
      </c>
      <c r="J193" s="11"/>
      <c r="Q193" s="826"/>
      <c r="R193" s="826"/>
      <c r="S193" s="826"/>
      <c r="T193" s="826"/>
    </row>
    <row r="194" spans="1:20" s="826" customFormat="1" ht="41.4">
      <c r="A194" s="883" t="s">
        <v>698</v>
      </c>
      <c r="B194" s="884">
        <f>'Internal Service Template'!O99</f>
        <v>0</v>
      </c>
      <c r="C194" s="885"/>
      <c r="N194" s="178"/>
    </row>
    <row r="195" spans="1:20" s="826" customFormat="1" ht="27.6">
      <c r="A195" s="301"/>
      <c r="B195" s="886" t="s">
        <v>699</v>
      </c>
      <c r="C195" s="886" t="s">
        <v>700</v>
      </c>
      <c r="N195" s="178"/>
    </row>
    <row r="196" spans="1:20" s="826" customFormat="1" ht="27.6">
      <c r="A196" s="301"/>
      <c r="B196" s="144"/>
      <c r="C196" s="808" t="s">
        <v>3246</v>
      </c>
    </row>
    <row r="197" spans="1:20" s="826" customFormat="1" ht="39.75" customHeight="1">
      <c r="A197" s="301"/>
      <c r="B197" s="144"/>
      <c r="C197" s="808" t="s">
        <v>3799</v>
      </c>
    </row>
    <row r="198" spans="1:20" s="826" customFormat="1" ht="48" customHeight="1">
      <c r="A198" s="301"/>
      <c r="B198" s="144"/>
      <c r="C198" s="808" t="s">
        <v>3250</v>
      </c>
    </row>
    <row r="199" spans="1:20" s="826" customFormat="1" ht="34.5" customHeight="1">
      <c r="A199" s="301"/>
      <c r="B199" s="144"/>
      <c r="C199" s="808" t="s">
        <v>3247</v>
      </c>
    </row>
    <row r="200" spans="1:20" s="826" customFormat="1" ht="27.6">
      <c r="A200" s="301"/>
      <c r="B200" s="144"/>
      <c r="C200" s="808" t="s">
        <v>3248</v>
      </c>
    </row>
    <row r="201" spans="1:20" s="826" customFormat="1" ht="36.75" customHeight="1">
      <c r="A201" s="301"/>
      <c r="B201" s="144"/>
      <c r="C201" s="808" t="s">
        <v>3265</v>
      </c>
    </row>
    <row r="202" spans="1:20" s="826" customFormat="1" ht="33.75" customHeight="1">
      <c r="A202" s="301"/>
      <c r="B202" s="144"/>
      <c r="C202" s="808" t="s">
        <v>3251</v>
      </c>
    </row>
    <row r="203" spans="1:20" s="826" customFormat="1" ht="33.75" customHeight="1">
      <c r="A203" s="301"/>
      <c r="B203" s="144"/>
      <c r="C203" s="808" t="s">
        <v>3252</v>
      </c>
    </row>
    <row r="204" spans="1:20" s="826" customFormat="1" hidden="1">
      <c r="A204" s="301"/>
      <c r="B204" s="144"/>
      <c r="C204" s="808" t="s">
        <v>3249</v>
      </c>
    </row>
    <row r="205" spans="1:20" s="826" customFormat="1" ht="30.75" hidden="1" customHeight="1">
      <c r="A205" s="301"/>
      <c r="B205" s="144"/>
      <c r="C205" s="808" t="s">
        <v>3253</v>
      </c>
    </row>
    <row r="206" spans="1:20" s="826" customFormat="1" ht="18.75" hidden="1" customHeight="1">
      <c r="A206" s="301"/>
      <c r="B206" s="144"/>
      <c r="C206" s="808" t="s">
        <v>3254</v>
      </c>
    </row>
    <row r="207" spans="1:20" s="826" customFormat="1" ht="38.25" customHeight="1">
      <c r="A207" s="301"/>
      <c r="B207" s="144"/>
      <c r="C207" s="808" t="s">
        <v>3775</v>
      </c>
    </row>
    <row r="208" spans="1:20" s="826" customFormat="1" ht="35.25" customHeight="1">
      <c r="A208" s="301"/>
      <c r="B208" s="144"/>
      <c r="C208" s="887" t="s">
        <v>3776</v>
      </c>
    </row>
    <row r="209" spans="1:20" s="826" customFormat="1" ht="25.5" customHeight="1">
      <c r="A209" s="301"/>
      <c r="B209" s="144"/>
      <c r="C209" s="888" t="s">
        <v>3796</v>
      </c>
    </row>
    <row r="210" spans="1:20" s="826" customFormat="1" ht="45.75" customHeight="1">
      <c r="A210" s="301"/>
      <c r="B210" s="144"/>
      <c r="C210" s="888" t="s">
        <v>3963</v>
      </c>
    </row>
    <row r="211" spans="1:20" s="826" customFormat="1">
      <c r="A211" s="889" t="s">
        <v>652</v>
      </c>
      <c r="B211" s="890">
        <f>IF(SUM(B196:B210)=B194,B194,"Error")</f>
        <v>0</v>
      </c>
      <c r="C211" s="887" t="s">
        <v>779</v>
      </c>
    </row>
    <row r="212" spans="1:20" s="826" customFormat="1">
      <c r="A212" s="823" t="s">
        <v>146</v>
      </c>
      <c r="B212" s="891">
        <f>(SUM(B196:B210))-'Internal Service Template'!O99</f>
        <v>0</v>
      </c>
      <c r="C212" s="892"/>
      <c r="Q212" s="178"/>
      <c r="R212" s="178"/>
      <c r="S212" s="178"/>
      <c r="T212" s="178"/>
    </row>
    <row r="213" spans="1:20">
      <c r="A213" s="893"/>
      <c r="B213" s="894"/>
      <c r="C213" s="895"/>
      <c r="N213" s="826"/>
    </row>
    <row r="214" spans="1:20" ht="51.75" customHeight="1">
      <c r="A214" s="272" t="s">
        <v>751</v>
      </c>
      <c r="B214" s="896" t="s">
        <v>764</v>
      </c>
      <c r="C214" s="808" t="s">
        <v>3921</v>
      </c>
      <c r="J214" s="11"/>
      <c r="N214" s="826"/>
      <c r="Q214" s="826"/>
      <c r="R214" s="826"/>
      <c r="S214" s="826"/>
      <c r="T214" s="826"/>
    </row>
    <row r="215" spans="1:20" s="826" customFormat="1" ht="45.75" customHeight="1">
      <c r="A215" s="897" t="s">
        <v>701</v>
      </c>
      <c r="B215" s="884">
        <f>'Internal Service Template'!O191</f>
        <v>0</v>
      </c>
      <c r="C215" s="885"/>
      <c r="N215" s="178"/>
    </row>
    <row r="216" spans="1:20" s="826" customFormat="1" ht="27.6">
      <c r="A216" s="301"/>
      <c r="B216" s="886" t="s">
        <v>699</v>
      </c>
      <c r="C216" s="886" t="s">
        <v>702</v>
      </c>
      <c r="N216" s="178"/>
    </row>
    <row r="217" spans="1:20" s="826" customFormat="1" ht="32.25" customHeight="1">
      <c r="A217" s="301"/>
      <c r="B217" s="144"/>
      <c r="C217" s="808" t="s">
        <v>3256</v>
      </c>
    </row>
    <row r="218" spans="1:20" s="826" customFormat="1" ht="51.75" customHeight="1">
      <c r="A218" s="301"/>
      <c r="B218" s="144"/>
      <c r="C218" s="808" t="s">
        <v>3777</v>
      </c>
    </row>
    <row r="219" spans="1:20" s="826" customFormat="1" ht="64.5" customHeight="1">
      <c r="A219" s="301"/>
      <c r="B219" s="144"/>
      <c r="C219" s="808" t="s">
        <v>3778</v>
      </c>
    </row>
    <row r="220" spans="1:20" s="826" customFormat="1" ht="34.5" customHeight="1">
      <c r="A220" s="301"/>
      <c r="B220" s="144"/>
      <c r="C220" s="808" t="s">
        <v>3779</v>
      </c>
    </row>
    <row r="221" spans="1:20" s="826" customFormat="1" ht="50.25" customHeight="1">
      <c r="A221" s="301"/>
      <c r="B221" s="144"/>
      <c r="C221" s="808" t="s">
        <v>3780</v>
      </c>
    </row>
    <row r="222" spans="1:20" s="826" customFormat="1" ht="48" customHeight="1">
      <c r="A222" s="301"/>
      <c r="B222" s="144"/>
      <c r="C222" s="808" t="s">
        <v>3781</v>
      </c>
    </row>
    <row r="223" spans="1:20" s="826" customFormat="1" ht="35.25" customHeight="1">
      <c r="A223" s="301"/>
      <c r="B223" s="144"/>
      <c r="C223" s="808" t="s">
        <v>3782</v>
      </c>
    </row>
    <row r="224" spans="1:20" s="826" customFormat="1" ht="34.5" customHeight="1">
      <c r="A224" s="301"/>
      <c r="B224" s="144"/>
      <c r="C224" s="808" t="s">
        <v>3783</v>
      </c>
    </row>
    <row r="225" spans="1:20" s="826" customFormat="1">
      <c r="A225" s="301"/>
      <c r="B225" s="144"/>
      <c r="C225" s="808" t="s">
        <v>3784</v>
      </c>
    </row>
    <row r="226" spans="1:20" s="826" customFormat="1" ht="33" customHeight="1">
      <c r="A226" s="301"/>
      <c r="B226" s="144"/>
      <c r="C226" s="808" t="s">
        <v>3785</v>
      </c>
    </row>
    <row r="227" spans="1:20" s="826" customFormat="1" ht="46.5" customHeight="1">
      <c r="A227" s="301"/>
      <c r="B227" s="144"/>
      <c r="C227" s="808" t="s">
        <v>3786</v>
      </c>
    </row>
    <row r="228" spans="1:20" s="826" customFormat="1" ht="24.75" hidden="1" customHeight="1">
      <c r="A228" s="301"/>
      <c r="B228" s="144"/>
      <c r="C228" s="808" t="s">
        <v>3255</v>
      </c>
    </row>
    <row r="229" spans="1:20" s="826" customFormat="1" ht="23.25" hidden="1" customHeight="1">
      <c r="A229" s="301"/>
      <c r="B229" s="144"/>
      <c r="C229" s="808" t="s">
        <v>3257</v>
      </c>
    </row>
    <row r="230" spans="1:20" s="826" customFormat="1" ht="27.6" hidden="1">
      <c r="A230" s="898"/>
      <c r="B230" s="144"/>
      <c r="C230" s="808" t="s">
        <v>3258</v>
      </c>
    </row>
    <row r="231" spans="1:20" s="826" customFormat="1" ht="27.6">
      <c r="A231" s="899"/>
      <c r="B231" s="144"/>
      <c r="C231" s="887" t="s">
        <v>3787</v>
      </c>
    </row>
    <row r="232" spans="1:20" s="826" customFormat="1">
      <c r="A232" s="899"/>
      <c r="B232" s="144"/>
      <c r="C232" s="900" t="s">
        <v>3797</v>
      </c>
    </row>
    <row r="233" spans="1:20" s="826" customFormat="1" ht="39.6">
      <c r="A233" s="899"/>
      <c r="B233" s="144"/>
      <c r="C233" s="900" t="s">
        <v>3788</v>
      </c>
    </row>
    <row r="234" spans="1:20" s="826" customFormat="1" ht="26.4">
      <c r="A234" s="899"/>
      <c r="B234" s="144"/>
      <c r="C234" s="901" t="s">
        <v>3798</v>
      </c>
    </row>
    <row r="235" spans="1:20" s="826" customFormat="1">
      <c r="A235" s="889" t="s">
        <v>652</v>
      </c>
      <c r="B235" s="902">
        <f>IF(SUM(B217:B234)=B215,B215,"Error")</f>
        <v>0</v>
      </c>
      <c r="C235" s="887" t="s">
        <v>779</v>
      </c>
    </row>
    <row r="236" spans="1:20" s="826" customFormat="1">
      <c r="A236" s="823" t="s">
        <v>146</v>
      </c>
      <c r="B236" s="891">
        <f>(SUM(B217:B234))-'Internal Service Template'!O191</f>
        <v>0</v>
      </c>
      <c r="C236" s="892"/>
    </row>
    <row r="237" spans="1:20" s="826" customFormat="1" ht="14.25" customHeight="1">
      <c r="A237" s="903"/>
      <c r="B237" s="904"/>
      <c r="C237" s="905"/>
    </row>
    <row r="238" spans="1:20" s="826" customFormat="1" ht="66" customHeight="1">
      <c r="A238" s="461" t="str">
        <f>IF(OR($A$214="Yes",$A$193="Yes"),"Answer Required","N/A")</f>
        <v>N/A</v>
      </c>
      <c r="B238" s="906" t="s">
        <v>765</v>
      </c>
      <c r="C238" s="808" t="s">
        <v>3922</v>
      </c>
    </row>
    <row r="239" spans="1:20" s="826" customFormat="1">
      <c r="A239" s="178"/>
      <c r="B239" s="789"/>
      <c r="C239" s="462" t="str">
        <f>IF(A238="Yes","Answer Required","N/A")</f>
        <v>N/A</v>
      </c>
      <c r="Q239" s="178"/>
      <c r="R239" s="178"/>
      <c r="S239" s="178"/>
      <c r="T239" s="178"/>
    </row>
    <row r="240" spans="1:20">
      <c r="A240" s="1338"/>
      <c r="B240" s="1339"/>
      <c r="C240" s="1339"/>
      <c r="N240" s="826"/>
    </row>
    <row r="241" spans="1:20" hidden="1">
      <c r="A241" s="1335"/>
      <c r="B241" s="1336"/>
      <c r="C241" s="1337"/>
      <c r="N241" s="826"/>
    </row>
    <row r="242" spans="1:20" hidden="1">
      <c r="Q242" s="826"/>
      <c r="R242" s="826"/>
      <c r="S242" s="826"/>
      <c r="T242" s="826"/>
    </row>
    <row r="243" spans="1:20" s="826" customFormat="1" hidden="1">
      <c r="A243" s="1341" t="s">
        <v>2683</v>
      </c>
      <c r="B243" s="1341"/>
      <c r="C243" s="1341"/>
      <c r="N243" s="178"/>
    </row>
    <row r="244" spans="1:20" s="826" customFormat="1" ht="156" hidden="1" customHeight="1">
      <c r="A244" s="1342" t="s">
        <v>2684</v>
      </c>
      <c r="B244" s="1343"/>
      <c r="C244" s="1344"/>
      <c r="N244" s="178"/>
    </row>
    <row r="245" spans="1:20" s="826" customFormat="1" ht="36" hidden="1" customHeight="1">
      <c r="A245" s="835" t="s">
        <v>751</v>
      </c>
      <c r="B245" s="907" t="s">
        <v>776</v>
      </c>
      <c r="C245" s="908" t="s">
        <v>2685</v>
      </c>
    </row>
    <row r="246" spans="1:20" s="826" customFormat="1" ht="33" hidden="1" customHeight="1">
      <c r="A246" s="909"/>
      <c r="B246" s="910" t="s">
        <v>699</v>
      </c>
      <c r="C246" s="911" t="s">
        <v>772</v>
      </c>
    </row>
    <row r="247" spans="1:20" s="826" customFormat="1" ht="36.75" hidden="1" customHeight="1">
      <c r="A247" s="909"/>
      <c r="B247" s="912"/>
      <c r="C247" s="908" t="s">
        <v>2686</v>
      </c>
    </row>
    <row r="248" spans="1:20" s="826" customFormat="1" ht="21" hidden="1" customHeight="1">
      <c r="A248" s="909"/>
      <c r="B248" s="912"/>
      <c r="C248" s="908" t="s">
        <v>2687</v>
      </c>
    </row>
    <row r="249" spans="1:20" s="826" customFormat="1" ht="162" hidden="1" customHeight="1">
      <c r="A249" s="909"/>
      <c r="B249" s="912"/>
      <c r="C249" s="908" t="s">
        <v>2688</v>
      </c>
    </row>
    <row r="250" spans="1:20" s="826" customFormat="1" ht="17.25" hidden="1" customHeight="1">
      <c r="A250" s="909"/>
      <c r="B250" s="912"/>
      <c r="C250" s="908" t="s">
        <v>2689</v>
      </c>
    </row>
    <row r="251" spans="1:20" s="826" customFormat="1" ht="39" hidden="1" customHeight="1">
      <c r="A251" s="909"/>
      <c r="B251" s="912"/>
      <c r="C251" s="908" t="s">
        <v>2690</v>
      </c>
    </row>
    <row r="252" spans="1:20" s="826" customFormat="1" ht="32.25" hidden="1" customHeight="1">
      <c r="A252" s="909"/>
      <c r="B252" s="912"/>
      <c r="C252" s="908" t="s">
        <v>2691</v>
      </c>
    </row>
    <row r="253" spans="1:20" s="826" customFormat="1" ht="14.4" hidden="1" thickBot="1">
      <c r="A253" s="913" t="s">
        <v>652</v>
      </c>
      <c r="B253" s="914">
        <f>SUM(B247:B252)</f>
        <v>0</v>
      </c>
      <c r="C253" s="915"/>
    </row>
    <row r="254" spans="1:20" s="826" customFormat="1" ht="14.4" hidden="1" thickTop="1">
      <c r="A254" s="916"/>
      <c r="B254" s="915"/>
      <c r="C254" s="915"/>
    </row>
    <row r="255" spans="1:20" s="826" customFormat="1" ht="35.25" hidden="1" customHeight="1">
      <c r="A255" s="835" t="s">
        <v>751</v>
      </c>
      <c r="B255" s="907" t="s">
        <v>777</v>
      </c>
      <c r="C255" s="908" t="s">
        <v>2692</v>
      </c>
    </row>
    <row r="256" spans="1:20" s="826" customFormat="1" ht="26.25" hidden="1" customHeight="1">
      <c r="A256" s="909"/>
      <c r="B256" s="907" t="s">
        <v>699</v>
      </c>
      <c r="C256" s="917" t="s">
        <v>772</v>
      </c>
    </row>
    <row r="257" spans="1:20" s="826" customFormat="1" ht="33" hidden="1" customHeight="1">
      <c r="A257" s="909"/>
      <c r="B257" s="912"/>
      <c r="C257" s="908" t="s">
        <v>2693</v>
      </c>
    </row>
    <row r="258" spans="1:20" s="826" customFormat="1" ht="67.5" hidden="1" customHeight="1">
      <c r="A258" s="909"/>
      <c r="B258" s="912"/>
      <c r="C258" s="918" t="s">
        <v>2694</v>
      </c>
    </row>
    <row r="259" spans="1:20" s="826" customFormat="1" ht="27.6" hidden="1">
      <c r="A259" s="909"/>
      <c r="B259" s="912"/>
      <c r="C259" s="918" t="s">
        <v>2695</v>
      </c>
    </row>
    <row r="260" spans="1:20" s="826" customFormat="1" ht="35.25" hidden="1" customHeight="1">
      <c r="A260" s="909"/>
      <c r="B260" s="912"/>
      <c r="C260" s="908" t="s">
        <v>2696</v>
      </c>
    </row>
    <row r="261" spans="1:20" s="826" customFormat="1" ht="14.4" hidden="1" thickBot="1">
      <c r="A261" s="913" t="s">
        <v>652</v>
      </c>
      <c r="B261" s="914">
        <f>SUM(B257:B260)</f>
        <v>0</v>
      </c>
      <c r="C261" s="915"/>
    </row>
    <row r="262" spans="1:20" s="826" customFormat="1" ht="14.4" hidden="1" thickTop="1">
      <c r="A262" s="919"/>
      <c r="B262" s="920"/>
      <c r="C262" s="921"/>
    </row>
    <row r="263" spans="1:20" s="826" customFormat="1" ht="24" hidden="1" customHeight="1">
      <c r="A263" s="835" t="str">
        <f>IF(OR($A$245="Yes",$A$255="Yes"),"Answer Required","N/A")</f>
        <v>N/A</v>
      </c>
      <c r="B263" s="922" t="s">
        <v>778</v>
      </c>
      <c r="C263" s="908" t="s">
        <v>2697</v>
      </c>
    </row>
    <row r="264" spans="1:20" s="826" customFormat="1" hidden="1">
      <c r="A264" s="923"/>
      <c r="B264" s="924"/>
      <c r="C264" s="860" t="str">
        <f>IF(A263="No","Answer Required","N/A")</f>
        <v>N/A</v>
      </c>
      <c r="Q264" s="178"/>
      <c r="R264" s="178"/>
      <c r="S264" s="178"/>
      <c r="T264" s="178"/>
    </row>
    <row r="265" spans="1:20" hidden="1">
      <c r="A265" s="1338"/>
      <c r="B265" s="1339"/>
      <c r="C265" s="1340"/>
      <c r="N265" s="826"/>
    </row>
    <row r="266" spans="1:20" hidden="1">
      <c r="A266" s="881"/>
      <c r="B266" s="881"/>
      <c r="C266" s="881"/>
      <c r="N266" s="826"/>
    </row>
    <row r="267" spans="1:20">
      <c r="A267" s="1300" t="s">
        <v>2848</v>
      </c>
      <c r="B267" s="1300"/>
      <c r="C267" s="1300"/>
    </row>
    <row r="268" spans="1:20" ht="261" customHeight="1">
      <c r="A268" s="1304" t="s">
        <v>2872</v>
      </c>
      <c r="B268" s="1305"/>
      <c r="C268" s="1305"/>
    </row>
    <row r="269" spans="1:20" ht="18.600000000000001" customHeight="1">
      <c r="A269" s="283" t="s">
        <v>751</v>
      </c>
      <c r="B269" s="882" t="s">
        <v>773</v>
      </c>
      <c r="C269" s="808" t="s">
        <v>3923</v>
      </c>
    </row>
    <row r="270" spans="1:20" ht="27.6">
      <c r="A270" s="925"/>
      <c r="B270" s="926"/>
      <c r="C270" s="808" t="s">
        <v>2723</v>
      </c>
    </row>
    <row r="271" spans="1:20" ht="27.6">
      <c r="A271" s="927"/>
      <c r="B271" s="886" t="s">
        <v>847</v>
      </c>
      <c r="C271" s="886" t="s">
        <v>844</v>
      </c>
    </row>
    <row r="272" spans="1:20" ht="41.4">
      <c r="A272" s="867" t="s">
        <v>845</v>
      </c>
      <c r="B272" s="287"/>
      <c r="C272" s="281" t="str">
        <f>IF($B$272=0,"N/A","Answer Required")</f>
        <v>N/A</v>
      </c>
    </row>
    <row r="273" spans="1:3" ht="51.6" customHeight="1">
      <c r="A273" s="867" t="s">
        <v>848</v>
      </c>
      <c r="B273" s="287"/>
      <c r="C273" s="281" t="str">
        <f>IF($B$273=0,"N/A","Answer Required")</f>
        <v>N/A</v>
      </c>
    </row>
    <row r="274" spans="1:3" ht="51" customHeight="1">
      <c r="A274" s="867" t="s">
        <v>846</v>
      </c>
      <c r="B274" s="287"/>
      <c r="C274" s="281" t="str">
        <f>IF($B$274=0,"N/A","Answer Required")</f>
        <v>N/A</v>
      </c>
    </row>
    <row r="275" spans="1:3">
      <c r="A275" s="929"/>
      <c r="B275" s="930">
        <f>SUM(B272:B274)</f>
        <v>0</v>
      </c>
      <c r="C275" s="931" t="s">
        <v>879</v>
      </c>
    </row>
    <row r="276" spans="1:3" ht="33" customHeight="1">
      <c r="A276" s="932" t="s">
        <v>880</v>
      </c>
      <c r="B276" s="288">
        <f>SUM('Tab 1B-CE.&amp;Inv. Not w Tr '!AB:AD)</f>
        <v>0</v>
      </c>
      <c r="C276" s="808" t="s">
        <v>2568</v>
      </c>
    </row>
    <row r="277" spans="1:3">
      <c r="A277" s="929"/>
      <c r="B277" s="933">
        <f>B275-B276</f>
        <v>0</v>
      </c>
      <c r="C277" s="931" t="s">
        <v>72</v>
      </c>
    </row>
    <row r="278" spans="1:3" ht="39" customHeight="1">
      <c r="A278" s="929"/>
      <c r="B278" s="934"/>
      <c r="C278" s="935" t="s">
        <v>2607</v>
      </c>
    </row>
    <row r="279" spans="1:3">
      <c r="A279" s="929"/>
      <c r="B279" s="936"/>
      <c r="C279" s="281" t="str">
        <f>IF($B$277=0,"N/A","Answer Required")</f>
        <v>N/A</v>
      </c>
    </row>
    <row r="280" spans="1:3" ht="37.5" customHeight="1">
      <c r="A280" s="283" t="str">
        <f>IF(A269="Yes","Answer Required","N/A")</f>
        <v>N/A</v>
      </c>
      <c r="B280" s="882" t="s">
        <v>774</v>
      </c>
      <c r="C280" s="808" t="s">
        <v>3795</v>
      </c>
    </row>
    <row r="281" spans="1:3" ht="20.25" customHeight="1">
      <c r="A281" s="937"/>
      <c r="B281" s="938"/>
      <c r="C281" s="808" t="s">
        <v>2570</v>
      </c>
    </row>
    <row r="282" spans="1:3">
      <c r="A282" s="929"/>
      <c r="B282" s="936"/>
      <c r="C282" s="281" t="str">
        <f>IF($A$280="Yes","Answer Required","N/A")</f>
        <v>N/A</v>
      </c>
    </row>
    <row r="283" spans="1:3" ht="36.75" customHeight="1">
      <c r="A283" s="283" t="s">
        <v>751</v>
      </c>
      <c r="B283" s="882" t="s">
        <v>775</v>
      </c>
      <c r="C283" s="808" t="s">
        <v>3924</v>
      </c>
    </row>
    <row r="284" spans="1:3" ht="55.5" customHeight="1">
      <c r="A284" s="937"/>
      <c r="B284" s="939"/>
      <c r="C284" s="808" t="s">
        <v>2608</v>
      </c>
    </row>
    <row r="285" spans="1:3" ht="72" customHeight="1">
      <c r="A285" s="940"/>
      <c r="B285" s="941" t="s">
        <v>881</v>
      </c>
      <c r="C285" s="886" t="s">
        <v>2609</v>
      </c>
    </row>
    <row r="286" spans="1:3">
      <c r="A286" s="929"/>
      <c r="B286" s="284"/>
      <c r="C286" s="281" t="str">
        <f>IF($B$286=0,"N/A","Answer Required")</f>
        <v>N/A</v>
      </c>
    </row>
    <row r="287" spans="1:3">
      <c r="A287" s="932" t="s">
        <v>880</v>
      </c>
      <c r="B287" s="288">
        <f>SUM('Tab 1B-CE.&amp;Inv. Not w Tr '!AE:AE)</f>
        <v>0</v>
      </c>
      <c r="C287" s="935" t="s">
        <v>3074</v>
      </c>
    </row>
    <row r="288" spans="1:3">
      <c r="A288" s="929"/>
      <c r="B288" s="942">
        <f>B286-B287</f>
        <v>0</v>
      </c>
      <c r="C288" s="931" t="s">
        <v>72</v>
      </c>
    </row>
    <row r="289" spans="1:20" ht="31.5" customHeight="1">
      <c r="A289" s="929"/>
      <c r="B289" s="934"/>
      <c r="C289" s="935" t="s">
        <v>2610</v>
      </c>
    </row>
    <row r="290" spans="1:20">
      <c r="A290" s="929"/>
      <c r="B290" s="943"/>
      <c r="C290" s="281" t="str">
        <f>IF($B$288=0,"N/A","Answer Required")</f>
        <v>N/A</v>
      </c>
    </row>
    <row r="291" spans="1:20" ht="31.95" customHeight="1">
      <c r="A291" s="283" t="str">
        <f>IF(OR($A$269="Yes",$A$283="Yes"),"Answer Required","N/A")</f>
        <v>N/A</v>
      </c>
      <c r="B291" s="882" t="s">
        <v>3789</v>
      </c>
      <c r="C291" s="808" t="s">
        <v>3925</v>
      </c>
    </row>
    <row r="292" spans="1:20" ht="24" customHeight="1">
      <c r="A292" s="925"/>
      <c r="B292" s="944"/>
      <c r="C292" s="808" t="s">
        <v>2567</v>
      </c>
    </row>
    <row r="293" spans="1:20">
      <c r="A293" s="849"/>
      <c r="B293" s="945"/>
      <c r="C293" s="292" t="str">
        <f>IF($A$291="No","Answer Required","N/A")</f>
        <v>N/A</v>
      </c>
    </row>
    <row r="294" spans="1:20" ht="27.6" hidden="1">
      <c r="A294" s="769"/>
      <c r="B294" s="882" t="s">
        <v>2698</v>
      </c>
      <c r="C294" s="808" t="s">
        <v>2727</v>
      </c>
    </row>
    <row r="295" spans="1:20" hidden="1">
      <c r="A295" s="940"/>
      <c r="B295" s="946"/>
      <c r="C295" s="808" t="s">
        <v>2569</v>
      </c>
    </row>
    <row r="296" spans="1:20" hidden="1">
      <c r="A296" s="947"/>
      <c r="B296" s="948"/>
      <c r="C296" s="928"/>
      <c r="Q296" s="826"/>
      <c r="R296" s="826"/>
      <c r="S296" s="826"/>
      <c r="T296" s="826"/>
    </row>
    <row r="297" spans="1:20" s="826" customFormat="1" hidden="1">
      <c r="A297" s="949" t="s">
        <v>751</v>
      </c>
      <c r="B297" s="907" t="s">
        <v>2699</v>
      </c>
      <c r="C297" s="908" t="s">
        <v>2700</v>
      </c>
      <c r="N297" s="178"/>
    </row>
    <row r="298" spans="1:20" s="826" customFormat="1" hidden="1">
      <c r="A298" s="950"/>
      <c r="B298" s="951"/>
      <c r="C298" s="908" t="s">
        <v>2701</v>
      </c>
      <c r="N298" s="178"/>
    </row>
    <row r="299" spans="1:20" s="826" customFormat="1" hidden="1">
      <c r="A299" s="952"/>
      <c r="B299" s="951"/>
      <c r="C299" s="953" t="str">
        <f>IF($A$297="No","Answer Required","N/A")</f>
        <v>N/A</v>
      </c>
      <c r="Q299" s="178"/>
      <c r="R299" s="178"/>
      <c r="S299" s="178"/>
      <c r="T299" s="178"/>
    </row>
    <row r="300" spans="1:20">
      <c r="N300" s="826"/>
    </row>
    <row r="301" spans="1:20">
      <c r="A301" s="798" t="s">
        <v>2761</v>
      </c>
      <c r="N301" s="826"/>
    </row>
    <row r="302" spans="1:20" ht="43.95" customHeight="1">
      <c r="A302" s="283" t="s">
        <v>751</v>
      </c>
      <c r="B302" s="805">
        <v>15</v>
      </c>
      <c r="C302" s="802" t="s">
        <v>3926</v>
      </c>
    </row>
    <row r="303" spans="1:20" ht="27.6">
      <c r="C303" s="802" t="s">
        <v>2760</v>
      </c>
    </row>
    <row r="304" spans="1:20" ht="70.5" customHeight="1">
      <c r="B304" s="790"/>
      <c r="C304" s="436" t="str">
        <f>IF(A302="yes","Answer Required","N/A")</f>
        <v>N/A</v>
      </c>
    </row>
    <row r="306" spans="1:20">
      <c r="N306" s="11"/>
      <c r="O306" s="11"/>
      <c r="P306" s="11"/>
      <c r="Q306" s="11"/>
      <c r="R306" s="11"/>
      <c r="S306" s="11"/>
      <c r="T306" s="11"/>
    </row>
    <row r="307" spans="1:20" s="11" customFormat="1" ht="21" customHeight="1">
      <c r="A307" s="1300" t="s">
        <v>3217</v>
      </c>
      <c r="B307" s="1300"/>
      <c r="C307" s="1300"/>
    </row>
    <row r="308" spans="1:20" s="11" customFormat="1" ht="132" customHeight="1">
      <c r="A308" s="447" t="s">
        <v>751</v>
      </c>
      <c r="B308" s="882" t="s">
        <v>3790</v>
      </c>
      <c r="C308" s="808" t="s">
        <v>3927</v>
      </c>
    </row>
    <row r="309" spans="1:20" s="11" customFormat="1" ht="41.25" customHeight="1">
      <c r="A309" s="954"/>
      <c r="B309" s="955"/>
      <c r="C309" s="292" t="str">
        <f>IF($A$308="YES","Answer Required","N/A")</f>
        <v>N/A</v>
      </c>
      <c r="N309" s="178"/>
      <c r="O309" s="178"/>
      <c r="P309" s="178"/>
      <c r="Q309" s="178"/>
      <c r="R309" s="178"/>
      <c r="S309" s="178"/>
      <c r="T309" s="178"/>
    </row>
    <row r="311" spans="1:20" hidden="1"/>
    <row r="312" spans="1:20" hidden="1"/>
    <row r="313" spans="1:20">
      <c r="N313" s="11"/>
      <c r="O313" s="11"/>
      <c r="P313" s="11"/>
      <c r="Q313" s="11"/>
      <c r="R313" s="11"/>
      <c r="S313" s="11"/>
      <c r="T313" s="11"/>
    </row>
    <row r="314" spans="1:20" s="11" customFormat="1" ht="53.25" customHeight="1">
      <c r="A314" s="447" t="s">
        <v>751</v>
      </c>
      <c r="B314" s="882" t="s">
        <v>3791</v>
      </c>
      <c r="C314" s="808" t="s">
        <v>3245</v>
      </c>
    </row>
    <row r="315" spans="1:20" s="11" customFormat="1" ht="41.25" customHeight="1">
      <c r="A315" s="954"/>
      <c r="B315" s="955"/>
      <c r="C315" s="292" t="str">
        <f>IF($A$314="YES","Answer Required","N/A")</f>
        <v>N/A</v>
      </c>
      <c r="N315" s="178"/>
      <c r="O315" s="178"/>
      <c r="P315" s="178"/>
      <c r="Q315" s="178"/>
      <c r="R315" s="178"/>
      <c r="S315" s="178"/>
      <c r="T315" s="178"/>
    </row>
    <row r="317" spans="1:20" ht="15" hidden="1" customHeight="1"/>
    <row r="318" spans="1:20" ht="15" hidden="1" customHeight="1"/>
    <row r="319" spans="1:20" ht="37.5" customHeight="1">
      <c r="A319" s="1300" t="s">
        <v>2863</v>
      </c>
      <c r="B319" s="1300"/>
      <c r="C319" s="1300"/>
    </row>
    <row r="320" spans="1:20" ht="30" customHeight="1">
      <c r="A320" s="283" t="s">
        <v>751</v>
      </c>
      <c r="B320" s="882" t="s">
        <v>2861</v>
      </c>
      <c r="C320" s="808" t="s">
        <v>3928</v>
      </c>
    </row>
    <row r="321" spans="1:3">
      <c r="B321" s="882" t="s">
        <v>2862</v>
      </c>
      <c r="C321" s="956" t="s">
        <v>2906</v>
      </c>
    </row>
    <row r="322" spans="1:3">
      <c r="B322" s="882" t="s">
        <v>561</v>
      </c>
      <c r="C322" s="808" t="s">
        <v>298</v>
      </c>
    </row>
    <row r="323" spans="1:3">
      <c r="B323" s="284"/>
      <c r="C323" s="281" t="str">
        <f>IF(B323&lt;&gt;0,"Answer Required","N/A")</f>
        <v>N/A</v>
      </c>
    </row>
    <row r="324" spans="1:3">
      <c r="B324" s="284"/>
      <c r="C324" s="281" t="str">
        <f t="shared" ref="C324:C326" si="3">IF(B324&lt;&gt;0,"Answer Required","N/A")</f>
        <v>N/A</v>
      </c>
    </row>
    <row r="325" spans="1:3">
      <c r="B325" s="284"/>
      <c r="C325" s="281" t="str">
        <f t="shared" si="3"/>
        <v>N/A</v>
      </c>
    </row>
    <row r="326" spans="1:3">
      <c r="B326" s="284"/>
      <c r="C326" s="281" t="str">
        <f t="shared" si="3"/>
        <v>N/A</v>
      </c>
    </row>
    <row r="327" spans="1:3">
      <c r="A327" s="283" t="s">
        <v>751</v>
      </c>
      <c r="B327" s="882" t="s">
        <v>3792</v>
      </c>
      <c r="C327" s="808" t="s">
        <v>3929</v>
      </c>
    </row>
    <row r="328" spans="1:3">
      <c r="C328" s="808" t="s">
        <v>3930</v>
      </c>
    </row>
    <row r="329" spans="1:3">
      <c r="C329" s="281" t="str">
        <f>IF(A327="YES","Answer Required","N/A")</f>
        <v>N/A</v>
      </c>
    </row>
    <row r="330" spans="1:3">
      <c r="A330" s="283" t="s">
        <v>751</v>
      </c>
      <c r="B330" s="882" t="s">
        <v>3793</v>
      </c>
      <c r="C330" s="808" t="s">
        <v>2857</v>
      </c>
    </row>
    <row r="331" spans="1:3">
      <c r="C331" s="808" t="s">
        <v>2858</v>
      </c>
    </row>
    <row r="332" spans="1:3">
      <c r="C332" s="808" t="s">
        <v>2859</v>
      </c>
    </row>
    <row r="333" spans="1:3">
      <c r="C333" s="808" t="s">
        <v>2860</v>
      </c>
    </row>
    <row r="334" spans="1:3">
      <c r="C334" s="808" t="s">
        <v>2864</v>
      </c>
    </row>
    <row r="335" spans="1:3">
      <c r="C335" s="281" t="str">
        <f>IF(A330="YES","Answer Required","N/A")</f>
        <v>N/A</v>
      </c>
    </row>
    <row r="337" spans="1:3">
      <c r="A337" s="450" t="s">
        <v>3768</v>
      </c>
      <c r="B337" s="957"/>
      <c r="C337" s="958"/>
    </row>
    <row r="338" spans="1:3" ht="93.75" customHeight="1">
      <c r="A338" s="555" t="s">
        <v>751</v>
      </c>
      <c r="B338" s="959">
        <v>18</v>
      </c>
      <c r="C338" s="960" t="s">
        <v>3972</v>
      </c>
    </row>
    <row r="339" spans="1:3">
      <c r="A339" s="450"/>
      <c r="B339" s="957"/>
      <c r="C339" s="958"/>
    </row>
    <row r="340" spans="1:3" ht="24" customHeight="1">
      <c r="A340" s="961" t="s">
        <v>3770</v>
      </c>
      <c r="B340" s="957"/>
      <c r="C340" s="958"/>
    </row>
    <row r="341" spans="1:3" ht="112.5" customHeight="1">
      <c r="A341" s="1307" t="s">
        <v>3973</v>
      </c>
      <c r="B341" s="1308"/>
      <c r="C341" s="1309"/>
    </row>
    <row r="342" spans="1:3" ht="126" customHeight="1">
      <c r="A342" s="555" t="s">
        <v>751</v>
      </c>
      <c r="B342" s="959" t="s">
        <v>3769</v>
      </c>
      <c r="C342" s="960" t="s">
        <v>3808</v>
      </c>
    </row>
    <row r="343" spans="1:3" ht="186.75" customHeight="1">
      <c r="A343" s="556" t="str">
        <f>IF($A$342="Yes","Answer Required","N/A")</f>
        <v>N/A</v>
      </c>
      <c r="B343" s="959" t="s">
        <v>3771</v>
      </c>
      <c r="C343" s="962" t="s">
        <v>3800</v>
      </c>
    </row>
    <row r="344" spans="1:3">
      <c r="A344" s="450"/>
      <c r="B344" s="957"/>
      <c r="C344" s="557" t="str">
        <f>IF(A343="YES","Answer Required","N/A")</f>
        <v>N/A</v>
      </c>
    </row>
    <row r="345" spans="1:3" ht="117" customHeight="1">
      <c r="A345" s="556" t="str">
        <f>IF($A$342="Yes","Answer Required","N/A")</f>
        <v>N/A</v>
      </c>
      <c r="B345" s="959" t="s">
        <v>3772</v>
      </c>
      <c r="C345" s="962" t="s">
        <v>3801</v>
      </c>
    </row>
    <row r="346" spans="1:3" ht="72.75" customHeight="1">
      <c r="A346" s="556" t="str">
        <f>IF($A$342="Yes","Answer Required","N/A")</f>
        <v>N/A</v>
      </c>
      <c r="B346" s="959" t="s">
        <v>3773</v>
      </c>
      <c r="C346" s="962" t="s">
        <v>3794</v>
      </c>
    </row>
    <row r="347" spans="1:3">
      <c r="A347" s="450"/>
      <c r="B347" s="957"/>
      <c r="C347" s="557" t="str">
        <f>IF(A346="YES","Answer Required","N/A")</f>
        <v>N/A</v>
      </c>
    </row>
    <row r="348" spans="1:3" ht="79.2">
      <c r="A348" s="555" t="s">
        <v>751</v>
      </c>
      <c r="B348" s="959" t="s">
        <v>3774</v>
      </c>
      <c r="C348" s="962" t="s">
        <v>3974</v>
      </c>
    </row>
    <row r="349" spans="1:3">
      <c r="A349" s="450"/>
      <c r="B349" s="957"/>
      <c r="C349" s="557" t="str">
        <f>IF(A348="YES","Answer Required","N/A")</f>
        <v>N/A</v>
      </c>
    </row>
    <row r="350" spans="1:3" ht="15.6">
      <c r="A350" s="954"/>
      <c r="B350" s="955"/>
      <c r="C350" s="963"/>
    </row>
    <row r="351" spans="1:3" s="11" customFormat="1" ht="21" customHeight="1">
      <c r="A351" s="1300" t="s">
        <v>3931</v>
      </c>
      <c r="B351" s="1300"/>
      <c r="C351" s="1300"/>
    </row>
    <row r="352" spans="1:3" s="11" customFormat="1" ht="69">
      <c r="A352" s="447" t="s">
        <v>751</v>
      </c>
      <c r="B352" s="882">
        <v>20</v>
      </c>
      <c r="C352" s="808" t="s">
        <v>3975</v>
      </c>
    </row>
    <row r="353" spans="1:20" s="11" customFormat="1" ht="41.25" customHeight="1">
      <c r="A353" s="954"/>
      <c r="B353" s="955"/>
      <c r="C353" s="292" t="str">
        <f>IF($A$352="YES","Answer Required","N/A")</f>
        <v>N/A</v>
      </c>
      <c r="N353" s="178"/>
      <c r="O353" s="178"/>
      <c r="P353" s="178"/>
      <c r="Q353" s="178"/>
      <c r="R353" s="178"/>
      <c r="S353" s="178"/>
      <c r="T353" s="178"/>
    </row>
  </sheetData>
  <sheetProtection algorithmName="SHA-512" hashValue="iQ+hgjMXuUrN2hPP8fyQ3Wjt0jxcw823OMfdF2yWKHmlN+Sx5U8EtqyzUCziAogUV1/2Q/S0VQp1WoLnzqQECw==" saltValue="Tv6+7gc289jX6Dxw8CRpVg==" spinCount="100000" sheet="1" objects="1" scenarios="1"/>
  <dataConsolidate/>
  <customSheetViews>
    <customSheetView guid="{5CCA66B6-9DBD-4F43-8EC0-0C18444D6068}" scale="75" showGridLines="0" hiddenRows="1" hiddenColumns="1" showRuler="0" topLeftCell="A106">
      <selection activeCell="C60" sqref="C60"/>
      <rowBreaks count="3" manualBreakCount="3">
        <brk id="31" max="16383" man="1"/>
        <brk id="52" max="16383" man="1"/>
        <brk id="67" max="16383" man="1"/>
      </rowBreaks>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53">
    <mergeCell ref="A134:B134"/>
    <mergeCell ref="A144:C144"/>
    <mergeCell ref="A145:C145"/>
    <mergeCell ref="A241:C241"/>
    <mergeCell ref="A265:C265"/>
    <mergeCell ref="A243:C243"/>
    <mergeCell ref="A244:C244"/>
    <mergeCell ref="A135:C135"/>
    <mergeCell ref="A147:C147"/>
    <mergeCell ref="A169:B169"/>
    <mergeCell ref="A240:C240"/>
    <mergeCell ref="A192:C192"/>
    <mergeCell ref="A146:C146"/>
    <mergeCell ref="A150:B150"/>
    <mergeCell ref="A1:B1"/>
    <mergeCell ref="A2:B2"/>
    <mergeCell ref="A3:B3"/>
    <mergeCell ref="A4:B4"/>
    <mergeCell ref="B15:C15"/>
    <mergeCell ref="A5:B5"/>
    <mergeCell ref="A6:B6"/>
    <mergeCell ref="A7:B7"/>
    <mergeCell ref="A67:B67"/>
    <mergeCell ref="A73:B73"/>
    <mergeCell ref="A22:C22"/>
    <mergeCell ref="B17:C17"/>
    <mergeCell ref="B16:C16"/>
    <mergeCell ref="B18:C18"/>
    <mergeCell ref="B19:C19"/>
    <mergeCell ref="B20:C20"/>
    <mergeCell ref="A44:C44"/>
    <mergeCell ref="A55:B55"/>
    <mergeCell ref="A56:B56"/>
    <mergeCell ref="A57:B57"/>
    <mergeCell ref="A70:B70"/>
    <mergeCell ref="A74:B74"/>
    <mergeCell ref="A131:B131"/>
    <mergeCell ref="A132:B132"/>
    <mergeCell ref="A133:B133"/>
    <mergeCell ref="A128:B128"/>
    <mergeCell ref="A130:B130"/>
    <mergeCell ref="A129:B129"/>
    <mergeCell ref="A106:C106"/>
    <mergeCell ref="A351:C351"/>
    <mergeCell ref="A136:C136"/>
    <mergeCell ref="A267:C267"/>
    <mergeCell ref="A268:C268"/>
    <mergeCell ref="A307:C307"/>
    <mergeCell ref="A170:B170"/>
    <mergeCell ref="A171:B171"/>
    <mergeCell ref="A172:B172"/>
    <mergeCell ref="A341:C341"/>
    <mergeCell ref="A319:C319"/>
  </mergeCells>
  <phoneticPr fontId="46" type="noConversion"/>
  <conditionalFormatting sqref="A76:A77">
    <cfRule type="cellIs" dxfId="89" priority="85" operator="equal">
      <formula>"Answer Required"</formula>
    </cfRule>
  </conditionalFormatting>
  <conditionalFormatting sqref="A193">
    <cfRule type="cellIs" dxfId="88" priority="92" operator="equal">
      <formula>"Answer Required"</formula>
    </cfRule>
  </conditionalFormatting>
  <conditionalFormatting sqref="A214">
    <cfRule type="cellIs" dxfId="87" priority="93" operator="equal">
      <formula>"Answer Required"</formula>
    </cfRule>
  </conditionalFormatting>
  <conditionalFormatting sqref="A245">
    <cfRule type="cellIs" dxfId="86" priority="94" operator="equal">
      <formula>"Answer Required"</formula>
    </cfRule>
  </conditionalFormatting>
  <conditionalFormatting sqref="A255">
    <cfRule type="cellIs" dxfId="85" priority="95" operator="equal">
      <formula>"Answer Required"</formula>
    </cfRule>
  </conditionalFormatting>
  <conditionalFormatting sqref="A269">
    <cfRule type="cellIs" dxfId="84" priority="46" operator="equal">
      <formula>"Answer Required"</formula>
    </cfRule>
  </conditionalFormatting>
  <conditionalFormatting sqref="A275">
    <cfRule type="cellIs" dxfId="83" priority="90" operator="equal">
      <formula>"Answer Required"</formula>
    </cfRule>
  </conditionalFormatting>
  <conditionalFormatting sqref="A278">
    <cfRule type="cellIs" dxfId="82" priority="89" operator="equal">
      <formula>"Answer Required"</formula>
    </cfRule>
  </conditionalFormatting>
  <conditionalFormatting sqref="A280:A281">
    <cfRule type="cellIs" dxfId="81" priority="45" operator="equal">
      <formula>"Answer Required"</formula>
    </cfRule>
  </conditionalFormatting>
  <conditionalFormatting sqref="A283:A284">
    <cfRule type="cellIs" dxfId="80" priority="44" operator="equal">
      <formula>"Answer Required"</formula>
    </cfRule>
  </conditionalFormatting>
  <conditionalFormatting sqref="A291">
    <cfRule type="cellIs" dxfId="79" priority="43" operator="equal">
      <formula>"Answer Required"</formula>
    </cfRule>
  </conditionalFormatting>
  <conditionalFormatting sqref="A294">
    <cfRule type="cellIs" dxfId="78" priority="83" operator="equal">
      <formula>"Answer Required"</formula>
    </cfRule>
  </conditionalFormatting>
  <conditionalFormatting sqref="A297">
    <cfRule type="cellIs" dxfId="77" priority="82" operator="equal">
      <formula>"Answer Required"</formula>
    </cfRule>
  </conditionalFormatting>
  <conditionalFormatting sqref="A302">
    <cfRule type="cellIs" dxfId="76" priority="39" operator="equal">
      <formula>"Answer Required"</formula>
    </cfRule>
  </conditionalFormatting>
  <conditionalFormatting sqref="A308">
    <cfRule type="cellIs" dxfId="75" priority="18" operator="equal">
      <formula>"Answer Required"</formula>
    </cfRule>
    <cfRule type="cellIs" dxfId="74" priority="19" operator="equal">
      <formula>"Error"</formula>
    </cfRule>
  </conditionalFormatting>
  <conditionalFormatting sqref="A314">
    <cfRule type="cellIs" dxfId="73" priority="21" operator="equal">
      <formula>"Answer Required"</formula>
    </cfRule>
    <cfRule type="cellIs" dxfId="72" priority="22" operator="equal">
      <formula>"Error"</formula>
    </cfRule>
  </conditionalFormatting>
  <conditionalFormatting sqref="A320">
    <cfRule type="cellIs" dxfId="71" priority="31" operator="equal">
      <formula>"Answer Required"</formula>
    </cfRule>
  </conditionalFormatting>
  <conditionalFormatting sqref="A327">
    <cfRule type="cellIs" dxfId="70" priority="30" operator="equal">
      <formula>"Answer Required"</formula>
    </cfRule>
  </conditionalFormatting>
  <conditionalFormatting sqref="A330">
    <cfRule type="cellIs" dxfId="69" priority="29" operator="equal">
      <formula>"Answer Required"</formula>
    </cfRule>
  </conditionalFormatting>
  <conditionalFormatting sqref="A338">
    <cfRule type="cellIs" dxfId="68" priority="13" operator="equal">
      <formula>"Answer Required"</formula>
    </cfRule>
  </conditionalFormatting>
  <conditionalFormatting sqref="A342:A343">
    <cfRule type="cellIs" dxfId="67" priority="7" operator="equal">
      <formula>"Answer Required"</formula>
    </cfRule>
  </conditionalFormatting>
  <conditionalFormatting sqref="A345:A346">
    <cfRule type="cellIs" dxfId="66" priority="5" operator="equal">
      <formula>"Answer Required"</formula>
    </cfRule>
  </conditionalFormatting>
  <conditionalFormatting sqref="A348">
    <cfRule type="cellIs" dxfId="65" priority="4" operator="equal">
      <formula>"Answer Required"</formula>
    </cfRule>
  </conditionalFormatting>
  <conditionalFormatting sqref="A352">
    <cfRule type="cellIs" dxfId="64" priority="2" operator="equal">
      <formula>"Error"</formula>
    </cfRule>
    <cfRule type="cellIs" dxfId="63" priority="1" operator="equal">
      <formula>"Answer Required"</formula>
    </cfRule>
  </conditionalFormatting>
  <conditionalFormatting sqref="B15:C20 A25 A29 A34 A39 A45 A51 A60 B61 A65 C67:C74 A80 A107 A115:A116 A118 A120 A122 A124:A125 A137:A138 A140 A149 A151:A154 A156 A158:A159 A161 A163:A166 A168 A173 A175 A177 A179 A182:A186 A230:A234 A238 A263">
    <cfRule type="cellIs" dxfId="62" priority="266" operator="equal">
      <formula>"Answer Required"</formula>
    </cfRule>
  </conditionalFormatting>
  <conditionalFormatting sqref="C13">
    <cfRule type="cellIs" dxfId="61" priority="81" operator="equal">
      <formula>"Answer Required"</formula>
    </cfRule>
  </conditionalFormatting>
  <conditionalFormatting sqref="C27">
    <cfRule type="cellIs" dxfId="60" priority="62" operator="equal">
      <formula>"Answer Required"</formula>
    </cfRule>
  </conditionalFormatting>
  <conditionalFormatting sqref="C31">
    <cfRule type="cellIs" dxfId="59" priority="61" operator="equal">
      <formula>"Answer Required"</formula>
    </cfRule>
  </conditionalFormatting>
  <conditionalFormatting sqref="C36">
    <cfRule type="cellIs" dxfId="58" priority="60" operator="equal">
      <formula>"Answer Required"</formula>
    </cfRule>
  </conditionalFormatting>
  <conditionalFormatting sqref="C41">
    <cfRule type="cellIs" dxfId="57" priority="59" operator="equal">
      <formula>"Answer Required"</formula>
    </cfRule>
  </conditionalFormatting>
  <conditionalFormatting sqref="C47">
    <cfRule type="cellIs" dxfId="56" priority="58" operator="equal">
      <formula>"Answer Required"</formula>
    </cfRule>
  </conditionalFormatting>
  <conditionalFormatting sqref="C54">
    <cfRule type="cellIs" dxfId="55" priority="57" operator="equal">
      <formula>"Answer Required"</formula>
    </cfRule>
  </conditionalFormatting>
  <conditionalFormatting sqref="C62">
    <cfRule type="cellIs" dxfId="54" priority="56" operator="equal">
      <formula>"Answer Required"</formula>
    </cfRule>
  </conditionalFormatting>
  <conditionalFormatting sqref="C77">
    <cfRule type="cellIs" dxfId="53" priority="86" operator="equal">
      <formula>"Answer Required"</formula>
    </cfRule>
  </conditionalFormatting>
  <conditionalFormatting sqref="C82">
    <cfRule type="cellIs" dxfId="52" priority="55" operator="equal">
      <formula>"Answer Required"</formula>
    </cfRule>
  </conditionalFormatting>
  <conditionalFormatting sqref="C108">
    <cfRule type="cellIs" dxfId="51" priority="54" operator="equal">
      <formula>"Answer Required"</formula>
    </cfRule>
  </conditionalFormatting>
  <conditionalFormatting sqref="C117">
    <cfRule type="cellIs" dxfId="50" priority="53" operator="equal">
      <formula>"Answer Required"</formula>
    </cfRule>
  </conditionalFormatting>
  <conditionalFormatting sqref="C119">
    <cfRule type="cellIs" dxfId="49" priority="52" operator="equal">
      <formula>"Answer Required"</formula>
    </cfRule>
  </conditionalFormatting>
  <conditionalFormatting sqref="C121">
    <cfRule type="cellIs" dxfId="48" priority="51" operator="equal">
      <formula>"Answer Required"</formula>
    </cfRule>
  </conditionalFormatting>
  <conditionalFormatting sqref="C123">
    <cfRule type="cellIs" dxfId="47" priority="50" operator="equal">
      <formula>"Answer Required"</formula>
    </cfRule>
  </conditionalFormatting>
  <conditionalFormatting sqref="C126">
    <cfRule type="cellIs" dxfId="46" priority="49" operator="equal">
      <formula>"Answer Required"</formula>
    </cfRule>
  </conditionalFormatting>
  <conditionalFormatting sqref="C139">
    <cfRule type="cellIs" dxfId="45" priority="48" operator="equal">
      <formula>"Answer Required"</formula>
    </cfRule>
  </conditionalFormatting>
  <conditionalFormatting sqref="C141">
    <cfRule type="cellIs" dxfId="44" priority="47" operator="equal">
      <formula>"Answer Required"</formula>
    </cfRule>
  </conditionalFormatting>
  <conditionalFormatting sqref="C150">
    <cfRule type="cellIs" dxfId="43" priority="70" operator="equal">
      <formula>"Answer Required"</formula>
    </cfRule>
  </conditionalFormatting>
  <conditionalFormatting sqref="C180">
    <cfRule type="cellIs" dxfId="42" priority="69" operator="equal">
      <formula>"Answer Required"</formula>
    </cfRule>
  </conditionalFormatting>
  <conditionalFormatting sqref="C187">
    <cfRule type="cellIs" dxfId="41" priority="65" operator="equal">
      <formula>"Answer Required"</formula>
    </cfRule>
  </conditionalFormatting>
  <conditionalFormatting sqref="C239">
    <cfRule type="cellIs" dxfId="40" priority="64" operator="equal">
      <formula>"Answer Required"</formula>
    </cfRule>
  </conditionalFormatting>
  <conditionalFormatting sqref="C264">
    <cfRule type="cellIs" dxfId="39" priority="63" operator="equal">
      <formula>"Answer Required"</formula>
    </cfRule>
  </conditionalFormatting>
  <conditionalFormatting sqref="C272:C274">
    <cfRule type="containsText" dxfId="38" priority="78" operator="containsText" text="Answer Required">
      <formula>NOT(ISERROR(SEARCH("Answer Required",C272)))</formula>
    </cfRule>
  </conditionalFormatting>
  <conditionalFormatting sqref="C279 C282">
    <cfRule type="containsText" dxfId="37" priority="77" operator="containsText" text="Answer Required">
      <formula>NOT(ISERROR(SEARCH("Answer Required",C279)))</formula>
    </cfRule>
  </conditionalFormatting>
  <conditionalFormatting sqref="C286">
    <cfRule type="containsText" dxfId="36" priority="76" operator="containsText" text="Answer Required">
      <formula>NOT(ISERROR(SEARCH("Answer Required",C286)))</formula>
    </cfRule>
  </conditionalFormatting>
  <conditionalFormatting sqref="C290">
    <cfRule type="containsText" dxfId="35" priority="75" operator="containsText" text="Answer Required">
      <formula>NOT(ISERROR(SEARCH("Answer Required",C290)))</formula>
    </cfRule>
  </conditionalFormatting>
  <conditionalFormatting sqref="C293">
    <cfRule type="containsText" dxfId="34" priority="42" operator="containsText" text="Answer Required">
      <formula>NOT(ISERROR(SEARCH("Answer Required",C293)))</formula>
    </cfRule>
  </conditionalFormatting>
  <conditionalFormatting sqref="C296">
    <cfRule type="containsText" dxfId="33" priority="74" operator="containsText" text="Answer Required">
      <formula>NOT(ISERROR(SEARCH("Answer Required",C296)))</formula>
    </cfRule>
  </conditionalFormatting>
  <conditionalFormatting sqref="C299">
    <cfRule type="containsText" dxfId="32" priority="71" operator="containsText" text="Answer Required">
      <formula>NOT(ISERROR(SEARCH("Answer Required",C299)))</formula>
    </cfRule>
  </conditionalFormatting>
  <conditionalFormatting sqref="C304">
    <cfRule type="cellIs" dxfId="31" priority="40" operator="equal">
      <formula>"Answer Required"</formula>
    </cfRule>
  </conditionalFormatting>
  <conditionalFormatting sqref="C309">
    <cfRule type="containsText" dxfId="30" priority="23" operator="containsText" text="Answer Required">
      <formula>NOT(ISERROR(SEARCH("Answer Required",C309)))</formula>
    </cfRule>
  </conditionalFormatting>
  <conditionalFormatting sqref="C315">
    <cfRule type="containsText" dxfId="29" priority="20" operator="containsText" text="Answer Required">
      <formula>NOT(ISERROR(SEARCH("Answer Required",C315)))</formula>
    </cfRule>
  </conditionalFormatting>
  <conditionalFormatting sqref="C323:C326">
    <cfRule type="containsText" dxfId="28" priority="27" operator="containsText" text="Answer Required">
      <formula>NOT(ISERROR(SEARCH("Answer Required",C323)))</formula>
    </cfRule>
  </conditionalFormatting>
  <conditionalFormatting sqref="C329">
    <cfRule type="containsText" dxfId="27" priority="36" operator="containsText" text="Answer Required">
      <formula>NOT(ISERROR(SEARCH("Answer Required",C329)))</formula>
    </cfRule>
  </conditionalFormatting>
  <conditionalFormatting sqref="C331:C333">
    <cfRule type="cellIs" dxfId="26" priority="33" operator="equal">
      <formula>"Answer Required"</formula>
    </cfRule>
  </conditionalFormatting>
  <conditionalFormatting sqref="C335">
    <cfRule type="containsText" dxfId="25" priority="32" operator="containsText" text="Answer Required">
      <formula>NOT(ISERROR(SEARCH("Answer Required",C335)))</formula>
    </cfRule>
  </conditionalFormatting>
  <conditionalFormatting sqref="C344">
    <cfRule type="containsText" dxfId="24" priority="11" operator="containsText" text="Answer Required">
      <formula>NOT(ISERROR(SEARCH("Answer Required",C344)))</formula>
    </cfRule>
  </conditionalFormatting>
  <conditionalFormatting sqref="C347">
    <cfRule type="containsText" dxfId="23" priority="12" operator="containsText" text="Answer Required">
      <formula>NOT(ISERROR(SEARCH("Answer Required",C347)))</formula>
    </cfRule>
  </conditionalFormatting>
  <conditionalFormatting sqref="C349">
    <cfRule type="containsText" dxfId="22" priority="15" operator="containsText" text="Answer Required">
      <formula>NOT(ISERROR(SEARCH("Answer Required",C349)))</formula>
    </cfRule>
  </conditionalFormatting>
  <conditionalFormatting sqref="C353">
    <cfRule type="containsText" dxfId="21" priority="3" operator="containsText" text="Answer Required">
      <formula>NOT(ISERROR(SEARCH("Answer Required",C353)))</formula>
    </cfRule>
  </conditionalFormatting>
  <dataValidations count="29">
    <dataValidation type="list" allowBlank="1" showInputMessage="1" showErrorMessage="1" error="Use the drop-down list to enter yes or no." sqref="B216" xr:uid="{00000000-0002-0000-0D00-000000000000}">
      <formula1>$I$1:$I$2</formula1>
    </dataValidation>
    <dataValidation allowBlank="1" showInputMessage="1" showErrorMessage="1" error="Enter Yes or No." sqref="B211 B213" xr:uid="{00000000-0002-0000-0D00-000001000000}"/>
    <dataValidation type="whole" allowBlank="1" showInputMessage="1" showErrorMessage="1" error="Please enter a whole number." sqref="B89:B99 C56:C57" xr:uid="{00000000-0002-0000-0D00-000002000000}">
      <formula1>-9999999999999</formula1>
      <formula2>9999999999999</formula2>
    </dataValidation>
    <dataValidation allowBlank="1" showErrorMessage="1" prompt="_x000a_" sqref="B100:C100" xr:uid="{00000000-0002-0000-0D00-000003000000}"/>
    <dataValidation type="whole" allowBlank="1" showInputMessage="1" showErrorMessage="1" error="Enter whole number." sqref="C131" xr:uid="{00000000-0002-0000-0D00-000004000000}">
      <formula1>-1E+27</formula1>
      <formula2>1E+27</formula2>
    </dataValidation>
    <dataValidation type="whole" allowBlank="1" showInputMessage="1" showErrorMessage="1" error="Enter a whole number." sqref="C129" xr:uid="{00000000-0002-0000-0D00-000005000000}">
      <formula1>-9999999999999</formula1>
      <formula2>9999999999999</formula2>
    </dataValidation>
    <dataValidation type="list" allowBlank="1" showInputMessage="1" showErrorMessage="1" error="Please use the drop-down list to select Yes or No" sqref="A80 A193 A245 A25 A175 A161 A149 A137:A138 A255 A107 A65 A60 A51 A45 A39 A34 A29 A214 A230:A234 A294 A275 A76 A302 A320 A327 A330" xr:uid="{00000000-0002-0000-0D00-000006000000}">
      <formula1>$I$1:$I$2</formula1>
    </dataValidation>
    <dataValidation type="list" allowBlank="1" showInputMessage="1" showErrorMessage="1" error="Please use the drop-down list to select  Yes or No" sqref="A115 A124:A125 A122 A120 A118" xr:uid="{00000000-0002-0000-0D00-000007000000}">
      <formula1>$I$1:$I$3</formula1>
    </dataValidation>
    <dataValidation type="list" allowBlank="1" showInputMessage="1" showErrorMessage="1" error="Please use drop-down list to select Yes or No" sqref="A263 A238" xr:uid="{00000000-0002-0000-0D00-000008000000}">
      <formula1>$I$1:$I$3</formula1>
    </dataValidation>
    <dataValidation type="whole" allowBlank="1" showInputMessage="1" showErrorMessage="1" error="Please enter a whole number_x000a_" sqref="C68:C71" xr:uid="{00000000-0002-0000-0D00-000009000000}">
      <formula1>-9999999999999</formula1>
      <formula2>9999999999999</formula2>
    </dataValidation>
    <dataValidation type="list" allowBlank="1" showInputMessage="1" showErrorMessage="1" error="Please use the drop-down list to select Yes or No" sqref="A116 A182:A186 A179 A177 A173 A168 A163:A166 A158:A159 A156 A151:A154" xr:uid="{00000000-0002-0000-0D00-00000A000000}">
      <formula1>$I$1:$I$3</formula1>
    </dataValidation>
    <dataValidation type="whole" allowBlank="1" showInputMessage="1" showErrorMessage="1" error="Enter a negative whole number." sqref="C130" xr:uid="{00000000-0002-0000-0D00-00000B000000}">
      <formula1>-9999999999999</formula1>
      <formula2>0</formula2>
    </dataValidation>
    <dataValidation type="whole" allowBlank="1" showErrorMessage="1" error="Please enter a whole number." sqref="B257:B260 B247:B252 B196:B210 B217:B234" xr:uid="{00000000-0002-0000-0D00-00000C000000}">
      <formula1>-9999999999999</formula1>
      <formula2>9999999999999</formula2>
    </dataValidation>
    <dataValidation type="list" allowBlank="1" showInputMessage="1" showErrorMessage="1" error="Please use drop-down list to make a selection" sqref="B15:C15" xr:uid="{00000000-0002-0000-0D00-00000D000000}">
      <formula1>$G$1:$G$5</formula1>
    </dataValidation>
    <dataValidation type="list" allowBlank="1" showInputMessage="1" showErrorMessage="1" error="Please use the drop-down list to make a selection" sqref="B16:C16" xr:uid="{00000000-0002-0000-0D00-00000E000000}">
      <formula1>$H$1:$H$5</formula1>
    </dataValidation>
    <dataValidation type="list" allowBlank="1" showInputMessage="1" showErrorMessage="1" error="Please use the drop down list to select Yes, No, or N/A." sqref="B18:C18" xr:uid="{00000000-0002-0000-0D00-00000F000000}">
      <formula1>$I$1:$I$3</formula1>
    </dataValidation>
    <dataValidation type="list" allowBlank="1" showInputMessage="1" showErrorMessage="1" error="Select &quot;Yes&quot;, &quot;No&quot;, or &quot;N/A&quot; using drop-down list" sqref="A284 A281" xr:uid="{00000000-0002-0000-0D00-000010000000}">
      <formula1>$I$1:$I$3</formula1>
    </dataValidation>
    <dataValidation type="whole" allowBlank="1" showInputMessage="1" showErrorMessage="1" errorTitle="Enter Whole Number" error="Please enter a whole number." promptTitle="Enter Whole Number" sqref="B272:B274 B277 B286 B323:B326" xr:uid="{00000000-0002-0000-0D00-000011000000}">
      <formula1>-9999999999999</formula1>
      <formula2>9999999999999</formula2>
    </dataValidation>
    <dataValidation type="list" allowBlank="1" showInputMessage="1" showErrorMessage="1" error="Please use the drop-down list to select Yes, No, or N/A" sqref="A297 A291" xr:uid="{00000000-0002-0000-0D00-000012000000}">
      <formula1>$I$1:$I$3</formula1>
    </dataValidation>
    <dataValidation type="list" allowBlank="1" showInputMessage="1" showErrorMessage="1" error="Please use the drop down list to select Yes, No or N/A" sqref="B19:C19" xr:uid="{00000000-0002-0000-0D00-000013000000}">
      <formula1>$I$1:$I$3</formula1>
    </dataValidation>
    <dataValidation type="list" allowBlank="1" showInputMessage="1" showErrorMessage="1" error="Please use the drop down list to select Yes, No or N/A_x000a_" sqref="B20:C20" xr:uid="{00000000-0002-0000-0D00-000014000000}">
      <formula1>$I$1:$I$3</formula1>
    </dataValidation>
    <dataValidation type="list" allowBlank="1" showInputMessage="1" showErrorMessage="1" error="Please use the drop-down list to select Yes, No, or N/A" sqref="A280" xr:uid="{00000000-0002-0000-0D00-000015000000}">
      <formula1>I1:I3</formula1>
    </dataValidation>
    <dataValidation type="list" allowBlank="1" showInputMessage="1" showErrorMessage="1" error="Please use the drop-down list to select Yes or No." sqref="A269 A283" xr:uid="{00000000-0002-0000-0D00-000016000000}">
      <formula1>$I$1:$I$2</formula1>
    </dataValidation>
    <dataValidation type="list" allowBlank="1" showInputMessage="1" showErrorMessage="1" error="Please use the drop-down list to select Yes, No or N/A." sqref="B61" xr:uid="{00000000-0002-0000-0D00-000017000000}">
      <formula1>$I$1:$I$3</formula1>
    </dataValidation>
    <dataValidation type="list" allowBlank="1" showInputMessage="1" showErrorMessage="1" error="Please use the drop-down list to select Yes, No, or N/A." sqref="A140" xr:uid="{00000000-0002-0000-0D00-000018000000}">
      <formula1>$I$1:$I$3</formula1>
    </dataValidation>
    <dataValidation type="list" allowBlank="1" showInputMessage="1" showErrorMessage="1" error="Please use the drop-down to select Yes or No." sqref="A314 A308 A352" xr:uid="{00000000-0002-0000-0D00-000019000000}">
      <formula1>$I$1:$I$2</formula1>
    </dataValidation>
    <dataValidation type="list" allowBlank="1" showInputMessage="1" showErrorMessage="1" error="Use drop-down list to enter valid Agency/Description of Prepaid" sqref="C89:C95" xr:uid="{00000000-0002-0000-0D00-00001A000000}">
      <formula1>$N$88:$N$99</formula1>
    </dataValidation>
    <dataValidation type="list" allowBlank="1" showInputMessage="1" showErrorMessage="1" error="Use the drop-down list to enter Yes, No, or N/A" sqref="A343 A345:A346" xr:uid="{1DE5230F-6C36-4F6F-A041-24FC1D3E6507}">
      <formula1>$I$1:$I$2</formula1>
    </dataValidation>
    <dataValidation type="list" allowBlank="1" showInputMessage="1" showErrorMessage="1" error="Use the drop-down list to enter yes or no" sqref="A338 A342 A348" xr:uid="{42DA141C-5EF6-492A-BBBD-0D030E55950C}">
      <formula1>$I$1:$I$2</formula1>
    </dataValidation>
  </dataValidations>
  <pageMargins left="0.75" right="0.33" top="0.56999999999999995" bottom="0.37" header="0.19" footer="0.17"/>
  <pageSetup scale="59" fitToHeight="20"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7" manualBreakCount="7">
    <brk id="42" max="3" man="1"/>
    <brk id="78" max="3" man="1"/>
    <brk id="141" max="3" man="1"/>
    <brk id="190" max="3" man="1"/>
    <brk id="212" max="3" man="1"/>
    <brk id="266" max="3" man="1"/>
    <brk id="300" max="3" man="1"/>
  </rowBreaks>
  <ignoredErrors>
    <ignoredError sqref="A179" unlockedFormula="1"/>
  </ignoredErrors>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autoPageBreaks="0"/>
  </sheetPr>
  <dimension ref="A1:M47"/>
  <sheetViews>
    <sheetView showGridLines="0" zoomScaleNormal="100" workbookViewId="0">
      <selection activeCell="C3" sqref="C3:E3"/>
    </sheetView>
  </sheetViews>
  <sheetFormatPr defaultColWidth="9.109375" defaultRowHeight="13.2"/>
  <cols>
    <col min="1" max="1" width="41.33203125" style="11" customWidth="1"/>
    <col min="2" max="2" width="20.6640625" style="11" hidden="1" customWidth="1"/>
    <col min="3" max="3" width="20.6640625" style="11" customWidth="1"/>
    <col min="4" max="4" width="15" style="11" customWidth="1"/>
    <col min="5" max="5" width="18.88671875" style="11" customWidth="1"/>
    <col min="6" max="7" width="11.44140625" style="11" customWidth="1"/>
    <col min="8" max="10" width="9.109375" style="11"/>
    <col min="11" max="11" width="0" style="11" hidden="1" customWidth="1"/>
    <col min="12" max="12" width="28.6640625" style="11" hidden="1" customWidth="1"/>
    <col min="13" max="13" width="28.88671875" style="11" hidden="1" customWidth="1"/>
    <col min="14" max="14" width="0" style="11" hidden="1" customWidth="1"/>
    <col min="15" max="16384" width="9.109375" style="11"/>
  </cols>
  <sheetData>
    <row r="1" spans="1:13" s="732" customFormat="1" ht="12.6" customHeight="1">
      <c r="A1" s="564" t="str">
        <f>'Internal Service Template'!A1:D1</f>
        <v>Agency Number:</v>
      </c>
      <c r="B1" s="562"/>
      <c r="C1" s="1180" t="str">
        <f>'Internal Service Template'!E1</f>
        <v/>
      </c>
      <c r="D1" s="1181"/>
      <c r="E1" s="1182"/>
    </row>
    <row r="2" spans="1:13" s="732" customFormat="1" ht="12.75" customHeight="1">
      <c r="A2" s="564" t="str">
        <f>'Internal Service Template'!A2:D2</f>
        <v>Agency Fund Name:</v>
      </c>
      <c r="B2" s="562"/>
      <c r="C2" s="1180" t="str">
        <f>IF('Internal Service Template'!E2="","",'Internal Service Template'!E2)</f>
        <v/>
      </c>
      <c r="D2" s="1181"/>
      <c r="E2" s="1182"/>
    </row>
    <row r="3" spans="1:13" s="732" customFormat="1">
      <c r="A3" s="564" t="str">
        <f>'Internal Service Template'!A3:D3</f>
        <v>Agency Contact Name:</v>
      </c>
      <c r="B3" s="562"/>
      <c r="C3" s="1167" t="str">
        <f>IF('Internal Service Template'!E3="","",'Internal Service Template'!E3)</f>
        <v/>
      </c>
      <c r="D3" s="1354"/>
      <c r="E3" s="1355"/>
    </row>
    <row r="4" spans="1:13" s="732" customFormat="1" ht="12.75" customHeight="1">
      <c r="A4" s="564" t="str">
        <f>'Internal Service Template'!A4:D4</f>
        <v>Agency Contact Phone Number:</v>
      </c>
      <c r="B4" s="562"/>
      <c r="C4" s="1176" t="str">
        <f>IF('Internal Service Template'!E4="","",'Internal Service Template'!E4)</f>
        <v/>
      </c>
      <c r="D4" s="1177"/>
      <c r="E4" s="1178"/>
    </row>
    <row r="5" spans="1:13" s="732" customFormat="1" ht="12.75" customHeight="1">
      <c r="A5" s="564" t="str">
        <f>'Internal Service Template'!A5:D5</f>
        <v>Agency Contact E-mail Address:</v>
      </c>
      <c r="B5" s="562"/>
      <c r="C5" s="1172" t="str">
        <f>IF('Internal Service Template'!E5="","",'Internal Service Template'!E5)</f>
        <v/>
      </c>
      <c r="D5" s="1356"/>
      <c r="E5" s="1357"/>
    </row>
    <row r="6" spans="1:13" s="732" customFormat="1" ht="12.75" customHeight="1">
      <c r="A6" s="564" t="str">
        <f>'Internal Service Template'!A6:D6</f>
        <v>Date Completed:</v>
      </c>
      <c r="B6" s="562"/>
      <c r="C6" s="1173" t="str">
        <f>IF('Internal Service Template'!E6="","",'Internal Service Template'!E6)</f>
        <v/>
      </c>
      <c r="D6" s="1174"/>
      <c r="E6" s="1175"/>
    </row>
    <row r="7" spans="1:13" s="732" customFormat="1" ht="35.25" customHeight="1">
      <c r="A7" s="564" t="str">
        <f>'Internal Service Template'!A7:D7</f>
        <v>Fund Number:</v>
      </c>
      <c r="B7" s="562"/>
      <c r="C7" s="1351" t="str">
        <f>'Internal Service Template'!E7</f>
        <v/>
      </c>
      <c r="D7" s="1352"/>
      <c r="E7" s="1353"/>
    </row>
    <row r="8" spans="1:13" s="732" customFormat="1" ht="12.75" customHeight="1">
      <c r="A8" s="189"/>
      <c r="B8" s="189"/>
      <c r="C8" s="189"/>
      <c r="D8" s="189"/>
      <c r="E8" s="964"/>
      <c r="L8" s="71" t="s">
        <v>118</v>
      </c>
      <c r="M8" s="71" t="s">
        <v>116</v>
      </c>
    </row>
    <row r="9" spans="1:13" s="732" customFormat="1" ht="12.6" customHeight="1">
      <c r="A9" s="86" t="s">
        <v>565</v>
      </c>
      <c r="B9" s="86"/>
      <c r="C9" s="86"/>
      <c r="D9" s="86"/>
      <c r="E9" s="13"/>
      <c r="L9" s="71" t="s">
        <v>119</v>
      </c>
      <c r="M9" s="71" t="s">
        <v>117</v>
      </c>
    </row>
    <row r="10" spans="1:13" s="968" customFormat="1" ht="12.6" customHeight="1">
      <c r="A10" s="632" t="str">
        <f>'Tab 2-Receivables'!A10</f>
        <v>For the Year Ended June 30, 2024</v>
      </c>
      <c r="B10" s="632"/>
      <c r="C10" s="632"/>
      <c r="D10" s="632"/>
      <c r="E10" s="13"/>
      <c r="L10" s="71" t="s">
        <v>120</v>
      </c>
      <c r="M10" s="11" t="s">
        <v>262</v>
      </c>
    </row>
    <row r="11" spans="1:13" s="968" customFormat="1" ht="12.6" customHeight="1">
      <c r="A11" s="969"/>
      <c r="B11" s="969"/>
      <c r="C11" s="969"/>
      <c r="D11" s="969"/>
      <c r="E11" s="11"/>
      <c r="L11" s="71" t="s">
        <v>239</v>
      </c>
      <c r="M11" s="11" t="s">
        <v>262</v>
      </c>
    </row>
    <row r="12" spans="1:13" s="968" customFormat="1" ht="12.6" customHeight="1">
      <c r="A12" s="721" t="s">
        <v>3976</v>
      </c>
      <c r="B12" s="970"/>
      <c r="C12" s="970"/>
      <c r="D12" s="970"/>
      <c r="E12" s="11"/>
      <c r="L12" s="71" t="s">
        <v>240</v>
      </c>
      <c r="M12" s="11" t="s">
        <v>262</v>
      </c>
    </row>
    <row r="13" spans="1:13" s="968" customFormat="1" ht="12.6" customHeight="1">
      <c r="A13" s="969" t="s">
        <v>582</v>
      </c>
      <c r="B13" s="971"/>
      <c r="C13" s="971"/>
      <c r="D13" s="971"/>
      <c r="E13" s="11"/>
      <c r="L13" s="71" t="s">
        <v>241</v>
      </c>
      <c r="M13" s="11" t="s">
        <v>262</v>
      </c>
    </row>
    <row r="14" spans="1:13" s="968" customFormat="1" ht="12.6" customHeight="1">
      <c r="A14" s="972"/>
      <c r="B14" s="973"/>
      <c r="C14" s="973"/>
      <c r="D14" s="973"/>
      <c r="E14" s="35"/>
      <c r="L14" s="11" t="s">
        <v>541</v>
      </c>
      <c r="M14" s="11" t="s">
        <v>542</v>
      </c>
    </row>
    <row r="15" spans="1:13">
      <c r="A15" s="13" t="s">
        <v>722</v>
      </c>
      <c r="B15" s="13"/>
      <c r="C15" s="13"/>
      <c r="D15" s="13"/>
    </row>
    <row r="16" spans="1:13" ht="40.5" customHeight="1">
      <c r="E16" s="100"/>
      <c r="L16" s="11" t="s">
        <v>682</v>
      </c>
      <c r="M16" s="11" t="s">
        <v>446</v>
      </c>
    </row>
    <row r="17" spans="1:13" ht="24.75" customHeight="1">
      <c r="A17" s="75" t="s">
        <v>723</v>
      </c>
      <c r="B17" s="75"/>
      <c r="C17" s="75"/>
      <c r="D17" s="75"/>
      <c r="E17" s="109" t="str">
        <f>IF(ISNA(VLOOKUP($C$2,'Prior Year FS Balances'!$D$547:$R$564,13,FALSE)),"",(VLOOKUP($C$2,'Prior Year FS Balances'!$D$547:$R$564,13,FALSE)))</f>
        <v/>
      </c>
      <c r="L17" s="11" t="s">
        <v>683</v>
      </c>
      <c r="M17" s="11" t="s">
        <v>447</v>
      </c>
    </row>
    <row r="18" spans="1:13">
      <c r="A18" s="75"/>
      <c r="B18" s="75"/>
      <c r="C18" s="75"/>
      <c r="D18" s="75"/>
      <c r="E18" s="172"/>
      <c r="L18" s="11" t="s">
        <v>213</v>
      </c>
      <c r="M18" s="11" t="s">
        <v>448</v>
      </c>
    </row>
    <row r="19" spans="1:13">
      <c r="A19" s="11" t="s">
        <v>3958</v>
      </c>
      <c r="C19" s="1362" t="s">
        <v>3959</v>
      </c>
      <c r="D19" s="1362"/>
      <c r="E19" s="207" t="s">
        <v>561</v>
      </c>
      <c r="L19" s="11" t="s">
        <v>215</v>
      </c>
      <c r="M19" s="11" t="s">
        <v>299</v>
      </c>
    </row>
    <row r="20" spans="1:13" ht="30" customHeight="1">
      <c r="A20" s="256"/>
      <c r="B20" s="1040"/>
      <c r="C20" s="1363"/>
      <c r="D20" s="1364"/>
      <c r="E20" s="144"/>
      <c r="L20" s="11" t="s">
        <v>212</v>
      </c>
      <c r="M20" s="11" t="s">
        <v>212</v>
      </c>
    </row>
    <row r="21" spans="1:13" ht="30" customHeight="1">
      <c r="A21" s="256"/>
      <c r="B21" s="1040"/>
      <c r="C21" s="1363"/>
      <c r="D21" s="1364"/>
      <c r="E21" s="144"/>
      <c r="L21" s="11" t="s">
        <v>214</v>
      </c>
      <c r="M21" s="11" t="s">
        <v>214</v>
      </c>
    </row>
    <row r="22" spans="1:13" ht="30" customHeight="1">
      <c r="A22" s="256"/>
      <c r="B22" s="1040"/>
      <c r="C22" s="1363"/>
      <c r="D22" s="1364"/>
      <c r="E22" s="144"/>
      <c r="L22" s="11" t="s">
        <v>210</v>
      </c>
      <c r="M22" s="11" t="s">
        <v>210</v>
      </c>
    </row>
    <row r="23" spans="1:13" ht="30" customHeight="1">
      <c r="A23" s="256"/>
      <c r="B23" s="1040"/>
      <c r="C23" s="1363"/>
      <c r="D23" s="1364"/>
      <c r="E23" s="144"/>
      <c r="L23" s="11" t="s">
        <v>92</v>
      </c>
      <c r="M23" s="11" t="s">
        <v>92</v>
      </c>
    </row>
    <row r="24" spans="1:13" ht="30" customHeight="1">
      <c r="A24" s="256"/>
      <c r="B24" s="1040"/>
      <c r="C24" s="1363"/>
      <c r="D24" s="1364"/>
      <c r="E24" s="144"/>
    </row>
    <row r="25" spans="1:13" ht="30" customHeight="1">
      <c r="A25" s="256"/>
      <c r="B25" s="1040"/>
      <c r="C25" s="1363"/>
      <c r="D25" s="1364"/>
      <c r="E25" s="144"/>
    </row>
    <row r="26" spans="1:13" ht="30" customHeight="1">
      <c r="A26" s="256"/>
      <c r="B26" s="1040"/>
      <c r="C26" s="1363"/>
      <c r="D26" s="1364"/>
      <c r="E26" s="144"/>
    </row>
    <row r="27" spans="1:13" ht="27" thickBot="1">
      <c r="A27" s="75" t="s">
        <v>724</v>
      </c>
      <c r="B27" s="75"/>
      <c r="C27" s="75"/>
      <c r="D27" s="75"/>
      <c r="E27" s="82">
        <f>SUM(E17,E20:E26)</f>
        <v>0</v>
      </c>
      <c r="L27" s="11" t="s">
        <v>682</v>
      </c>
      <c r="M27" s="71" t="s">
        <v>116</v>
      </c>
    </row>
    <row r="28" spans="1:13" ht="13.8" thickTop="1">
      <c r="A28" s="75"/>
      <c r="B28" s="75"/>
      <c r="C28" s="75"/>
      <c r="D28" s="75"/>
      <c r="E28" s="737" t="s">
        <v>146</v>
      </c>
      <c r="F28" s="1039">
        <f>SUM(E17,E20:E26)-'Internal Service Template'!O292</f>
        <v>0</v>
      </c>
      <c r="L28" s="11" t="s">
        <v>683</v>
      </c>
      <c r="M28" s="71" t="s">
        <v>118</v>
      </c>
    </row>
    <row r="29" spans="1:13">
      <c r="A29" s="75"/>
      <c r="B29" s="75"/>
      <c r="C29" s="75"/>
      <c r="D29" s="75"/>
      <c r="E29" s="140"/>
      <c r="L29" s="11" t="s">
        <v>213</v>
      </c>
      <c r="M29" s="11" t="s">
        <v>561</v>
      </c>
    </row>
    <row r="30" spans="1:13">
      <c r="L30" s="11" t="s">
        <v>215</v>
      </c>
      <c r="M30" s="11" t="s">
        <v>561</v>
      </c>
    </row>
    <row r="31" spans="1:13">
      <c r="A31" s="13" t="s">
        <v>563</v>
      </c>
      <c r="B31" s="13"/>
      <c r="C31" s="13"/>
      <c r="D31" s="13"/>
      <c r="L31" s="11" t="s">
        <v>212</v>
      </c>
      <c r="M31" s="11" t="s">
        <v>561</v>
      </c>
    </row>
    <row r="32" spans="1:13" ht="37.5" customHeight="1">
      <c r="E32" s="100"/>
      <c r="L32" s="11" t="s">
        <v>214</v>
      </c>
      <c r="M32" s="11" t="s">
        <v>561</v>
      </c>
    </row>
    <row r="33" spans="1:13" ht="26.4">
      <c r="A33" s="75" t="s">
        <v>10</v>
      </c>
      <c r="B33" s="75"/>
      <c r="C33" s="75"/>
      <c r="D33" s="75"/>
      <c r="E33" s="109" t="str">
        <f>IF(ISNA(VLOOKUP($C$2,'Prior Year FS Balances'!$D$569:$R$585,13,FALSE)),"",(VLOOKUP($C$2,'Prior Year FS Balances'!$D$569:$R$585,13,FALSE)))</f>
        <v/>
      </c>
      <c r="L33" s="11" t="s">
        <v>210</v>
      </c>
      <c r="M33" s="11" t="s">
        <v>561</v>
      </c>
    </row>
    <row r="34" spans="1:13">
      <c r="A34" s="75"/>
      <c r="B34" s="75"/>
      <c r="C34" s="75"/>
      <c r="D34" s="75"/>
      <c r="E34" s="172"/>
      <c r="L34" s="11" t="s">
        <v>92</v>
      </c>
      <c r="M34" s="11" t="s">
        <v>561</v>
      </c>
    </row>
    <row r="35" spans="1:13">
      <c r="A35" s="11" t="s">
        <v>3958</v>
      </c>
      <c r="C35" s="1362" t="s">
        <v>3959</v>
      </c>
      <c r="D35" s="1362"/>
      <c r="E35" s="207" t="s">
        <v>561</v>
      </c>
    </row>
    <row r="36" spans="1:13" ht="30" customHeight="1">
      <c r="A36" s="256"/>
      <c r="B36" s="1040"/>
      <c r="C36" s="1363"/>
      <c r="D36" s="1364"/>
      <c r="E36" s="144"/>
    </row>
    <row r="37" spans="1:13" ht="30" customHeight="1">
      <c r="A37" s="256"/>
      <c r="B37" s="1040"/>
      <c r="C37" s="1363"/>
      <c r="D37" s="1364"/>
      <c r="E37" s="144"/>
    </row>
    <row r="38" spans="1:13" ht="30" customHeight="1">
      <c r="A38" s="256"/>
      <c r="B38" s="1040"/>
      <c r="C38" s="1363"/>
      <c r="D38" s="1364"/>
      <c r="E38" s="144"/>
    </row>
    <row r="39" spans="1:13" ht="30" customHeight="1">
      <c r="A39" s="256"/>
      <c r="B39" s="1040"/>
      <c r="C39" s="1363"/>
      <c r="D39" s="1364"/>
      <c r="E39" s="144"/>
    </row>
    <row r="40" spans="1:13" ht="30" customHeight="1">
      <c r="A40" s="256"/>
      <c r="B40" s="1040"/>
      <c r="C40" s="1363"/>
      <c r="D40" s="1364"/>
      <c r="E40" s="144"/>
    </row>
    <row r="41" spans="1:13" ht="41.25" customHeight="1" thickBot="1">
      <c r="A41" s="75" t="s">
        <v>522</v>
      </c>
      <c r="B41" s="75"/>
      <c r="C41" s="75"/>
      <c r="D41" s="75"/>
      <c r="E41" s="80">
        <f>IF(SUM(E33,E36:E40)='Internal Service Template'!O379,SUM(E33,E36:E40),"ERROR")</f>
        <v>0</v>
      </c>
    </row>
    <row r="42" spans="1:13" ht="13.8" thickTop="1">
      <c r="E42" s="737" t="s">
        <v>146</v>
      </c>
      <c r="F42" s="1039">
        <f>SUM(E33,E36:E40)-'Internal Service Template'!O379</f>
        <v>0</v>
      </c>
    </row>
    <row r="46" spans="1:13" ht="57.75" customHeight="1" thickBot="1">
      <c r="A46" s="1358" t="s">
        <v>3977</v>
      </c>
      <c r="B46" s="1358"/>
      <c r="C46" s="1358"/>
      <c r="D46" s="1358"/>
      <c r="E46" s="1358"/>
    </row>
    <row r="47" spans="1:13" ht="65.25" customHeight="1" thickBot="1">
      <c r="A47" s="1359"/>
      <c r="B47" s="1360"/>
      <c r="C47" s="1360"/>
      <c r="D47" s="1360"/>
      <c r="E47" s="1361"/>
    </row>
  </sheetData>
  <sheetProtection algorithmName="SHA-512" hashValue="bL24KtmgHDOUuZWkGmylyiZCLJhDFZlyJ/vvXZoq5Vu0e7POGQRB95XR5FZxs2ge41iJm+XX298DqZrMXvQGug==" saltValue="q+Y7GKF/dRofKPQ2iAF95A==" spinCount="100000" sheet="1" objects="1" scenarios="1"/>
  <customSheetViews>
    <customSheetView guid="{5CCA66B6-9DBD-4F43-8EC0-0C18444D6068}" scale="75" showGridLines="0" hiddenColumns="1" showRuler="0" topLeftCell="A22">
      <selection activeCell="E32" sqref="E32"/>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23">
    <mergeCell ref="A46:E46"/>
    <mergeCell ref="A47:E47"/>
    <mergeCell ref="C19:D19"/>
    <mergeCell ref="C35:D35"/>
    <mergeCell ref="C36:D36"/>
    <mergeCell ref="C37:D37"/>
    <mergeCell ref="C20:D20"/>
    <mergeCell ref="C21:D21"/>
    <mergeCell ref="C22:D22"/>
    <mergeCell ref="C23:D23"/>
    <mergeCell ref="C24:D24"/>
    <mergeCell ref="C25:D25"/>
    <mergeCell ref="C26:D26"/>
    <mergeCell ref="C38:D38"/>
    <mergeCell ref="C39:D39"/>
    <mergeCell ref="C40:D40"/>
    <mergeCell ref="C6:E6"/>
    <mergeCell ref="C7:E7"/>
    <mergeCell ref="C1:E1"/>
    <mergeCell ref="C2:E2"/>
    <mergeCell ref="C3:E3"/>
    <mergeCell ref="C4:E4"/>
    <mergeCell ref="C5:E5"/>
  </mergeCells>
  <phoneticPr fontId="46" type="noConversion"/>
  <conditionalFormatting sqref="A47:E47">
    <cfRule type="cellIs" dxfId="20" priority="1" operator="equal">
      <formula>"Answer Required"</formula>
    </cfRule>
  </conditionalFormatting>
  <dataValidations xWindow="146" yWindow="303" count="6">
    <dataValidation allowBlank="1" showErrorMessage="1" sqref="M8:M9 M27 E17 E33 E29" xr:uid="{00000000-0002-0000-0E00-000000000000}"/>
    <dataValidation type="whole" allowBlank="1" showErrorMessage="1" error="Amount must be rounded to the nearest dollar." sqref="E34" xr:uid="{00000000-0002-0000-0E00-000001000000}">
      <formula1>-1000000000000</formula1>
      <formula2>1000000000000</formula2>
    </dataValidation>
    <dataValidation type="whole" allowBlank="1" showErrorMessage="1" error="Amount must be rounded to the nearest dollar." sqref="E18" xr:uid="{00000000-0002-0000-0E00-000003000000}">
      <formula1>0</formula1>
      <formula2>9.99999999999999E+25</formula2>
    </dataValidation>
    <dataValidation type="whole" allowBlank="1" showErrorMessage="1" error="Please enter a whole number." sqref="E20:E26 E36:E40" xr:uid="{00000000-0002-0000-0E00-000004000000}">
      <formula1>-9999999999999</formula1>
      <formula2>9999999999999</formula2>
    </dataValidation>
    <dataValidation type="whole" allowBlank="1" showInputMessage="1" showErrorMessage="1" sqref="E27 E41" xr:uid="{00000000-0002-0000-0E00-000005000000}">
      <formula1>-9999999999999</formula1>
      <formula2>9999999999999</formula2>
    </dataValidation>
    <dataValidation type="list" allowBlank="1" showInputMessage="1" showErrorMessage="1" sqref="B20:C26 C36:C40" xr:uid="{2092633B-BC01-4D69-905F-24514350937C}">
      <formula1>"Change in Accounting Principle, Error Corrections, Changes to/within the Financial Reporting Entity"</formula1>
    </dataValidation>
  </dataValidations>
  <pageMargins left="0.75" right="0.38" top="0.74" bottom="0.37" header="0.19" footer="0.17"/>
  <pageSetup scale="75"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K354"/>
  <sheetViews>
    <sheetView showGridLines="0" zoomScaleNormal="100" workbookViewId="0">
      <selection activeCell="B3" sqref="B3:E3"/>
    </sheetView>
  </sheetViews>
  <sheetFormatPr defaultColWidth="8.88671875" defaultRowHeight="13.2"/>
  <cols>
    <col min="1" max="1" width="66.6640625" style="11" customWidth="1"/>
    <col min="2" max="2" width="17" style="11" customWidth="1"/>
    <col min="3" max="3" width="10.33203125" style="11" customWidth="1"/>
    <col min="4" max="4" width="13" style="11" customWidth="1"/>
    <col min="5" max="5" width="19.33203125" style="11" customWidth="1"/>
    <col min="6" max="6" width="7.109375" style="11" customWidth="1"/>
    <col min="7" max="7" width="8.88671875" style="11"/>
    <col min="8" max="8" width="6" style="11" customWidth="1"/>
    <col min="9" max="9" width="9" style="92" customWidth="1"/>
    <col min="10" max="16384" width="8.88671875" style="11"/>
  </cols>
  <sheetData>
    <row r="1" spans="1:9" s="657" customFormat="1" ht="12.6" customHeight="1">
      <c r="A1" s="704" t="str">
        <f>'Internal Service Template'!A1:D1</f>
        <v>Agency Number:</v>
      </c>
      <c r="B1" s="1246" t="str">
        <f>'Internal Service Template'!E1</f>
        <v/>
      </c>
      <c r="C1" s="1246"/>
      <c r="D1" s="1246"/>
      <c r="E1" s="1247"/>
      <c r="I1" s="675"/>
    </row>
    <row r="2" spans="1:9" s="657" customFormat="1" ht="12">
      <c r="A2" s="704" t="str">
        <f>'Internal Service Template'!A2:D2</f>
        <v>Agency Fund Name:</v>
      </c>
      <c r="B2" s="1246" t="str">
        <f>IF('Internal Service Template'!E2="","",'Internal Service Template'!E2)</f>
        <v/>
      </c>
      <c r="C2" s="1246"/>
      <c r="D2" s="1246"/>
      <c r="E2" s="1247"/>
      <c r="I2" s="675"/>
    </row>
    <row r="3" spans="1:9" s="657" customFormat="1" ht="12">
      <c r="A3" s="704" t="str">
        <f>'Internal Service Template'!A3:D3</f>
        <v>Agency Contact Name:</v>
      </c>
      <c r="B3" s="1248" t="str">
        <f>IF('Internal Service Template'!E3="","",'Internal Service Template'!E3)</f>
        <v/>
      </c>
      <c r="C3" s="1248"/>
      <c r="D3" s="1248"/>
      <c r="E3" s="1368"/>
      <c r="I3" s="675"/>
    </row>
    <row r="4" spans="1:9" s="657" customFormat="1" ht="12">
      <c r="A4" s="704" t="str">
        <f>'Internal Service Template'!A4:D4</f>
        <v>Agency Contact Phone Number:</v>
      </c>
      <c r="B4" s="1250" t="str">
        <f>IF('Internal Service Template'!E4="","",'Internal Service Template'!E4)</f>
        <v/>
      </c>
      <c r="C4" s="1250"/>
      <c r="D4" s="1250"/>
      <c r="E4" s="1369"/>
      <c r="I4" s="675"/>
    </row>
    <row r="5" spans="1:9" s="657" customFormat="1" ht="12">
      <c r="A5" s="704" t="str">
        <f>'Internal Service Template'!A5:D5</f>
        <v>Agency Contact E-mail Address:</v>
      </c>
      <c r="B5" s="1242" t="str">
        <f>IF('Internal Service Template'!E5="","",'Internal Service Template'!E5)</f>
        <v/>
      </c>
      <c r="C5" s="1242"/>
      <c r="D5" s="1242"/>
      <c r="E5" s="1366"/>
      <c r="I5" s="675"/>
    </row>
    <row r="6" spans="1:9" s="657" customFormat="1" ht="12">
      <c r="A6" s="704" t="str">
        <f>'Internal Service Template'!A6:D6</f>
        <v>Date Completed:</v>
      </c>
      <c r="B6" s="1244" t="str">
        <f>IF('Internal Service Template'!E6="","",'Internal Service Template'!E6)</f>
        <v/>
      </c>
      <c r="C6" s="1244"/>
      <c r="D6" s="1244"/>
      <c r="E6" s="1367"/>
      <c r="I6" s="675"/>
    </row>
    <row r="7" spans="1:9" s="657" customFormat="1" ht="12.75" customHeight="1">
      <c r="A7" s="704" t="str">
        <f>'Internal Service Template'!A7:D7</f>
        <v>Fund Number:</v>
      </c>
      <c r="B7" s="1246" t="str">
        <f>'Internal Service Template'!E7</f>
        <v/>
      </c>
      <c r="C7" s="1246"/>
      <c r="D7" s="1246"/>
      <c r="E7" s="1247"/>
      <c r="I7" s="675"/>
    </row>
    <row r="8" spans="1:9" s="657" customFormat="1" ht="12.75" customHeight="1">
      <c r="A8" s="659"/>
      <c r="B8" s="720"/>
      <c r="C8" s="720"/>
      <c r="D8" s="720"/>
      <c r="E8" s="720"/>
      <c r="I8" s="675"/>
    </row>
    <row r="9" spans="1:9" s="657" customFormat="1" ht="12.6" customHeight="1">
      <c r="A9" s="86" t="s">
        <v>78</v>
      </c>
      <c r="B9" s="27"/>
      <c r="C9" s="27"/>
      <c r="D9" s="27"/>
      <c r="E9" s="27"/>
      <c r="I9" s="675"/>
    </row>
    <row r="10" spans="1:9" s="664" customFormat="1" ht="12.6" customHeight="1">
      <c r="A10" s="632" t="str">
        <f>'Tab 2-Receivables'!A10</f>
        <v>For the Year Ended June 30, 2024</v>
      </c>
      <c r="B10" s="27"/>
      <c r="C10" s="27"/>
      <c r="D10" s="27"/>
      <c r="E10" s="27"/>
      <c r="I10" s="976"/>
    </row>
    <row r="11" spans="1:9" s="664" customFormat="1" ht="12.6" customHeight="1">
      <c r="A11" s="25"/>
      <c r="B11" s="27"/>
      <c r="C11" s="27"/>
      <c r="D11" s="27"/>
      <c r="E11" s="27"/>
      <c r="I11" s="976"/>
    </row>
    <row r="12" spans="1:9" s="664" customFormat="1" ht="12.6" customHeight="1">
      <c r="A12" s="968" t="s">
        <v>302</v>
      </c>
      <c r="B12" s="27"/>
      <c r="C12" s="27"/>
      <c r="D12" s="27"/>
      <c r="E12" s="27"/>
      <c r="I12" s="976"/>
    </row>
    <row r="13" spans="1:9" s="664" customFormat="1" ht="12.6" customHeight="1">
      <c r="A13" s="968" t="s">
        <v>61</v>
      </c>
      <c r="B13" s="27"/>
      <c r="C13" s="27"/>
      <c r="D13" s="27"/>
      <c r="E13" s="27"/>
      <c r="I13" s="976"/>
    </row>
    <row r="14" spans="1:9" s="664" customFormat="1" ht="12.6" customHeight="1">
      <c r="B14" s="27"/>
      <c r="C14" s="27"/>
      <c r="D14" s="27"/>
      <c r="E14" s="27"/>
      <c r="I14" s="976"/>
    </row>
    <row r="15" spans="1:9" s="664" customFormat="1" ht="12.6" customHeight="1">
      <c r="A15" s="632" t="s">
        <v>62</v>
      </c>
      <c r="B15" s="27"/>
      <c r="C15" s="27"/>
      <c r="D15" s="27"/>
      <c r="E15" s="27"/>
      <c r="I15" s="976"/>
    </row>
    <row r="16" spans="1:9" s="664" customFormat="1" ht="12.6" customHeight="1">
      <c r="A16" s="25"/>
      <c r="B16" s="27"/>
      <c r="C16" s="27"/>
      <c r="D16" s="27"/>
      <c r="E16" s="27"/>
      <c r="I16" s="976"/>
    </row>
    <row r="17" spans="1:9" s="664" customFormat="1" ht="12.6" customHeight="1">
      <c r="A17" s="977" t="s">
        <v>63</v>
      </c>
      <c r="B17" s="978" t="s">
        <v>544</v>
      </c>
      <c r="C17" s="205"/>
      <c r="D17" s="27"/>
      <c r="E17" s="27"/>
      <c r="I17" s="976"/>
    </row>
    <row r="18" spans="1:9" s="664" customFormat="1" ht="12.6" customHeight="1">
      <c r="A18" s="25"/>
      <c r="B18" s="27"/>
      <c r="C18" s="27"/>
      <c r="D18" s="27"/>
      <c r="E18" s="27"/>
      <c r="I18" s="976"/>
    </row>
    <row r="19" spans="1:9" s="664" customFormat="1" ht="12.6" customHeight="1">
      <c r="A19" s="979" t="s">
        <v>64</v>
      </c>
      <c r="B19" s="980">
        <f>SUM(E31:E344)</f>
        <v>0</v>
      </c>
      <c r="C19" s="981"/>
      <c r="E19" s="27"/>
      <c r="I19" s="976"/>
    </row>
    <row r="20" spans="1:9" s="664" customFormat="1">
      <c r="A20" s="157"/>
      <c r="B20" s="158"/>
      <c r="C20" s="74"/>
      <c r="E20" s="27"/>
      <c r="I20" s="976"/>
    </row>
    <row r="21" spans="1:9" s="664" customFormat="1">
      <c r="A21" s="157"/>
      <c r="B21" s="158"/>
      <c r="C21" s="74"/>
      <c r="E21" s="27"/>
      <c r="I21" s="976"/>
    </row>
    <row r="22" spans="1:9" s="664" customFormat="1">
      <c r="A22" s="157"/>
      <c r="B22" s="158"/>
      <c r="C22" s="74"/>
      <c r="E22" s="27"/>
      <c r="I22" s="976"/>
    </row>
    <row r="23" spans="1:9" s="664" customFormat="1">
      <c r="A23" s="157"/>
      <c r="B23" s="158"/>
      <c r="C23" s="74"/>
      <c r="E23" s="27"/>
      <c r="I23" s="976"/>
    </row>
    <row r="24" spans="1:9" s="664" customFormat="1">
      <c r="A24" s="157"/>
      <c r="B24" s="159"/>
      <c r="C24" s="74"/>
      <c r="E24" s="27"/>
      <c r="I24" s="976"/>
    </row>
    <row r="25" spans="1:9" s="664" customFormat="1" ht="13.8" thickBot="1">
      <c r="A25" s="25"/>
      <c r="B25" s="138">
        <f>IF(SUM(B19:B24)=SUM('Internal Service Template'!O140),SUM(B19:B24),"ERROR")</f>
        <v>0</v>
      </c>
      <c r="C25" s="190"/>
      <c r="E25" s="981"/>
      <c r="H25" s="11"/>
      <c r="I25" s="976"/>
    </row>
    <row r="26" spans="1:9" ht="13.8" thickTop="1">
      <c r="A26" s="166" t="s">
        <v>146</v>
      </c>
      <c r="B26" s="164">
        <f>(SUM(B19:B24))-'Internal Service Template'!O140</f>
        <v>0</v>
      </c>
      <c r="C26" s="164"/>
    </row>
    <row r="27" spans="1:9">
      <c r="A27" s="13"/>
    </row>
    <row r="28" spans="1:9">
      <c r="A28" s="13" t="s">
        <v>65</v>
      </c>
      <c r="B28" s="205"/>
      <c r="C28" s="205"/>
      <c r="D28" s="74"/>
    </row>
    <row r="29" spans="1:9">
      <c r="A29" s="13"/>
      <c r="B29" s="205"/>
      <c r="C29" s="205"/>
      <c r="D29" s="74"/>
      <c r="F29" s="75"/>
    </row>
    <row r="30" spans="1:9" ht="27" customHeight="1">
      <c r="A30" s="206" t="s">
        <v>375</v>
      </c>
      <c r="B30" s="206" t="s">
        <v>634</v>
      </c>
      <c r="C30" s="982" t="s">
        <v>832</v>
      </c>
      <c r="D30" s="982" t="s">
        <v>635</v>
      </c>
      <c r="E30" s="206" t="s">
        <v>341</v>
      </c>
      <c r="H30" s="205"/>
      <c r="I30" s="86"/>
    </row>
    <row r="31" spans="1:9" ht="11.25" customHeight="1">
      <c r="A31" s="983" t="s">
        <v>3462</v>
      </c>
      <c r="B31" s="984">
        <v>100</v>
      </c>
      <c r="C31" s="984" t="str">
        <f>CONCATENATE(B31,"00")</f>
        <v>10000</v>
      </c>
      <c r="D31" s="146" t="s">
        <v>636</v>
      </c>
      <c r="E31" s="158"/>
      <c r="H31" s="75"/>
    </row>
    <row r="32" spans="1:9" ht="11.25" customHeight="1">
      <c r="A32" s="985" t="s">
        <v>3463</v>
      </c>
      <c r="B32" s="984">
        <v>101</v>
      </c>
      <c r="C32" s="984" t="str">
        <f t="shared" ref="C32:C102" si="0">CONCATENATE(B32,"00")</f>
        <v>10100</v>
      </c>
      <c r="D32" s="146" t="s">
        <v>636</v>
      </c>
      <c r="E32" s="158"/>
      <c r="H32" s="75"/>
    </row>
    <row r="33" spans="1:8" ht="11.25" customHeight="1">
      <c r="A33" s="985" t="s">
        <v>3464</v>
      </c>
      <c r="B33" s="984">
        <v>103</v>
      </c>
      <c r="C33" s="984" t="str">
        <f t="shared" si="0"/>
        <v>10300</v>
      </c>
      <c r="D33" s="146" t="s">
        <v>636</v>
      </c>
      <c r="E33" s="158"/>
      <c r="H33" s="75"/>
    </row>
    <row r="34" spans="1:8" ht="11.25" customHeight="1">
      <c r="A34" s="985" t="s">
        <v>3465</v>
      </c>
      <c r="B34" s="984">
        <v>105</v>
      </c>
      <c r="C34" s="984" t="str">
        <f t="shared" si="0"/>
        <v>10500</v>
      </c>
      <c r="D34" s="146" t="s">
        <v>636</v>
      </c>
      <c r="E34" s="158"/>
      <c r="H34" s="75"/>
    </row>
    <row r="35" spans="1:8" ht="11.25" customHeight="1">
      <c r="A35" s="985" t="s">
        <v>3466</v>
      </c>
      <c r="B35" s="984">
        <v>107</v>
      </c>
      <c r="C35" s="984" t="str">
        <f t="shared" si="0"/>
        <v>10700</v>
      </c>
      <c r="D35" s="146" t="s">
        <v>636</v>
      </c>
      <c r="E35" s="158"/>
      <c r="H35" s="75"/>
    </row>
    <row r="36" spans="1:8" ht="11.25" customHeight="1">
      <c r="A36" s="985" t="s">
        <v>3467</v>
      </c>
      <c r="B36" s="984">
        <v>108</v>
      </c>
      <c r="C36" s="984" t="str">
        <f t="shared" si="0"/>
        <v>10800</v>
      </c>
      <c r="D36" s="146" t="s">
        <v>636</v>
      </c>
      <c r="E36" s="158"/>
      <c r="H36" s="75"/>
    </row>
    <row r="37" spans="1:8" ht="11.25" customHeight="1">
      <c r="A37" s="985" t="s">
        <v>3468</v>
      </c>
      <c r="B37" s="984">
        <v>109</v>
      </c>
      <c r="C37" s="984" t="str">
        <f t="shared" si="0"/>
        <v>10900</v>
      </c>
      <c r="D37" s="146" t="s">
        <v>636</v>
      </c>
      <c r="E37" s="158"/>
      <c r="H37" s="75"/>
    </row>
    <row r="38" spans="1:8" ht="11.25" customHeight="1">
      <c r="A38" s="985" t="s">
        <v>3469</v>
      </c>
      <c r="B38" s="984">
        <v>110</v>
      </c>
      <c r="C38" s="984" t="str">
        <f t="shared" si="0"/>
        <v>11000</v>
      </c>
      <c r="D38" s="146" t="s">
        <v>636</v>
      </c>
      <c r="E38" s="158"/>
      <c r="H38" s="75"/>
    </row>
    <row r="39" spans="1:8" ht="11.25" customHeight="1">
      <c r="A39" s="985" t="s">
        <v>3470</v>
      </c>
      <c r="B39" s="984">
        <v>111</v>
      </c>
      <c r="C39" s="984" t="str">
        <f t="shared" si="0"/>
        <v>11100</v>
      </c>
      <c r="D39" s="146" t="s">
        <v>636</v>
      </c>
      <c r="E39" s="158"/>
      <c r="H39" s="75"/>
    </row>
    <row r="40" spans="1:8" ht="11.25" customHeight="1">
      <c r="A40" s="985" t="s">
        <v>3471</v>
      </c>
      <c r="B40" s="984">
        <v>112</v>
      </c>
      <c r="C40" s="984" t="str">
        <f t="shared" si="0"/>
        <v>11200</v>
      </c>
      <c r="D40" s="146" t="s">
        <v>636</v>
      </c>
      <c r="E40" s="158"/>
      <c r="H40" s="75"/>
    </row>
    <row r="41" spans="1:8" ht="11.25" customHeight="1">
      <c r="A41" s="985" t="s">
        <v>3472</v>
      </c>
      <c r="B41" s="984">
        <v>113</v>
      </c>
      <c r="C41" s="984" t="str">
        <f t="shared" si="0"/>
        <v>11300</v>
      </c>
      <c r="D41" s="146" t="s">
        <v>636</v>
      </c>
      <c r="E41" s="158"/>
      <c r="H41" s="75"/>
    </row>
    <row r="42" spans="1:8" ht="11.25" customHeight="1">
      <c r="A42" s="985" t="s">
        <v>3473</v>
      </c>
      <c r="B42" s="984">
        <v>114</v>
      </c>
      <c r="C42" s="984" t="str">
        <f t="shared" si="0"/>
        <v>11400</v>
      </c>
      <c r="D42" s="146" t="s">
        <v>636</v>
      </c>
      <c r="E42" s="158"/>
      <c r="H42" s="75"/>
    </row>
    <row r="43" spans="1:8" ht="11.25" customHeight="1">
      <c r="A43" s="985" t="s">
        <v>3474</v>
      </c>
      <c r="B43" s="984">
        <v>115</v>
      </c>
      <c r="C43" s="984" t="str">
        <f t="shared" si="0"/>
        <v>11500</v>
      </c>
      <c r="D43" s="146" t="s">
        <v>636</v>
      </c>
      <c r="E43" s="158"/>
      <c r="H43" s="75"/>
    </row>
    <row r="44" spans="1:8" ht="11.25" customHeight="1">
      <c r="A44" s="985" t="s">
        <v>3475</v>
      </c>
      <c r="B44" s="984">
        <v>116</v>
      </c>
      <c r="C44" s="984" t="str">
        <f t="shared" si="0"/>
        <v>11600</v>
      </c>
      <c r="D44" s="146" t="s">
        <v>636</v>
      </c>
      <c r="E44" s="158"/>
      <c r="H44" s="75"/>
    </row>
    <row r="45" spans="1:8" ht="11.25" customHeight="1">
      <c r="A45" s="985" t="s">
        <v>3476</v>
      </c>
      <c r="B45" s="984">
        <v>117</v>
      </c>
      <c r="C45" s="984" t="str">
        <f t="shared" si="0"/>
        <v>11700</v>
      </c>
      <c r="D45" s="146" t="s">
        <v>636</v>
      </c>
      <c r="E45" s="158"/>
      <c r="H45" s="75"/>
    </row>
    <row r="46" spans="1:8" ht="11.25" customHeight="1">
      <c r="A46" s="985" t="s">
        <v>3477</v>
      </c>
      <c r="B46" s="984">
        <v>119</v>
      </c>
      <c r="C46" s="984" t="str">
        <f t="shared" si="0"/>
        <v>11900</v>
      </c>
      <c r="D46" s="146" t="s">
        <v>636</v>
      </c>
      <c r="E46" s="158"/>
      <c r="H46" s="75"/>
    </row>
    <row r="47" spans="1:8" ht="11.25" customHeight="1">
      <c r="A47" s="985" t="s">
        <v>3478</v>
      </c>
      <c r="B47" s="984">
        <v>121</v>
      </c>
      <c r="C47" s="984" t="str">
        <f t="shared" si="0"/>
        <v>12100</v>
      </c>
      <c r="D47" s="146" t="s">
        <v>636</v>
      </c>
      <c r="E47" s="158"/>
      <c r="H47" s="75"/>
    </row>
    <row r="48" spans="1:8" ht="11.25" customHeight="1">
      <c r="A48" s="983" t="s">
        <v>3479</v>
      </c>
      <c r="B48" s="984">
        <v>122</v>
      </c>
      <c r="C48" s="984" t="str">
        <f t="shared" si="0"/>
        <v>12200</v>
      </c>
      <c r="D48" s="146" t="s">
        <v>636</v>
      </c>
      <c r="E48" s="158"/>
      <c r="H48" s="75"/>
    </row>
    <row r="49" spans="1:8" ht="11.25" customHeight="1">
      <c r="A49" s="985" t="s">
        <v>3480</v>
      </c>
      <c r="B49" s="984">
        <v>123</v>
      </c>
      <c r="C49" s="984" t="str">
        <f t="shared" si="0"/>
        <v>12300</v>
      </c>
      <c r="D49" s="146" t="s">
        <v>636</v>
      </c>
      <c r="E49" s="158"/>
      <c r="H49" s="75"/>
    </row>
    <row r="50" spans="1:8" ht="11.25" customHeight="1">
      <c r="A50" s="985" t="s">
        <v>3481</v>
      </c>
      <c r="B50" s="984">
        <v>125</v>
      </c>
      <c r="C50" s="984" t="str">
        <f t="shared" si="0"/>
        <v>12500</v>
      </c>
      <c r="D50" s="146" t="s">
        <v>636</v>
      </c>
      <c r="E50" s="158"/>
      <c r="H50" s="75"/>
    </row>
    <row r="51" spans="1:8" ht="11.25" customHeight="1">
      <c r="A51" s="983" t="s">
        <v>3482</v>
      </c>
      <c r="B51" s="984">
        <v>127</v>
      </c>
      <c r="C51" s="984" t="str">
        <f t="shared" si="0"/>
        <v>12700</v>
      </c>
      <c r="D51" s="146" t="s">
        <v>636</v>
      </c>
      <c r="E51" s="158"/>
      <c r="H51" s="75"/>
    </row>
    <row r="52" spans="1:8" ht="11.25" customHeight="1">
      <c r="A52" s="983" t="s">
        <v>3483</v>
      </c>
      <c r="B52" s="984">
        <v>127</v>
      </c>
      <c r="C52" s="984" t="str">
        <f t="shared" si="0"/>
        <v>12700</v>
      </c>
      <c r="D52" s="146" t="s">
        <v>636</v>
      </c>
      <c r="E52" s="158"/>
      <c r="H52" s="75"/>
    </row>
    <row r="53" spans="1:8" ht="11.25" customHeight="1">
      <c r="A53" s="983" t="s">
        <v>3981</v>
      </c>
      <c r="B53" s="984">
        <v>128</v>
      </c>
      <c r="C53" s="984" t="str">
        <f t="shared" si="0"/>
        <v>12800</v>
      </c>
      <c r="D53" s="146" t="s">
        <v>636</v>
      </c>
      <c r="E53" s="158"/>
      <c r="H53" s="75"/>
    </row>
    <row r="54" spans="1:8" ht="11.25" customHeight="1">
      <c r="A54" s="983" t="s">
        <v>3484</v>
      </c>
      <c r="B54" s="984">
        <v>129</v>
      </c>
      <c r="C54" s="984" t="str">
        <f t="shared" si="0"/>
        <v>12900</v>
      </c>
      <c r="D54" s="146" t="s">
        <v>636</v>
      </c>
      <c r="E54" s="158"/>
      <c r="H54" s="75"/>
    </row>
    <row r="55" spans="1:8" ht="11.25" customHeight="1">
      <c r="A55" s="983" t="s">
        <v>3485</v>
      </c>
      <c r="B55" s="984">
        <v>129</v>
      </c>
      <c r="C55" s="984" t="str">
        <f t="shared" si="0"/>
        <v>12900</v>
      </c>
      <c r="D55" s="146" t="s">
        <v>636</v>
      </c>
      <c r="E55" s="158"/>
      <c r="H55" s="75"/>
    </row>
    <row r="56" spans="1:8" ht="11.25" customHeight="1">
      <c r="A56" s="983" t="s">
        <v>3486</v>
      </c>
      <c r="B56" s="984">
        <v>132</v>
      </c>
      <c r="C56" s="984" t="str">
        <f t="shared" si="0"/>
        <v>13200</v>
      </c>
      <c r="D56" s="146" t="s">
        <v>636</v>
      </c>
      <c r="E56" s="158"/>
      <c r="H56" s="75"/>
    </row>
    <row r="57" spans="1:8" ht="11.25" customHeight="1">
      <c r="A57" s="985" t="s">
        <v>3487</v>
      </c>
      <c r="B57" s="984">
        <v>133</v>
      </c>
      <c r="C57" s="984" t="str">
        <f t="shared" si="0"/>
        <v>13300</v>
      </c>
      <c r="D57" s="146" t="s">
        <v>636</v>
      </c>
      <c r="E57" s="158"/>
      <c r="H57" s="75"/>
    </row>
    <row r="58" spans="1:8" ht="11.25" customHeight="1">
      <c r="A58" s="983" t="s">
        <v>3488</v>
      </c>
      <c r="B58" s="984">
        <v>136</v>
      </c>
      <c r="C58" s="984" t="str">
        <f t="shared" si="0"/>
        <v>13600</v>
      </c>
      <c r="D58" s="146" t="s">
        <v>636</v>
      </c>
      <c r="E58" s="158"/>
      <c r="H58" s="75"/>
    </row>
    <row r="59" spans="1:8" ht="11.25" customHeight="1">
      <c r="A59" s="983" t="s">
        <v>3489</v>
      </c>
      <c r="B59" s="984">
        <v>136</v>
      </c>
      <c r="C59" s="984" t="str">
        <f t="shared" ref="C59" si="1">CONCATENATE(B59,"00")</f>
        <v>13600</v>
      </c>
      <c r="D59" s="146" t="s">
        <v>636</v>
      </c>
      <c r="E59" s="158"/>
      <c r="H59" s="75"/>
    </row>
    <row r="60" spans="1:8" ht="11.25" customHeight="1">
      <c r="A60" s="985" t="s">
        <v>3490</v>
      </c>
      <c r="B60" s="984">
        <v>140</v>
      </c>
      <c r="C60" s="984" t="str">
        <f t="shared" si="0"/>
        <v>14000</v>
      </c>
      <c r="D60" s="146" t="s">
        <v>636</v>
      </c>
      <c r="E60" s="158"/>
      <c r="H60" s="75"/>
    </row>
    <row r="61" spans="1:8" ht="23.25" customHeight="1">
      <c r="A61" s="983" t="s">
        <v>3491</v>
      </c>
      <c r="B61" s="984">
        <v>141</v>
      </c>
      <c r="C61" s="984" t="str">
        <f t="shared" si="0"/>
        <v>14100</v>
      </c>
      <c r="D61" s="146" t="s">
        <v>636</v>
      </c>
      <c r="E61" s="158"/>
      <c r="H61" s="75"/>
    </row>
    <row r="62" spans="1:8" ht="11.25" customHeight="1">
      <c r="A62" s="983" t="s">
        <v>3492</v>
      </c>
      <c r="B62" s="984">
        <v>142</v>
      </c>
      <c r="C62" s="984" t="str">
        <f t="shared" si="0"/>
        <v>14200</v>
      </c>
      <c r="D62" s="146" t="s">
        <v>636</v>
      </c>
      <c r="E62" s="158"/>
      <c r="H62" s="75"/>
    </row>
    <row r="63" spans="1:8" ht="11.25" customHeight="1">
      <c r="A63" s="983" t="s">
        <v>3493</v>
      </c>
      <c r="B63" s="984">
        <v>143</v>
      </c>
      <c r="C63" s="984" t="str">
        <f t="shared" si="0"/>
        <v>14300</v>
      </c>
      <c r="D63" s="146" t="s">
        <v>636</v>
      </c>
      <c r="E63" s="158"/>
      <c r="H63" s="75"/>
    </row>
    <row r="64" spans="1:8" ht="23.25" customHeight="1">
      <c r="A64" s="983" t="s">
        <v>3494</v>
      </c>
      <c r="B64" s="984">
        <v>145</v>
      </c>
      <c r="C64" s="984" t="str">
        <f t="shared" si="0"/>
        <v>14500</v>
      </c>
      <c r="D64" s="146" t="s">
        <v>636</v>
      </c>
      <c r="E64" s="158"/>
      <c r="H64" s="75"/>
    </row>
    <row r="65" spans="1:8">
      <c r="A65" s="985" t="s">
        <v>3495</v>
      </c>
      <c r="B65" s="984">
        <v>146</v>
      </c>
      <c r="C65" s="984" t="str">
        <f t="shared" si="0"/>
        <v>14600</v>
      </c>
      <c r="D65" s="146" t="s">
        <v>636</v>
      </c>
      <c r="E65" s="158"/>
      <c r="H65" s="75"/>
    </row>
    <row r="66" spans="1:8" ht="11.25" customHeight="1">
      <c r="A66" s="985" t="s">
        <v>3496</v>
      </c>
      <c r="B66" s="984">
        <v>146</v>
      </c>
      <c r="C66" s="984" t="str">
        <f t="shared" si="0"/>
        <v>14600</v>
      </c>
      <c r="D66" s="146" t="s">
        <v>636</v>
      </c>
      <c r="E66" s="158"/>
      <c r="H66" s="75"/>
    </row>
    <row r="67" spans="1:8" ht="11.25" customHeight="1">
      <c r="A67" s="986" t="s">
        <v>3497</v>
      </c>
      <c r="B67" s="984">
        <v>147</v>
      </c>
      <c r="C67" s="984" t="str">
        <f t="shared" si="0"/>
        <v>14700</v>
      </c>
      <c r="D67" s="146" t="s">
        <v>636</v>
      </c>
      <c r="E67" s="158"/>
      <c r="H67" s="75"/>
    </row>
    <row r="68" spans="1:8" ht="11.25" customHeight="1">
      <c r="A68" s="983" t="s">
        <v>3498</v>
      </c>
      <c r="B68" s="984">
        <v>148</v>
      </c>
      <c r="C68" s="984" t="str">
        <f t="shared" si="0"/>
        <v>14800</v>
      </c>
      <c r="D68" s="146" t="s">
        <v>636</v>
      </c>
      <c r="E68" s="158"/>
      <c r="H68" s="75"/>
    </row>
    <row r="69" spans="1:8" ht="11.25" customHeight="1">
      <c r="A69" s="983" t="s">
        <v>3499</v>
      </c>
      <c r="B69" s="984">
        <v>149</v>
      </c>
      <c r="C69" s="984" t="str">
        <f t="shared" si="0"/>
        <v>14900</v>
      </c>
      <c r="D69" s="146" t="s">
        <v>636</v>
      </c>
      <c r="E69" s="158"/>
      <c r="H69" s="75"/>
    </row>
    <row r="70" spans="1:8" ht="11.25" customHeight="1">
      <c r="A70" s="983" t="s">
        <v>3500</v>
      </c>
      <c r="B70" s="984">
        <v>149</v>
      </c>
      <c r="C70" s="984" t="str">
        <f t="shared" si="0"/>
        <v>14900</v>
      </c>
      <c r="D70" s="146" t="s">
        <v>636</v>
      </c>
      <c r="E70" s="158"/>
      <c r="H70" s="75"/>
    </row>
    <row r="71" spans="1:8" ht="11.25" customHeight="1">
      <c r="A71" s="983" t="s">
        <v>3501</v>
      </c>
      <c r="B71" s="984">
        <v>149</v>
      </c>
      <c r="C71" s="984" t="str">
        <f t="shared" ref="C71" si="2">CONCATENATE(B71,"00")</f>
        <v>14900</v>
      </c>
      <c r="D71" s="146" t="s">
        <v>636</v>
      </c>
      <c r="E71" s="158"/>
      <c r="H71" s="75"/>
    </row>
    <row r="72" spans="1:8" ht="11.25" customHeight="1">
      <c r="A72" s="985" t="s">
        <v>3502</v>
      </c>
      <c r="B72" s="984">
        <v>151</v>
      </c>
      <c r="C72" s="984" t="str">
        <f t="shared" si="0"/>
        <v>15100</v>
      </c>
      <c r="D72" s="146" t="s">
        <v>636</v>
      </c>
      <c r="E72" s="158"/>
      <c r="H72" s="75"/>
    </row>
    <row r="73" spans="1:8" ht="23.25" customHeight="1">
      <c r="A73" s="983" t="s">
        <v>3503</v>
      </c>
      <c r="B73" s="984">
        <v>152</v>
      </c>
      <c r="C73" s="984" t="str">
        <f t="shared" si="0"/>
        <v>15200</v>
      </c>
      <c r="D73" s="146" t="s">
        <v>636</v>
      </c>
      <c r="E73" s="158"/>
      <c r="H73" s="75"/>
    </row>
    <row r="74" spans="1:8" ht="11.25" customHeight="1">
      <c r="A74" s="983" t="s">
        <v>3504</v>
      </c>
      <c r="B74" s="984">
        <v>152</v>
      </c>
      <c r="C74" s="984" t="str">
        <f t="shared" si="0"/>
        <v>15200</v>
      </c>
      <c r="D74" s="146" t="s">
        <v>636</v>
      </c>
      <c r="E74" s="158"/>
      <c r="H74" s="75"/>
    </row>
    <row r="75" spans="1:8" ht="11.25" customHeight="1">
      <c r="A75" s="983" t="s">
        <v>3505</v>
      </c>
      <c r="B75" s="984">
        <v>152</v>
      </c>
      <c r="C75" s="984" t="str">
        <f t="shared" si="0"/>
        <v>15200</v>
      </c>
      <c r="D75" s="146" t="s">
        <v>636</v>
      </c>
      <c r="E75" s="158"/>
      <c r="H75" s="75"/>
    </row>
    <row r="76" spans="1:8" ht="11.25" customHeight="1">
      <c r="A76" s="983" t="s">
        <v>3506</v>
      </c>
      <c r="B76" s="984">
        <v>154</v>
      </c>
      <c r="C76" s="984" t="str">
        <f t="shared" si="0"/>
        <v>15400</v>
      </c>
      <c r="D76" s="146" t="s">
        <v>636</v>
      </c>
      <c r="E76" s="158"/>
      <c r="H76" s="75"/>
    </row>
    <row r="77" spans="1:8" ht="11.25" customHeight="1">
      <c r="A77" s="983" t="s">
        <v>3507</v>
      </c>
      <c r="B77" s="984">
        <v>155</v>
      </c>
      <c r="C77" s="984" t="str">
        <f t="shared" si="0"/>
        <v>15500</v>
      </c>
      <c r="D77" s="146" t="s">
        <v>636</v>
      </c>
      <c r="E77" s="158"/>
      <c r="H77" s="75"/>
    </row>
    <row r="78" spans="1:8" ht="11.25" customHeight="1">
      <c r="A78" s="985" t="s">
        <v>3508</v>
      </c>
      <c r="B78" s="984">
        <v>156</v>
      </c>
      <c r="C78" s="984" t="str">
        <f t="shared" si="0"/>
        <v>15600</v>
      </c>
      <c r="D78" s="146" t="s">
        <v>636</v>
      </c>
      <c r="E78" s="158"/>
      <c r="H78" s="75"/>
    </row>
    <row r="79" spans="1:8" ht="11.25" customHeight="1">
      <c r="A79" s="985" t="s">
        <v>3509</v>
      </c>
      <c r="B79" s="984">
        <v>157</v>
      </c>
      <c r="C79" s="984" t="str">
        <f t="shared" si="0"/>
        <v>15700</v>
      </c>
      <c r="D79" s="146" t="s">
        <v>636</v>
      </c>
      <c r="E79" s="158"/>
      <c r="H79" s="75"/>
    </row>
    <row r="80" spans="1:8" ht="11.25" customHeight="1">
      <c r="A80" s="985" t="s">
        <v>3510</v>
      </c>
      <c r="B80" s="984">
        <v>160</v>
      </c>
      <c r="C80" s="984" t="str">
        <f t="shared" si="0"/>
        <v>16000</v>
      </c>
      <c r="D80" s="146" t="s">
        <v>636</v>
      </c>
      <c r="E80" s="158"/>
      <c r="H80" s="75"/>
    </row>
    <row r="81" spans="1:8" ht="11.25" customHeight="1">
      <c r="A81" s="983" t="s">
        <v>3511</v>
      </c>
      <c r="B81" s="984">
        <v>161</v>
      </c>
      <c r="C81" s="984" t="str">
        <f t="shared" si="0"/>
        <v>16100</v>
      </c>
      <c r="D81" s="146" t="s">
        <v>636</v>
      </c>
      <c r="E81" s="158"/>
      <c r="H81" s="75"/>
    </row>
    <row r="82" spans="1:8" ht="11.25" customHeight="1">
      <c r="A82" s="983" t="s">
        <v>3512</v>
      </c>
      <c r="B82" s="984">
        <v>161</v>
      </c>
      <c r="C82" s="984" t="str">
        <f t="shared" ref="C82" si="3">CONCATENATE(B82,"00")</f>
        <v>16100</v>
      </c>
      <c r="D82" s="146" t="s">
        <v>636</v>
      </c>
      <c r="E82" s="158"/>
      <c r="H82" s="75"/>
    </row>
    <row r="83" spans="1:8">
      <c r="A83" s="983" t="s">
        <v>3513</v>
      </c>
      <c r="B83" s="984">
        <v>162</v>
      </c>
      <c r="C83" s="984" t="str">
        <f t="shared" si="0"/>
        <v>16200</v>
      </c>
      <c r="D83" s="146" t="s">
        <v>636</v>
      </c>
      <c r="E83" s="158"/>
      <c r="H83" s="75"/>
    </row>
    <row r="84" spans="1:8" ht="11.25" customHeight="1">
      <c r="A84" s="983" t="s">
        <v>3514</v>
      </c>
      <c r="B84" s="984">
        <v>162</v>
      </c>
      <c r="C84" s="984" t="str">
        <f t="shared" si="0"/>
        <v>16200</v>
      </c>
      <c r="D84" s="146" t="s">
        <v>636</v>
      </c>
      <c r="E84" s="158"/>
      <c r="H84" s="75"/>
    </row>
    <row r="85" spans="1:8" ht="11.25" customHeight="1">
      <c r="A85" s="983" t="s">
        <v>3515</v>
      </c>
      <c r="B85" s="984">
        <v>164</v>
      </c>
      <c r="C85" s="984" t="str">
        <f t="shared" si="0"/>
        <v>16400</v>
      </c>
      <c r="D85" s="146" t="s">
        <v>636</v>
      </c>
      <c r="E85" s="158"/>
      <c r="H85" s="75"/>
    </row>
    <row r="86" spans="1:8" ht="11.25" customHeight="1">
      <c r="A86" s="985" t="s">
        <v>3516</v>
      </c>
      <c r="B86" s="984">
        <v>165</v>
      </c>
      <c r="C86" s="984" t="str">
        <f t="shared" si="0"/>
        <v>16500</v>
      </c>
      <c r="D86" s="146" t="s">
        <v>636</v>
      </c>
      <c r="E86" s="158"/>
      <c r="H86" s="75"/>
    </row>
    <row r="87" spans="1:8" ht="11.25" customHeight="1">
      <c r="A87" s="985" t="s">
        <v>3517</v>
      </c>
      <c r="B87" s="984">
        <v>166</v>
      </c>
      <c r="C87" s="984" t="str">
        <f t="shared" si="0"/>
        <v>16600</v>
      </c>
      <c r="D87" s="146" t="s">
        <v>636</v>
      </c>
      <c r="E87" s="158"/>
      <c r="H87" s="75"/>
    </row>
    <row r="88" spans="1:8" ht="11.25" customHeight="1">
      <c r="A88" s="983" t="s">
        <v>3978</v>
      </c>
      <c r="B88" s="984">
        <v>167</v>
      </c>
      <c r="C88" s="984" t="str">
        <f t="shared" si="0"/>
        <v>16700</v>
      </c>
      <c r="D88" s="146" t="s">
        <v>636</v>
      </c>
      <c r="E88" s="158"/>
      <c r="H88" s="75"/>
    </row>
    <row r="89" spans="1:8" ht="11.25" customHeight="1">
      <c r="A89" s="985" t="s">
        <v>3518</v>
      </c>
      <c r="B89" s="984">
        <v>171</v>
      </c>
      <c r="C89" s="984" t="str">
        <f t="shared" si="0"/>
        <v>17100</v>
      </c>
      <c r="D89" s="146" t="s">
        <v>636</v>
      </c>
      <c r="E89" s="158"/>
      <c r="H89" s="75"/>
    </row>
    <row r="90" spans="1:8" ht="11.25" customHeight="1">
      <c r="A90" s="983" t="s">
        <v>3519</v>
      </c>
      <c r="B90" s="984">
        <v>172</v>
      </c>
      <c r="C90" s="984" t="str">
        <f t="shared" si="0"/>
        <v>17200</v>
      </c>
      <c r="D90" s="146" t="s">
        <v>636</v>
      </c>
      <c r="E90" s="158"/>
      <c r="F90" s="1365"/>
      <c r="H90" s="75"/>
    </row>
    <row r="91" spans="1:8" ht="11.25" customHeight="1">
      <c r="A91" s="983" t="s">
        <v>3520</v>
      </c>
      <c r="B91" s="984">
        <v>172</v>
      </c>
      <c r="C91" s="984" t="str">
        <f t="shared" ref="C91" si="4">CONCATENATE(B91,"00")</f>
        <v>17200</v>
      </c>
      <c r="D91" s="146" t="s">
        <v>636</v>
      </c>
      <c r="E91" s="158"/>
      <c r="F91" s="1365"/>
      <c r="H91" s="75"/>
    </row>
    <row r="92" spans="1:8" ht="23.25" customHeight="1">
      <c r="A92" s="983" t="s">
        <v>3521</v>
      </c>
      <c r="B92" s="984">
        <v>174</v>
      </c>
      <c r="C92" s="984" t="str">
        <f t="shared" si="0"/>
        <v>17400</v>
      </c>
      <c r="D92" s="146" t="s">
        <v>636</v>
      </c>
      <c r="E92" s="158"/>
      <c r="F92" s="1365"/>
      <c r="H92" s="75"/>
    </row>
    <row r="93" spans="1:8" ht="24.75" customHeight="1">
      <c r="A93" s="983" t="s">
        <v>3522</v>
      </c>
      <c r="B93" s="984">
        <v>174</v>
      </c>
      <c r="C93" s="984" t="str">
        <f t="shared" ref="C93" si="5">CONCATENATE(B93,"00")</f>
        <v>17400</v>
      </c>
      <c r="D93" s="146" t="s">
        <v>636</v>
      </c>
      <c r="E93" s="158"/>
      <c r="H93" s="75"/>
    </row>
    <row r="94" spans="1:8" ht="11.25" customHeight="1">
      <c r="A94" s="985" t="s">
        <v>3523</v>
      </c>
      <c r="B94" s="984">
        <v>180</v>
      </c>
      <c r="C94" s="984" t="str">
        <f t="shared" si="0"/>
        <v>18000</v>
      </c>
      <c r="D94" s="146" t="s">
        <v>636</v>
      </c>
      <c r="E94" s="158"/>
      <c r="H94" s="75"/>
    </row>
    <row r="95" spans="1:8" ht="11.25" customHeight="1">
      <c r="A95" s="985" t="s">
        <v>3524</v>
      </c>
      <c r="B95" s="984">
        <v>181</v>
      </c>
      <c r="C95" s="984" t="str">
        <f t="shared" si="0"/>
        <v>18100</v>
      </c>
      <c r="D95" s="146" t="s">
        <v>636</v>
      </c>
      <c r="E95" s="158"/>
      <c r="H95" s="75"/>
    </row>
    <row r="96" spans="1:8" ht="23.25" customHeight="1">
      <c r="A96" s="983" t="s">
        <v>3525</v>
      </c>
      <c r="B96" s="984">
        <v>182</v>
      </c>
      <c r="C96" s="984" t="str">
        <f t="shared" si="0"/>
        <v>18200</v>
      </c>
      <c r="D96" s="146" t="s">
        <v>636</v>
      </c>
      <c r="E96" s="158"/>
      <c r="H96" s="75"/>
    </row>
    <row r="97" spans="1:8" ht="11.25" customHeight="1">
      <c r="A97" s="983" t="s">
        <v>3526</v>
      </c>
      <c r="B97" s="984">
        <v>182</v>
      </c>
      <c r="C97" s="984" t="str">
        <f t="shared" si="0"/>
        <v>18200</v>
      </c>
      <c r="D97" s="146" t="s">
        <v>636</v>
      </c>
      <c r="E97" s="158"/>
      <c r="H97" s="75"/>
    </row>
    <row r="98" spans="1:8" ht="11.25" customHeight="1">
      <c r="A98" s="983" t="s">
        <v>3527</v>
      </c>
      <c r="B98" s="984">
        <v>183</v>
      </c>
      <c r="C98" s="984" t="str">
        <f t="shared" si="0"/>
        <v>18300</v>
      </c>
      <c r="D98" s="146" t="s">
        <v>636</v>
      </c>
      <c r="E98" s="158"/>
      <c r="H98" s="75"/>
    </row>
    <row r="99" spans="1:8" ht="11.25" customHeight="1">
      <c r="A99" s="985" t="s">
        <v>3528</v>
      </c>
      <c r="B99" s="984">
        <v>185</v>
      </c>
      <c r="C99" s="984" t="str">
        <f t="shared" si="0"/>
        <v>18500</v>
      </c>
      <c r="D99" s="146" t="s">
        <v>636</v>
      </c>
      <c r="E99" s="158"/>
      <c r="H99" s="75"/>
    </row>
    <row r="100" spans="1:8" ht="11.25" customHeight="1">
      <c r="A100" s="985" t="s">
        <v>3529</v>
      </c>
      <c r="B100" s="984">
        <v>186</v>
      </c>
      <c r="C100" s="984" t="str">
        <f t="shared" si="0"/>
        <v>18600</v>
      </c>
      <c r="D100" s="146" t="s">
        <v>636</v>
      </c>
      <c r="E100" s="158"/>
      <c r="H100" s="75"/>
    </row>
    <row r="101" spans="1:8" ht="11.25" customHeight="1">
      <c r="A101" s="983" t="s">
        <v>3530</v>
      </c>
      <c r="B101" s="984">
        <v>187</v>
      </c>
      <c r="C101" s="984" t="str">
        <f t="shared" si="0"/>
        <v>18700</v>
      </c>
      <c r="D101" s="146" t="s">
        <v>636</v>
      </c>
      <c r="E101" s="158"/>
      <c r="H101" s="75"/>
    </row>
    <row r="102" spans="1:8" ht="11.25" customHeight="1">
      <c r="A102" s="985" t="s">
        <v>3531</v>
      </c>
      <c r="B102" s="984">
        <v>188</v>
      </c>
      <c r="C102" s="984" t="str">
        <f t="shared" si="0"/>
        <v>18800</v>
      </c>
      <c r="D102" s="146" t="s">
        <v>636</v>
      </c>
      <c r="E102" s="158"/>
      <c r="H102" s="75"/>
    </row>
    <row r="103" spans="1:8" ht="11.25" customHeight="1">
      <c r="A103" s="985" t="s">
        <v>3532</v>
      </c>
      <c r="B103" s="984">
        <v>190</v>
      </c>
      <c r="C103" s="984" t="str">
        <f t="shared" ref="C103:C169" si="6">CONCATENATE(B103,"00")</f>
        <v>19000</v>
      </c>
      <c r="D103" s="146" t="s">
        <v>636</v>
      </c>
      <c r="E103" s="158"/>
      <c r="H103" s="75"/>
    </row>
    <row r="104" spans="1:8" ht="11.25" customHeight="1">
      <c r="A104" s="985" t="s">
        <v>3533</v>
      </c>
      <c r="B104" s="984">
        <v>191</v>
      </c>
      <c r="C104" s="984" t="str">
        <f t="shared" si="6"/>
        <v>19100</v>
      </c>
      <c r="D104" s="146" t="s">
        <v>636</v>
      </c>
      <c r="E104" s="158"/>
      <c r="H104" s="75"/>
    </row>
    <row r="105" spans="1:8" ht="11.25" customHeight="1">
      <c r="A105" s="985" t="s">
        <v>3534</v>
      </c>
      <c r="B105" s="984">
        <v>192</v>
      </c>
      <c r="C105" s="984" t="str">
        <f t="shared" si="6"/>
        <v>19200</v>
      </c>
      <c r="D105" s="146" t="s">
        <v>636</v>
      </c>
      <c r="E105" s="158"/>
      <c r="H105" s="75"/>
    </row>
    <row r="106" spans="1:8" ht="11.25" customHeight="1">
      <c r="A106" s="983" t="s">
        <v>3535</v>
      </c>
      <c r="B106" s="984">
        <v>193</v>
      </c>
      <c r="C106" s="984" t="str">
        <f t="shared" si="6"/>
        <v>19300</v>
      </c>
      <c r="D106" s="146" t="s">
        <v>636</v>
      </c>
      <c r="E106" s="158"/>
      <c r="H106" s="75"/>
    </row>
    <row r="107" spans="1:8" ht="11.25" customHeight="1">
      <c r="A107" s="983" t="s">
        <v>3536</v>
      </c>
      <c r="B107" s="984">
        <v>194</v>
      </c>
      <c r="C107" s="984" t="str">
        <f t="shared" si="6"/>
        <v>19400</v>
      </c>
      <c r="D107" s="146" t="s">
        <v>636</v>
      </c>
      <c r="E107" s="158"/>
      <c r="H107" s="75"/>
    </row>
    <row r="108" spans="1:8" ht="11.25" customHeight="1">
      <c r="A108" s="983" t="s">
        <v>3537</v>
      </c>
      <c r="B108" s="984">
        <v>194</v>
      </c>
      <c r="C108" s="984" t="str">
        <f t="shared" si="6"/>
        <v>19400</v>
      </c>
      <c r="D108" s="146" t="s">
        <v>636</v>
      </c>
      <c r="E108" s="158"/>
      <c r="H108" s="75"/>
    </row>
    <row r="109" spans="1:8" ht="11.25" customHeight="1">
      <c r="A109" s="983" t="s">
        <v>3538</v>
      </c>
      <c r="B109" s="984">
        <v>194</v>
      </c>
      <c r="C109" s="984" t="str">
        <f t="shared" ref="C109" si="7">CONCATENATE(B109,"00")</f>
        <v>19400</v>
      </c>
      <c r="D109" s="146" t="s">
        <v>636</v>
      </c>
      <c r="E109" s="158"/>
      <c r="H109" s="75"/>
    </row>
    <row r="110" spans="1:8" ht="11.25" customHeight="1">
      <c r="A110" s="983" t="s">
        <v>3539</v>
      </c>
      <c r="B110" s="984">
        <v>195</v>
      </c>
      <c r="C110" s="984" t="str">
        <f t="shared" si="6"/>
        <v>19500</v>
      </c>
      <c r="D110" s="146" t="s">
        <v>636</v>
      </c>
      <c r="E110" s="158"/>
      <c r="H110" s="75"/>
    </row>
    <row r="111" spans="1:8" ht="11.25" customHeight="1">
      <c r="A111" s="985" t="s">
        <v>3540</v>
      </c>
      <c r="B111" s="984">
        <v>197</v>
      </c>
      <c r="C111" s="984" t="str">
        <f t="shared" si="6"/>
        <v>19700</v>
      </c>
      <c r="D111" s="146" t="s">
        <v>636</v>
      </c>
      <c r="E111" s="158"/>
      <c r="H111" s="75"/>
    </row>
    <row r="112" spans="1:8" ht="11.25" customHeight="1">
      <c r="A112" s="983" t="s">
        <v>3541</v>
      </c>
      <c r="B112" s="984">
        <v>199</v>
      </c>
      <c r="C112" s="984" t="str">
        <f t="shared" si="6"/>
        <v>19900</v>
      </c>
      <c r="D112" s="146" t="s">
        <v>636</v>
      </c>
      <c r="E112" s="158"/>
      <c r="H112" s="75"/>
    </row>
    <row r="113" spans="1:8" ht="11.25" customHeight="1">
      <c r="A113" s="983" t="s">
        <v>3542</v>
      </c>
      <c r="B113" s="984">
        <v>200</v>
      </c>
      <c r="C113" s="984" t="str">
        <f t="shared" si="6"/>
        <v>20000</v>
      </c>
      <c r="D113" s="146" t="s">
        <v>636</v>
      </c>
      <c r="E113" s="158"/>
      <c r="H113" s="75"/>
    </row>
    <row r="114" spans="1:8" ht="11.25" customHeight="1">
      <c r="A114" s="985" t="s">
        <v>3543</v>
      </c>
      <c r="B114" s="984">
        <v>201</v>
      </c>
      <c r="C114" s="984" t="str">
        <f t="shared" si="6"/>
        <v>20100</v>
      </c>
      <c r="D114" s="146" t="s">
        <v>636</v>
      </c>
      <c r="E114" s="158"/>
      <c r="H114" s="75"/>
    </row>
    <row r="115" spans="1:8" ht="11.25" customHeight="1">
      <c r="A115" s="983" t="s">
        <v>3544</v>
      </c>
      <c r="B115" s="984">
        <v>202</v>
      </c>
      <c r="C115" s="984" t="str">
        <f t="shared" si="6"/>
        <v>20200</v>
      </c>
      <c r="D115" s="146" t="s">
        <v>636</v>
      </c>
      <c r="E115" s="158"/>
      <c r="H115" s="75"/>
    </row>
    <row r="116" spans="1:8" ht="27" customHeight="1">
      <c r="A116" s="983" t="s">
        <v>3545</v>
      </c>
      <c r="B116" s="984">
        <v>203</v>
      </c>
      <c r="C116" s="984" t="str">
        <f t="shared" si="6"/>
        <v>20300</v>
      </c>
      <c r="D116" s="146" t="s">
        <v>636</v>
      </c>
      <c r="E116" s="158"/>
      <c r="H116" s="75"/>
    </row>
    <row r="117" spans="1:8" ht="11.25" customHeight="1">
      <c r="A117" s="983" t="s">
        <v>3546</v>
      </c>
      <c r="B117" s="984">
        <v>218</v>
      </c>
      <c r="C117" s="984" t="str">
        <f t="shared" si="6"/>
        <v>21800</v>
      </c>
      <c r="D117" s="146" t="s">
        <v>636</v>
      </c>
      <c r="E117" s="158"/>
      <c r="H117" s="75"/>
    </row>
    <row r="118" spans="1:8" ht="11.25" customHeight="1">
      <c r="A118" s="985" t="s">
        <v>3547</v>
      </c>
      <c r="B118" s="984">
        <v>222</v>
      </c>
      <c r="C118" s="984" t="str">
        <f t="shared" si="6"/>
        <v>22200</v>
      </c>
      <c r="D118" s="146" t="s">
        <v>636</v>
      </c>
      <c r="E118" s="158"/>
      <c r="H118" s="75"/>
    </row>
    <row r="119" spans="1:8" ht="11.25" customHeight="1">
      <c r="A119" s="985" t="s">
        <v>3548</v>
      </c>
      <c r="B119" s="984">
        <v>223</v>
      </c>
      <c r="C119" s="984" t="str">
        <f t="shared" si="6"/>
        <v>22300</v>
      </c>
      <c r="D119" s="146" t="s">
        <v>636</v>
      </c>
      <c r="E119" s="158"/>
      <c r="H119" s="75"/>
    </row>
    <row r="120" spans="1:8" ht="11.25" customHeight="1">
      <c r="A120" s="985" t="s">
        <v>3549</v>
      </c>
      <c r="B120" s="984">
        <v>226</v>
      </c>
      <c r="C120" s="984" t="str">
        <f t="shared" si="6"/>
        <v>22600</v>
      </c>
      <c r="D120" s="146" t="s">
        <v>636</v>
      </c>
      <c r="E120" s="158"/>
      <c r="H120" s="75"/>
    </row>
    <row r="121" spans="1:8" ht="11.25" customHeight="1">
      <c r="A121" s="985" t="s">
        <v>3550</v>
      </c>
      <c r="B121" s="984">
        <v>233</v>
      </c>
      <c r="C121" s="984" t="str">
        <f t="shared" si="6"/>
        <v>23300</v>
      </c>
      <c r="D121" s="146" t="s">
        <v>636</v>
      </c>
      <c r="E121" s="158"/>
      <c r="H121" s="75"/>
    </row>
    <row r="122" spans="1:8" ht="11.25" customHeight="1">
      <c r="A122" s="983" t="s">
        <v>3551</v>
      </c>
      <c r="B122" s="984">
        <v>238</v>
      </c>
      <c r="C122" s="984" t="str">
        <f t="shared" si="6"/>
        <v>23800</v>
      </c>
      <c r="D122" s="146" t="s">
        <v>636</v>
      </c>
      <c r="E122" s="158"/>
      <c r="H122" s="75"/>
    </row>
    <row r="123" spans="1:8" ht="11.25" customHeight="1">
      <c r="A123" s="983" t="s">
        <v>3552</v>
      </c>
      <c r="B123" s="984">
        <v>238</v>
      </c>
      <c r="C123" s="984" t="str">
        <f t="shared" si="6"/>
        <v>23800</v>
      </c>
      <c r="D123" s="146" t="s">
        <v>636</v>
      </c>
      <c r="E123" s="158"/>
      <c r="H123" s="75"/>
    </row>
    <row r="124" spans="1:8" ht="11.25" customHeight="1">
      <c r="A124" s="985" t="s">
        <v>3553</v>
      </c>
      <c r="B124" s="984">
        <v>239</v>
      </c>
      <c r="C124" s="984" t="str">
        <f t="shared" si="6"/>
        <v>23900</v>
      </c>
      <c r="D124" s="146" t="s">
        <v>636</v>
      </c>
      <c r="E124" s="158"/>
      <c r="H124" s="75"/>
    </row>
    <row r="125" spans="1:8" ht="11.25" customHeight="1">
      <c r="A125" s="983" t="s">
        <v>3554</v>
      </c>
      <c r="B125" s="984">
        <v>244</v>
      </c>
      <c r="C125" s="984" t="str">
        <f t="shared" si="6"/>
        <v>24400</v>
      </c>
      <c r="D125" s="146" t="s">
        <v>636</v>
      </c>
      <c r="E125" s="158"/>
      <c r="H125" s="75"/>
    </row>
    <row r="126" spans="1:8" ht="11.25" customHeight="1">
      <c r="A126" s="985" t="s">
        <v>3555</v>
      </c>
      <c r="B126" s="984">
        <v>245</v>
      </c>
      <c r="C126" s="984" t="str">
        <f t="shared" si="6"/>
        <v>24500</v>
      </c>
      <c r="D126" s="146" t="s">
        <v>636</v>
      </c>
      <c r="E126" s="158"/>
      <c r="H126" s="75"/>
    </row>
    <row r="127" spans="1:8" ht="11.25" customHeight="1">
      <c r="A127" s="983" t="s">
        <v>3556</v>
      </c>
      <c r="B127" s="984">
        <v>262</v>
      </c>
      <c r="C127" s="984" t="str">
        <f t="shared" si="6"/>
        <v>26200</v>
      </c>
      <c r="D127" s="146" t="s">
        <v>636</v>
      </c>
      <c r="E127" s="158"/>
      <c r="H127" s="75"/>
    </row>
    <row r="128" spans="1:8" ht="25.5" customHeight="1">
      <c r="A128" s="983" t="s">
        <v>3557</v>
      </c>
      <c r="B128" s="984">
        <v>263</v>
      </c>
      <c r="C128" s="984" t="str">
        <f t="shared" si="6"/>
        <v>26300</v>
      </c>
      <c r="D128" s="146" t="s">
        <v>636</v>
      </c>
      <c r="E128" s="158"/>
      <c r="H128" s="75"/>
    </row>
    <row r="129" spans="1:8" ht="23.25" customHeight="1">
      <c r="A129" s="983" t="s">
        <v>3558</v>
      </c>
      <c r="B129" s="984">
        <v>263</v>
      </c>
      <c r="C129" s="984" t="str">
        <f t="shared" ref="C129" si="8">CONCATENATE(B129,"00")</f>
        <v>26300</v>
      </c>
      <c r="D129" s="146" t="s">
        <v>636</v>
      </c>
      <c r="E129" s="158"/>
      <c r="H129" s="75"/>
    </row>
    <row r="130" spans="1:8" ht="11.25" customHeight="1">
      <c r="A130" s="983" t="s">
        <v>3559</v>
      </c>
      <c r="B130" s="984">
        <v>301</v>
      </c>
      <c r="C130" s="984" t="str">
        <f t="shared" si="6"/>
        <v>30100</v>
      </c>
      <c r="D130" s="146" t="s">
        <v>636</v>
      </c>
      <c r="E130" s="158"/>
      <c r="H130" s="75"/>
    </row>
    <row r="131" spans="1:8" ht="11.25" customHeight="1">
      <c r="A131" s="983" t="s">
        <v>3560</v>
      </c>
      <c r="B131" s="984">
        <v>307</v>
      </c>
      <c r="C131" s="984" t="str">
        <f t="shared" si="6"/>
        <v>30700</v>
      </c>
      <c r="D131" s="146" t="s">
        <v>636</v>
      </c>
      <c r="E131" s="158"/>
      <c r="H131" s="75"/>
    </row>
    <row r="132" spans="1:8" ht="11.25" customHeight="1">
      <c r="A132" s="983" t="s">
        <v>3561</v>
      </c>
      <c r="B132" s="984">
        <v>312</v>
      </c>
      <c r="C132" s="984" t="str">
        <f t="shared" si="6"/>
        <v>31200</v>
      </c>
      <c r="D132" s="146" t="s">
        <v>636</v>
      </c>
      <c r="E132" s="158"/>
    </row>
    <row r="133" spans="1:8" ht="11.25" customHeight="1">
      <c r="A133" s="983" t="s">
        <v>3979</v>
      </c>
      <c r="B133" s="984">
        <v>327</v>
      </c>
      <c r="C133" s="984" t="str">
        <f t="shared" si="6"/>
        <v>32700</v>
      </c>
      <c r="D133" s="146" t="s">
        <v>636</v>
      </c>
      <c r="E133" s="158"/>
    </row>
    <row r="134" spans="1:8" ht="11.25" customHeight="1">
      <c r="A134" s="985" t="s">
        <v>3562</v>
      </c>
      <c r="B134" s="984">
        <v>330</v>
      </c>
      <c r="C134" s="984" t="str">
        <f t="shared" si="6"/>
        <v>33000</v>
      </c>
      <c r="D134" s="146" t="s">
        <v>636</v>
      </c>
      <c r="E134" s="158"/>
      <c r="H134" s="75"/>
    </row>
    <row r="135" spans="1:8" ht="25.5" customHeight="1">
      <c r="A135" s="983" t="s">
        <v>3563</v>
      </c>
      <c r="B135" s="984">
        <v>350</v>
      </c>
      <c r="C135" s="984" t="str">
        <f t="shared" si="6"/>
        <v>35000</v>
      </c>
      <c r="D135" s="146" t="s">
        <v>636</v>
      </c>
      <c r="E135" s="158"/>
      <c r="H135" s="75"/>
    </row>
    <row r="136" spans="1:8">
      <c r="A136" s="983" t="s">
        <v>3564</v>
      </c>
      <c r="B136" s="984">
        <v>400</v>
      </c>
      <c r="C136" s="984" t="str">
        <f t="shared" si="6"/>
        <v>40000</v>
      </c>
      <c r="D136" s="146" t="s">
        <v>636</v>
      </c>
      <c r="E136" s="158"/>
      <c r="H136" s="75"/>
    </row>
    <row r="137" spans="1:8" ht="11.25" customHeight="1">
      <c r="A137" s="985" t="s">
        <v>3565</v>
      </c>
      <c r="B137" s="984">
        <v>402</v>
      </c>
      <c r="C137" s="984" t="str">
        <f t="shared" si="6"/>
        <v>40200</v>
      </c>
      <c r="D137" s="146" t="s">
        <v>636</v>
      </c>
      <c r="E137" s="158"/>
      <c r="H137" s="75"/>
    </row>
    <row r="138" spans="1:8" ht="11.25" customHeight="1">
      <c r="A138" s="983" t="s">
        <v>3566</v>
      </c>
      <c r="B138" s="984">
        <v>403</v>
      </c>
      <c r="C138" s="984" t="str">
        <f t="shared" si="6"/>
        <v>40300</v>
      </c>
      <c r="D138" s="146" t="s">
        <v>636</v>
      </c>
      <c r="E138" s="158"/>
      <c r="H138" s="75"/>
    </row>
    <row r="139" spans="1:8" ht="11.25" customHeight="1">
      <c r="A139" s="985" t="s">
        <v>3567</v>
      </c>
      <c r="B139" s="984">
        <v>405</v>
      </c>
      <c r="C139" s="984" t="str">
        <f t="shared" si="6"/>
        <v>40500</v>
      </c>
      <c r="D139" s="146" t="s">
        <v>636</v>
      </c>
      <c r="E139" s="158"/>
      <c r="H139" s="75"/>
    </row>
    <row r="140" spans="1:8" ht="11.25" customHeight="1">
      <c r="A140" s="983" t="s">
        <v>3568</v>
      </c>
      <c r="B140" s="984">
        <v>409</v>
      </c>
      <c r="C140" s="984" t="str">
        <f t="shared" si="6"/>
        <v>40900</v>
      </c>
      <c r="D140" s="146" t="s">
        <v>636</v>
      </c>
      <c r="E140" s="158"/>
      <c r="H140" s="75"/>
    </row>
    <row r="141" spans="1:8" ht="11.25" customHeight="1">
      <c r="A141" s="983" t="s">
        <v>3569</v>
      </c>
      <c r="B141" s="984">
        <v>411</v>
      </c>
      <c r="C141" s="984" t="str">
        <f t="shared" si="6"/>
        <v>41100</v>
      </c>
      <c r="D141" s="146" t="s">
        <v>636</v>
      </c>
      <c r="E141" s="158"/>
      <c r="H141" s="75"/>
    </row>
    <row r="142" spans="1:8" ht="11.25" customHeight="1">
      <c r="A142" s="983" t="s">
        <v>3570</v>
      </c>
      <c r="B142" s="984">
        <v>413</v>
      </c>
      <c r="C142" s="984" t="str">
        <f t="shared" si="6"/>
        <v>41300</v>
      </c>
      <c r="D142" s="146" t="s">
        <v>636</v>
      </c>
      <c r="E142" s="158"/>
      <c r="H142" s="75"/>
    </row>
    <row r="143" spans="1:8" ht="11.25" customHeight="1">
      <c r="A143" s="985" t="s">
        <v>3571</v>
      </c>
      <c r="B143" s="984">
        <v>417</v>
      </c>
      <c r="C143" s="984" t="str">
        <f t="shared" si="6"/>
        <v>41700</v>
      </c>
      <c r="D143" s="146" t="s">
        <v>636</v>
      </c>
      <c r="E143" s="158"/>
      <c r="H143" s="75"/>
    </row>
    <row r="144" spans="1:8" ht="11.25" customHeight="1">
      <c r="A144" s="985" t="s">
        <v>3572</v>
      </c>
      <c r="B144" s="984">
        <v>423</v>
      </c>
      <c r="C144" s="984" t="str">
        <f t="shared" si="6"/>
        <v>42300</v>
      </c>
      <c r="D144" s="146" t="s">
        <v>636</v>
      </c>
      <c r="E144" s="158"/>
      <c r="H144" s="75"/>
    </row>
    <row r="145" spans="1:8" ht="11.25" customHeight="1">
      <c r="A145" s="983" t="s">
        <v>3573</v>
      </c>
      <c r="B145" s="984">
        <v>425</v>
      </c>
      <c r="C145" s="984" t="str">
        <f t="shared" si="6"/>
        <v>42500</v>
      </c>
      <c r="D145" s="146" t="s">
        <v>636</v>
      </c>
      <c r="E145" s="158"/>
      <c r="H145" s="75"/>
    </row>
    <row r="146" spans="1:8" ht="11.25" customHeight="1">
      <c r="A146" s="983" t="s">
        <v>3574</v>
      </c>
      <c r="B146" s="984">
        <v>440</v>
      </c>
      <c r="C146" s="984" t="str">
        <f t="shared" si="6"/>
        <v>44000</v>
      </c>
      <c r="D146" s="146" t="s">
        <v>636</v>
      </c>
      <c r="E146" s="158"/>
      <c r="H146" s="75"/>
    </row>
    <row r="147" spans="1:8" ht="11.25" customHeight="1">
      <c r="A147" s="983" t="s">
        <v>3575</v>
      </c>
      <c r="B147" s="984">
        <v>440</v>
      </c>
      <c r="C147" s="984" t="str">
        <f t="shared" si="6"/>
        <v>44000</v>
      </c>
      <c r="D147" s="146" t="s">
        <v>636</v>
      </c>
      <c r="E147" s="158"/>
      <c r="H147" s="75"/>
    </row>
    <row r="148" spans="1:8" ht="11.25" customHeight="1">
      <c r="A148" s="983" t="s">
        <v>3576</v>
      </c>
      <c r="B148" s="984">
        <v>454</v>
      </c>
      <c r="C148" s="984" t="str">
        <f t="shared" si="6"/>
        <v>45400</v>
      </c>
      <c r="D148" s="146" t="s">
        <v>636</v>
      </c>
      <c r="E148" s="158"/>
      <c r="H148" s="75"/>
    </row>
    <row r="149" spans="1:8" ht="11.25" customHeight="1">
      <c r="A149" s="983" t="s">
        <v>3577</v>
      </c>
      <c r="B149" s="984">
        <v>501</v>
      </c>
      <c r="C149" s="984" t="str">
        <f t="shared" si="6"/>
        <v>50100</v>
      </c>
      <c r="D149" s="146" t="s">
        <v>636</v>
      </c>
      <c r="E149" s="158"/>
      <c r="H149" s="75"/>
    </row>
    <row r="150" spans="1:8" ht="11.25" customHeight="1">
      <c r="A150" s="983" t="s">
        <v>3578</v>
      </c>
      <c r="B150" s="984">
        <v>503</v>
      </c>
      <c r="C150" s="984" t="str">
        <f t="shared" ref="C150" si="9">CONCATENATE(B150,"00")</f>
        <v>50300</v>
      </c>
      <c r="D150" s="146" t="s">
        <v>636</v>
      </c>
      <c r="E150" s="158"/>
      <c r="H150" s="75"/>
    </row>
    <row r="151" spans="1:8" ht="11.25" customHeight="1">
      <c r="A151" s="983" t="s">
        <v>3579</v>
      </c>
      <c r="B151" s="984">
        <v>505</v>
      </c>
      <c r="C151" s="984" t="str">
        <f t="shared" si="6"/>
        <v>50500</v>
      </c>
      <c r="D151" s="146" t="s">
        <v>636</v>
      </c>
      <c r="E151" s="158"/>
      <c r="H151" s="75"/>
    </row>
    <row r="152" spans="1:8" ht="11.25" customHeight="1">
      <c r="A152" s="985" t="s">
        <v>3580</v>
      </c>
      <c r="B152" s="984">
        <v>506</v>
      </c>
      <c r="C152" s="984" t="str">
        <f t="shared" si="6"/>
        <v>50600</v>
      </c>
      <c r="D152" s="146" t="s">
        <v>636</v>
      </c>
      <c r="E152" s="158"/>
      <c r="H152" s="75"/>
    </row>
    <row r="153" spans="1:8" ht="11.25" customHeight="1">
      <c r="A153" s="985" t="s">
        <v>3581</v>
      </c>
      <c r="B153" s="984">
        <v>530</v>
      </c>
      <c r="C153" s="984" t="str">
        <f t="shared" si="6"/>
        <v>53000</v>
      </c>
      <c r="D153" s="146" t="s">
        <v>636</v>
      </c>
      <c r="E153" s="158"/>
      <c r="H153" s="75"/>
    </row>
    <row r="154" spans="1:8" ht="11.25" customHeight="1">
      <c r="A154" s="985" t="s">
        <v>3582</v>
      </c>
      <c r="B154" s="984">
        <v>601</v>
      </c>
      <c r="C154" s="984" t="str">
        <f t="shared" si="6"/>
        <v>60100</v>
      </c>
      <c r="D154" s="146" t="s">
        <v>636</v>
      </c>
      <c r="E154" s="158"/>
      <c r="H154" s="75"/>
    </row>
    <row r="155" spans="1:8" ht="11.25" customHeight="1">
      <c r="A155" s="985" t="s">
        <v>3583</v>
      </c>
      <c r="B155" s="984">
        <v>602</v>
      </c>
      <c r="C155" s="984" t="str">
        <f t="shared" si="6"/>
        <v>60200</v>
      </c>
      <c r="D155" s="146" t="s">
        <v>636</v>
      </c>
      <c r="E155" s="158"/>
      <c r="H155" s="75"/>
    </row>
    <row r="156" spans="1:8">
      <c r="A156" s="985" t="s">
        <v>3584</v>
      </c>
      <c r="B156" s="984">
        <v>606</v>
      </c>
      <c r="C156" s="984" t="str">
        <f t="shared" si="6"/>
        <v>60600</v>
      </c>
      <c r="D156" s="146" t="s">
        <v>636</v>
      </c>
      <c r="E156" s="158"/>
      <c r="H156" s="75"/>
    </row>
    <row r="157" spans="1:8" ht="11.25" customHeight="1">
      <c r="A157" s="983" t="s">
        <v>3585</v>
      </c>
      <c r="B157" s="984">
        <v>701</v>
      </c>
      <c r="C157" s="984" t="str">
        <f t="shared" si="6"/>
        <v>70100</v>
      </c>
      <c r="D157" s="146" t="s">
        <v>636</v>
      </c>
      <c r="E157" s="158"/>
      <c r="H157" s="75"/>
    </row>
    <row r="158" spans="1:8" ht="11.25" customHeight="1">
      <c r="A158" s="983" t="s">
        <v>3586</v>
      </c>
      <c r="B158" s="984">
        <v>702</v>
      </c>
      <c r="C158" s="984" t="str">
        <f t="shared" si="6"/>
        <v>70200</v>
      </c>
      <c r="D158" s="146" t="s">
        <v>636</v>
      </c>
      <c r="E158" s="158"/>
      <c r="H158" s="75"/>
    </row>
    <row r="159" spans="1:8" ht="24" customHeight="1">
      <c r="A159" s="983" t="s">
        <v>3587</v>
      </c>
      <c r="B159" s="984">
        <v>702</v>
      </c>
      <c r="C159" s="984" t="str">
        <f t="shared" si="6"/>
        <v>70200</v>
      </c>
      <c r="D159" s="146" t="s">
        <v>636</v>
      </c>
      <c r="E159" s="158"/>
      <c r="H159" s="75"/>
    </row>
    <row r="160" spans="1:8" ht="11.25" customHeight="1">
      <c r="A160" s="985" t="s">
        <v>3588</v>
      </c>
      <c r="B160" s="984">
        <v>703</v>
      </c>
      <c r="C160" s="984" t="str">
        <f t="shared" si="6"/>
        <v>70300</v>
      </c>
      <c r="D160" s="146" t="s">
        <v>636</v>
      </c>
      <c r="E160" s="158"/>
      <c r="H160" s="75"/>
    </row>
    <row r="161" spans="1:8" ht="11.25" customHeight="1">
      <c r="A161" s="985" t="s">
        <v>3589</v>
      </c>
      <c r="B161" s="984">
        <v>704</v>
      </c>
      <c r="C161" s="984" t="str">
        <f t="shared" si="6"/>
        <v>70400</v>
      </c>
      <c r="D161" s="146" t="s">
        <v>636</v>
      </c>
      <c r="E161" s="158"/>
      <c r="H161" s="75"/>
    </row>
    <row r="162" spans="1:8" ht="11.25" customHeight="1">
      <c r="A162" s="985" t="s">
        <v>3590</v>
      </c>
      <c r="B162" s="984">
        <v>705</v>
      </c>
      <c r="C162" s="984" t="str">
        <f t="shared" si="6"/>
        <v>70500</v>
      </c>
      <c r="D162" s="146" t="s">
        <v>636</v>
      </c>
      <c r="E162" s="158"/>
      <c r="H162" s="75"/>
    </row>
    <row r="163" spans="1:8" ht="11.25" customHeight="1">
      <c r="A163" s="985" t="s">
        <v>3591</v>
      </c>
      <c r="B163" s="984">
        <v>706</v>
      </c>
      <c r="C163" s="984" t="str">
        <f t="shared" si="6"/>
        <v>70600</v>
      </c>
      <c r="D163" s="146" t="s">
        <v>636</v>
      </c>
      <c r="E163" s="158"/>
      <c r="H163" s="75"/>
    </row>
    <row r="164" spans="1:8" ht="11.25" customHeight="1">
      <c r="A164" s="985" t="s">
        <v>3592</v>
      </c>
      <c r="B164" s="984">
        <v>707</v>
      </c>
      <c r="C164" s="984" t="str">
        <f t="shared" si="6"/>
        <v>70700</v>
      </c>
      <c r="D164" s="146" t="s">
        <v>636</v>
      </c>
      <c r="E164" s="158"/>
      <c r="H164" s="75"/>
    </row>
    <row r="165" spans="1:8" ht="11.25" customHeight="1">
      <c r="A165" s="985" t="s">
        <v>3593</v>
      </c>
      <c r="B165" s="984">
        <v>708</v>
      </c>
      <c r="C165" s="984" t="str">
        <f t="shared" si="6"/>
        <v>70800</v>
      </c>
      <c r="D165" s="146" t="s">
        <v>636</v>
      </c>
      <c r="E165" s="158"/>
      <c r="H165" s="75"/>
    </row>
    <row r="166" spans="1:8" ht="11.25" customHeight="1">
      <c r="A166" s="985" t="s">
        <v>3594</v>
      </c>
      <c r="B166" s="984">
        <v>709</v>
      </c>
      <c r="C166" s="984" t="str">
        <f t="shared" si="6"/>
        <v>70900</v>
      </c>
      <c r="D166" s="146" t="s">
        <v>636</v>
      </c>
      <c r="E166" s="158"/>
      <c r="H166" s="75"/>
    </row>
    <row r="167" spans="1:8" ht="11.25" customHeight="1">
      <c r="A167" s="985" t="s">
        <v>3595</v>
      </c>
      <c r="B167" s="984">
        <v>711</v>
      </c>
      <c r="C167" s="984" t="str">
        <f t="shared" si="6"/>
        <v>71100</v>
      </c>
      <c r="D167" s="146" t="s">
        <v>636</v>
      </c>
      <c r="E167" s="158"/>
      <c r="H167" s="75"/>
    </row>
    <row r="168" spans="1:8" ht="11.25" customHeight="1">
      <c r="A168" s="985" t="s">
        <v>3596</v>
      </c>
      <c r="B168" s="984">
        <v>716</v>
      </c>
      <c r="C168" s="984" t="str">
        <f t="shared" si="6"/>
        <v>71600</v>
      </c>
      <c r="D168" s="146" t="s">
        <v>636</v>
      </c>
      <c r="E168" s="158"/>
      <c r="H168" s="75"/>
    </row>
    <row r="169" spans="1:8" ht="11.25" customHeight="1">
      <c r="A169" s="985" t="s">
        <v>3597</v>
      </c>
      <c r="B169" s="984">
        <v>718</v>
      </c>
      <c r="C169" s="984" t="str">
        <f t="shared" si="6"/>
        <v>71800</v>
      </c>
      <c r="D169" s="146" t="s">
        <v>636</v>
      </c>
      <c r="E169" s="158"/>
      <c r="H169" s="75"/>
    </row>
    <row r="170" spans="1:8">
      <c r="A170" s="985" t="s">
        <v>3598</v>
      </c>
      <c r="B170" s="984">
        <v>719</v>
      </c>
      <c r="C170" s="984" t="str">
        <f t="shared" ref="C170:C229" si="10">CONCATENATE(B170,"00")</f>
        <v>71900</v>
      </c>
      <c r="D170" s="146" t="s">
        <v>636</v>
      </c>
      <c r="E170" s="158"/>
      <c r="H170" s="75"/>
    </row>
    <row r="171" spans="1:8" ht="27" customHeight="1">
      <c r="A171" s="983" t="s">
        <v>3599</v>
      </c>
      <c r="B171" s="984">
        <v>720</v>
      </c>
      <c r="C171" s="984" t="str">
        <f t="shared" si="10"/>
        <v>72000</v>
      </c>
      <c r="D171" s="146" t="s">
        <v>636</v>
      </c>
      <c r="E171" s="158"/>
      <c r="H171" s="75"/>
    </row>
    <row r="172" spans="1:8" ht="11.25" customHeight="1">
      <c r="A172" s="983" t="s">
        <v>3600</v>
      </c>
      <c r="B172" s="984">
        <v>720</v>
      </c>
      <c r="C172" s="984" t="str">
        <f t="shared" si="10"/>
        <v>72000</v>
      </c>
      <c r="D172" s="146" t="s">
        <v>636</v>
      </c>
      <c r="E172" s="158"/>
      <c r="H172" s="75"/>
    </row>
    <row r="173" spans="1:8" ht="11.25" customHeight="1">
      <c r="A173" s="983" t="s">
        <v>3601</v>
      </c>
      <c r="B173" s="984">
        <v>721</v>
      </c>
      <c r="C173" s="984" t="str">
        <f t="shared" si="10"/>
        <v>72100</v>
      </c>
      <c r="D173" s="146" t="s">
        <v>636</v>
      </c>
      <c r="E173" s="158"/>
      <c r="H173" s="75"/>
    </row>
    <row r="174" spans="1:8" ht="11.25" customHeight="1">
      <c r="A174" s="985" t="s">
        <v>3602</v>
      </c>
      <c r="B174" s="984">
        <v>723</v>
      </c>
      <c r="C174" s="984" t="str">
        <f t="shared" si="10"/>
        <v>72300</v>
      </c>
      <c r="D174" s="146" t="s">
        <v>636</v>
      </c>
      <c r="E174" s="158"/>
      <c r="H174" s="75"/>
    </row>
    <row r="175" spans="1:8" ht="11.25" customHeight="1">
      <c r="A175" s="985" t="s">
        <v>3603</v>
      </c>
      <c r="B175" s="984">
        <v>724</v>
      </c>
      <c r="C175" s="984" t="str">
        <f t="shared" si="10"/>
        <v>72400</v>
      </c>
      <c r="D175" s="146" t="s">
        <v>636</v>
      </c>
      <c r="E175" s="158"/>
      <c r="H175" s="75"/>
    </row>
    <row r="176" spans="1:8" ht="11.25" customHeight="1">
      <c r="A176" s="985" t="s">
        <v>3604</v>
      </c>
      <c r="B176" s="984">
        <v>728</v>
      </c>
      <c r="C176" s="984" t="str">
        <f t="shared" si="10"/>
        <v>72800</v>
      </c>
      <c r="D176" s="146" t="s">
        <v>636</v>
      </c>
      <c r="E176" s="158"/>
      <c r="H176" s="75"/>
    </row>
    <row r="177" spans="1:8" ht="11.25" customHeight="1">
      <c r="A177" s="985" t="s">
        <v>3605</v>
      </c>
      <c r="B177" s="984">
        <v>729</v>
      </c>
      <c r="C177" s="984" t="str">
        <f t="shared" si="10"/>
        <v>72900</v>
      </c>
      <c r="D177" s="146" t="s">
        <v>636</v>
      </c>
      <c r="E177" s="158"/>
      <c r="H177" s="75"/>
    </row>
    <row r="178" spans="1:8" ht="11.25" customHeight="1">
      <c r="A178" s="985" t="s">
        <v>3606</v>
      </c>
      <c r="B178" s="984">
        <v>730</v>
      </c>
      <c r="C178" s="984" t="str">
        <f t="shared" si="10"/>
        <v>73000</v>
      </c>
      <c r="D178" s="146" t="s">
        <v>636</v>
      </c>
      <c r="E178" s="158"/>
      <c r="H178" s="75"/>
    </row>
    <row r="179" spans="1:8" ht="11.25" customHeight="1">
      <c r="A179" s="985" t="s">
        <v>3607</v>
      </c>
      <c r="B179" s="984">
        <v>733</v>
      </c>
      <c r="C179" s="984" t="str">
        <f t="shared" si="10"/>
        <v>73300</v>
      </c>
      <c r="D179" s="146" t="s">
        <v>636</v>
      </c>
      <c r="E179" s="158"/>
      <c r="H179" s="75"/>
    </row>
    <row r="180" spans="1:8" ht="11.25" customHeight="1">
      <c r="A180" s="985" t="s">
        <v>3608</v>
      </c>
      <c r="B180" s="984">
        <v>734</v>
      </c>
      <c r="C180" s="984" t="str">
        <f t="shared" si="10"/>
        <v>73400</v>
      </c>
      <c r="D180" s="146" t="s">
        <v>636</v>
      </c>
      <c r="E180" s="158"/>
      <c r="H180" s="75"/>
    </row>
    <row r="181" spans="1:8" ht="11.25" customHeight="1">
      <c r="A181" s="985" t="s">
        <v>3609</v>
      </c>
      <c r="B181" s="984">
        <v>735</v>
      </c>
      <c r="C181" s="984" t="str">
        <f t="shared" si="10"/>
        <v>73500</v>
      </c>
      <c r="D181" s="146" t="s">
        <v>636</v>
      </c>
      <c r="E181" s="158"/>
      <c r="H181" s="75"/>
    </row>
    <row r="182" spans="1:8" ht="11.25" customHeight="1">
      <c r="A182" s="985" t="s">
        <v>3610</v>
      </c>
      <c r="B182" s="984">
        <v>737</v>
      </c>
      <c r="C182" s="984" t="str">
        <f t="shared" si="10"/>
        <v>73700</v>
      </c>
      <c r="D182" s="146" t="s">
        <v>636</v>
      </c>
      <c r="E182" s="158"/>
      <c r="H182" s="75"/>
    </row>
    <row r="183" spans="1:8" ht="11.25" customHeight="1">
      <c r="A183" s="985" t="s">
        <v>3611</v>
      </c>
      <c r="B183" s="984">
        <v>739</v>
      </c>
      <c r="C183" s="984" t="str">
        <f t="shared" si="10"/>
        <v>73900</v>
      </c>
      <c r="D183" s="146" t="s">
        <v>636</v>
      </c>
      <c r="E183" s="158"/>
      <c r="H183" s="75"/>
    </row>
    <row r="184" spans="1:8" ht="11.25" customHeight="1">
      <c r="A184" s="985" t="s">
        <v>3612</v>
      </c>
      <c r="B184" s="984">
        <v>741</v>
      </c>
      <c r="C184" s="984" t="str">
        <f t="shared" si="10"/>
        <v>74100</v>
      </c>
      <c r="D184" s="146" t="s">
        <v>636</v>
      </c>
      <c r="E184" s="158"/>
      <c r="H184" s="75"/>
    </row>
    <row r="185" spans="1:8" ht="11.25" customHeight="1">
      <c r="A185" s="983" t="s">
        <v>3613</v>
      </c>
      <c r="B185" s="984">
        <v>742</v>
      </c>
      <c r="C185" s="984" t="str">
        <f t="shared" si="10"/>
        <v>74200</v>
      </c>
      <c r="D185" s="146" t="s">
        <v>636</v>
      </c>
      <c r="E185" s="158"/>
      <c r="H185" s="75"/>
    </row>
    <row r="186" spans="1:8" ht="11.25" customHeight="1">
      <c r="A186" s="983" t="s">
        <v>3614</v>
      </c>
      <c r="B186" s="984">
        <v>743</v>
      </c>
      <c r="C186" s="984" t="str">
        <f t="shared" si="10"/>
        <v>74300</v>
      </c>
      <c r="D186" s="146" t="s">
        <v>636</v>
      </c>
      <c r="E186" s="158"/>
      <c r="H186" s="75"/>
    </row>
    <row r="187" spans="1:8" ht="11.25" customHeight="1">
      <c r="A187" s="985" t="s">
        <v>3615</v>
      </c>
      <c r="B187" s="984">
        <v>745</v>
      </c>
      <c r="C187" s="984" t="str">
        <f t="shared" si="10"/>
        <v>74500</v>
      </c>
      <c r="D187" s="146" t="s">
        <v>636</v>
      </c>
      <c r="E187" s="158"/>
      <c r="H187" s="75"/>
    </row>
    <row r="188" spans="1:8" ht="11.25" customHeight="1">
      <c r="A188" s="985" t="s">
        <v>3616</v>
      </c>
      <c r="B188" s="984">
        <v>747</v>
      </c>
      <c r="C188" s="984" t="str">
        <f t="shared" si="10"/>
        <v>74700</v>
      </c>
      <c r="D188" s="146" t="s">
        <v>636</v>
      </c>
      <c r="E188" s="158"/>
      <c r="H188" s="75"/>
    </row>
    <row r="189" spans="1:8" ht="11.25" customHeight="1">
      <c r="A189" s="985" t="s">
        <v>3617</v>
      </c>
      <c r="B189" s="984">
        <v>748</v>
      </c>
      <c r="C189" s="984" t="str">
        <f t="shared" si="10"/>
        <v>74800</v>
      </c>
      <c r="D189" s="146" t="s">
        <v>636</v>
      </c>
      <c r="E189" s="158"/>
      <c r="H189" s="75"/>
    </row>
    <row r="190" spans="1:8" ht="11.25" customHeight="1">
      <c r="A190" s="985" t="s">
        <v>3618</v>
      </c>
      <c r="B190" s="984">
        <v>749</v>
      </c>
      <c r="C190" s="984" t="str">
        <f t="shared" si="10"/>
        <v>74900</v>
      </c>
      <c r="D190" s="146" t="s">
        <v>636</v>
      </c>
      <c r="E190" s="158"/>
      <c r="H190" s="75"/>
    </row>
    <row r="191" spans="1:8" ht="11.25" customHeight="1">
      <c r="A191" s="985" t="s">
        <v>3619</v>
      </c>
      <c r="B191" s="984">
        <v>751</v>
      </c>
      <c r="C191" s="984" t="str">
        <f t="shared" si="10"/>
        <v>75100</v>
      </c>
      <c r="D191" s="146" t="s">
        <v>636</v>
      </c>
      <c r="E191" s="158"/>
      <c r="H191" s="75"/>
    </row>
    <row r="192" spans="1:8" ht="11.25" customHeight="1">
      <c r="A192" s="983" t="s">
        <v>3620</v>
      </c>
      <c r="B192" s="984">
        <v>752</v>
      </c>
      <c r="C192" s="984" t="str">
        <f t="shared" si="10"/>
        <v>75200</v>
      </c>
      <c r="D192" s="146" t="s">
        <v>636</v>
      </c>
      <c r="E192" s="158"/>
      <c r="H192" s="75"/>
    </row>
    <row r="193" spans="1:8" ht="11.25" customHeight="1">
      <c r="A193" s="985" t="s">
        <v>3621</v>
      </c>
      <c r="B193" s="984">
        <v>753</v>
      </c>
      <c r="C193" s="984" t="str">
        <f t="shared" si="10"/>
        <v>75300</v>
      </c>
      <c r="D193" s="146" t="s">
        <v>636</v>
      </c>
      <c r="E193" s="158"/>
      <c r="H193" s="75"/>
    </row>
    <row r="194" spans="1:8" ht="11.25" customHeight="1">
      <c r="A194" s="985" t="s">
        <v>3622</v>
      </c>
      <c r="B194" s="984">
        <v>754</v>
      </c>
      <c r="C194" s="984" t="str">
        <f t="shared" si="10"/>
        <v>75400</v>
      </c>
      <c r="D194" s="146" t="s">
        <v>636</v>
      </c>
      <c r="E194" s="158"/>
      <c r="H194" s="75"/>
    </row>
    <row r="195" spans="1:8" ht="11.25" customHeight="1">
      <c r="A195" s="985" t="s">
        <v>3623</v>
      </c>
      <c r="B195" s="984">
        <v>756</v>
      </c>
      <c r="C195" s="984" t="str">
        <f t="shared" si="10"/>
        <v>75600</v>
      </c>
      <c r="D195" s="146" t="s">
        <v>636</v>
      </c>
      <c r="E195" s="158"/>
      <c r="H195" s="75"/>
    </row>
    <row r="196" spans="1:8" ht="11.25" customHeight="1">
      <c r="A196" s="985" t="s">
        <v>3624</v>
      </c>
      <c r="B196" s="984">
        <v>757</v>
      </c>
      <c r="C196" s="984" t="str">
        <f t="shared" si="10"/>
        <v>75700</v>
      </c>
      <c r="D196" s="146" t="s">
        <v>636</v>
      </c>
      <c r="E196" s="158"/>
      <c r="H196" s="75"/>
    </row>
    <row r="197" spans="1:8" ht="11.25" customHeight="1">
      <c r="A197" s="985" t="s">
        <v>3625</v>
      </c>
      <c r="B197" s="984">
        <v>760</v>
      </c>
      <c r="C197" s="984" t="str">
        <f t="shared" si="10"/>
        <v>76000</v>
      </c>
      <c r="D197" s="146" t="s">
        <v>636</v>
      </c>
      <c r="E197" s="158"/>
      <c r="H197" s="75"/>
    </row>
    <row r="198" spans="1:8" ht="11.25" customHeight="1">
      <c r="A198" s="985" t="s">
        <v>3626</v>
      </c>
      <c r="B198" s="984">
        <v>761</v>
      </c>
      <c r="C198" s="984" t="str">
        <f t="shared" si="10"/>
        <v>76100</v>
      </c>
      <c r="D198" s="146" t="s">
        <v>636</v>
      </c>
      <c r="E198" s="158"/>
      <c r="H198" s="75"/>
    </row>
    <row r="199" spans="1:8" ht="11.25" customHeight="1">
      <c r="A199" s="983" t="s">
        <v>3627</v>
      </c>
      <c r="B199" s="984">
        <v>765</v>
      </c>
      <c r="C199" s="984" t="str">
        <f t="shared" si="10"/>
        <v>76500</v>
      </c>
      <c r="D199" s="146" t="s">
        <v>636</v>
      </c>
      <c r="E199" s="158"/>
      <c r="H199" s="75"/>
    </row>
    <row r="200" spans="1:8" ht="11.25" customHeight="1">
      <c r="A200" s="985" t="s">
        <v>3628</v>
      </c>
      <c r="B200" s="984">
        <v>766</v>
      </c>
      <c r="C200" s="984" t="str">
        <f t="shared" si="10"/>
        <v>76600</v>
      </c>
      <c r="D200" s="146" t="s">
        <v>636</v>
      </c>
      <c r="E200" s="158"/>
      <c r="H200" s="75"/>
    </row>
    <row r="201" spans="1:8" ht="11.25" customHeight="1">
      <c r="A201" s="985" t="s">
        <v>3629</v>
      </c>
      <c r="B201" s="984">
        <v>767</v>
      </c>
      <c r="C201" s="984" t="str">
        <f t="shared" si="10"/>
        <v>76700</v>
      </c>
      <c r="D201" s="146" t="s">
        <v>636</v>
      </c>
      <c r="E201" s="158"/>
      <c r="H201" s="75"/>
    </row>
    <row r="202" spans="1:8" ht="11.25" customHeight="1">
      <c r="A202" s="985" t="s">
        <v>3630</v>
      </c>
      <c r="B202" s="984">
        <v>768</v>
      </c>
      <c r="C202" s="984" t="str">
        <f t="shared" si="10"/>
        <v>76800</v>
      </c>
      <c r="D202" s="146" t="s">
        <v>636</v>
      </c>
      <c r="E202" s="158"/>
      <c r="H202" s="75"/>
    </row>
    <row r="203" spans="1:8" ht="11.25" customHeight="1">
      <c r="A203" s="985" t="s">
        <v>3631</v>
      </c>
      <c r="B203" s="984">
        <v>769</v>
      </c>
      <c r="C203" s="984" t="str">
        <f t="shared" si="10"/>
        <v>76900</v>
      </c>
      <c r="D203" s="146" t="s">
        <v>636</v>
      </c>
      <c r="E203" s="158"/>
      <c r="H203" s="75"/>
    </row>
    <row r="204" spans="1:8" ht="11.25" customHeight="1">
      <c r="A204" s="985" t="s">
        <v>3632</v>
      </c>
      <c r="B204" s="984">
        <v>770</v>
      </c>
      <c r="C204" s="984" t="str">
        <f t="shared" si="10"/>
        <v>77000</v>
      </c>
      <c r="D204" s="146" t="s">
        <v>636</v>
      </c>
      <c r="E204" s="158"/>
      <c r="H204" s="75"/>
    </row>
    <row r="205" spans="1:8" ht="11.25" customHeight="1">
      <c r="A205" s="985" t="s">
        <v>3633</v>
      </c>
      <c r="B205" s="984">
        <v>771</v>
      </c>
      <c r="C205" s="984" t="str">
        <f t="shared" si="10"/>
        <v>77100</v>
      </c>
      <c r="D205" s="146" t="s">
        <v>636</v>
      </c>
      <c r="E205" s="158"/>
      <c r="H205" s="75"/>
    </row>
    <row r="206" spans="1:8" ht="11.25" customHeight="1">
      <c r="A206" s="985" t="s">
        <v>3634</v>
      </c>
      <c r="B206" s="984">
        <v>772</v>
      </c>
      <c r="C206" s="984" t="str">
        <f t="shared" si="10"/>
        <v>77200</v>
      </c>
      <c r="D206" s="146" t="s">
        <v>636</v>
      </c>
      <c r="E206" s="158"/>
      <c r="H206" s="75"/>
    </row>
    <row r="207" spans="1:8" ht="11.25" customHeight="1">
      <c r="A207" s="985" t="s">
        <v>3635</v>
      </c>
      <c r="B207" s="984">
        <v>773</v>
      </c>
      <c r="C207" s="984" t="str">
        <f t="shared" si="10"/>
        <v>77300</v>
      </c>
      <c r="D207" s="146" t="s">
        <v>636</v>
      </c>
      <c r="E207" s="158"/>
      <c r="H207" s="75"/>
    </row>
    <row r="208" spans="1:8" ht="11.25" customHeight="1">
      <c r="A208" s="985" t="s">
        <v>3636</v>
      </c>
      <c r="B208" s="984">
        <v>774</v>
      </c>
      <c r="C208" s="984" t="str">
        <f t="shared" si="10"/>
        <v>77400</v>
      </c>
      <c r="D208" s="146" t="s">
        <v>636</v>
      </c>
      <c r="E208" s="158"/>
      <c r="H208" s="75"/>
    </row>
    <row r="209" spans="1:8" ht="11.25" customHeight="1">
      <c r="A209" s="985" t="s">
        <v>3637</v>
      </c>
      <c r="B209" s="984">
        <v>775</v>
      </c>
      <c r="C209" s="984" t="str">
        <f t="shared" si="10"/>
        <v>77500</v>
      </c>
      <c r="D209" s="146" t="s">
        <v>636</v>
      </c>
      <c r="E209" s="158"/>
      <c r="H209" s="75"/>
    </row>
    <row r="210" spans="1:8" ht="11.25" customHeight="1">
      <c r="A210" s="985" t="s">
        <v>3638</v>
      </c>
      <c r="B210" s="984">
        <v>776</v>
      </c>
      <c r="C210" s="984" t="str">
        <f t="shared" si="10"/>
        <v>77600</v>
      </c>
      <c r="D210" s="146" t="s">
        <v>636</v>
      </c>
      <c r="E210" s="158"/>
      <c r="H210" s="75"/>
    </row>
    <row r="211" spans="1:8" ht="24" customHeight="1">
      <c r="A211" s="983" t="s">
        <v>3639</v>
      </c>
      <c r="B211" s="984">
        <v>777</v>
      </c>
      <c r="C211" s="984" t="str">
        <f t="shared" si="10"/>
        <v>77700</v>
      </c>
      <c r="D211" s="146" t="s">
        <v>636</v>
      </c>
      <c r="E211" s="158"/>
      <c r="H211" s="75"/>
    </row>
    <row r="212" spans="1:8" ht="11.25" customHeight="1">
      <c r="A212" s="985" t="s">
        <v>3640</v>
      </c>
      <c r="B212" s="984">
        <v>778</v>
      </c>
      <c r="C212" s="984" t="str">
        <f t="shared" si="10"/>
        <v>77800</v>
      </c>
      <c r="D212" s="146" t="s">
        <v>636</v>
      </c>
      <c r="E212" s="158"/>
      <c r="H212" s="75"/>
    </row>
    <row r="213" spans="1:8" ht="11.25" customHeight="1">
      <c r="A213" s="985" t="s">
        <v>3641</v>
      </c>
      <c r="B213" s="984">
        <v>779</v>
      </c>
      <c r="C213" s="984" t="str">
        <f t="shared" ref="C213" si="11">CONCATENATE(B213,"00")</f>
        <v>77900</v>
      </c>
      <c r="D213" s="146" t="s">
        <v>636</v>
      </c>
      <c r="E213" s="158"/>
      <c r="H213" s="75"/>
    </row>
    <row r="214" spans="1:8" ht="11.25" customHeight="1">
      <c r="A214" s="983" t="s">
        <v>3987</v>
      </c>
      <c r="B214" s="984">
        <v>784</v>
      </c>
      <c r="C214" s="984" t="str">
        <f t="shared" si="10"/>
        <v>78400</v>
      </c>
      <c r="D214" s="146" t="s">
        <v>636</v>
      </c>
      <c r="E214" s="158"/>
      <c r="H214" s="75"/>
    </row>
    <row r="215" spans="1:8" ht="11.25" customHeight="1">
      <c r="A215" s="983" t="s">
        <v>3642</v>
      </c>
      <c r="B215" s="984">
        <v>785</v>
      </c>
      <c r="C215" s="984" t="str">
        <f t="shared" si="10"/>
        <v>78500</v>
      </c>
      <c r="D215" s="146" t="s">
        <v>636</v>
      </c>
      <c r="E215" s="158"/>
      <c r="H215" s="75"/>
    </row>
    <row r="216" spans="1:8" ht="11.25" customHeight="1">
      <c r="A216" s="983" t="s">
        <v>3643</v>
      </c>
      <c r="B216" s="984">
        <v>786</v>
      </c>
      <c r="C216" s="984" t="str">
        <f t="shared" si="10"/>
        <v>78600</v>
      </c>
      <c r="D216" s="146" t="s">
        <v>636</v>
      </c>
      <c r="E216" s="158"/>
      <c r="H216" s="75"/>
    </row>
    <row r="217" spans="1:8" ht="11.25" customHeight="1">
      <c r="A217" s="985" t="s">
        <v>3644</v>
      </c>
      <c r="B217" s="984">
        <v>790</v>
      </c>
      <c r="C217" s="984" t="str">
        <f t="shared" si="10"/>
        <v>79000</v>
      </c>
      <c r="D217" s="146" t="s">
        <v>636</v>
      </c>
      <c r="E217" s="158"/>
      <c r="H217" s="75"/>
    </row>
    <row r="218" spans="1:8" ht="11.25" customHeight="1">
      <c r="A218" s="985" t="s">
        <v>3645</v>
      </c>
      <c r="B218" s="984">
        <v>792</v>
      </c>
      <c r="C218" s="984" t="str">
        <f t="shared" si="10"/>
        <v>79200</v>
      </c>
      <c r="D218" s="146" t="s">
        <v>636</v>
      </c>
      <c r="E218" s="158"/>
      <c r="H218" s="75"/>
    </row>
    <row r="219" spans="1:8" ht="11.25" customHeight="1">
      <c r="A219" s="983" t="s">
        <v>3646</v>
      </c>
      <c r="B219" s="984">
        <v>793</v>
      </c>
      <c r="C219" s="984" t="str">
        <f t="shared" si="10"/>
        <v>79300</v>
      </c>
      <c r="D219" s="146" t="s">
        <v>636</v>
      </c>
      <c r="E219" s="158"/>
      <c r="H219" s="75"/>
    </row>
    <row r="220" spans="1:8" ht="11.25" customHeight="1">
      <c r="A220" s="985" t="s">
        <v>3647</v>
      </c>
      <c r="B220" s="984">
        <v>794</v>
      </c>
      <c r="C220" s="984" t="str">
        <f t="shared" si="10"/>
        <v>79400</v>
      </c>
      <c r="D220" s="146" t="s">
        <v>636</v>
      </c>
      <c r="E220" s="158"/>
      <c r="H220" s="75"/>
    </row>
    <row r="221" spans="1:8" ht="11.25" customHeight="1">
      <c r="A221" s="983" t="s">
        <v>3648</v>
      </c>
      <c r="B221" s="984">
        <v>795</v>
      </c>
      <c r="C221" s="984" t="str">
        <f t="shared" si="10"/>
        <v>79500</v>
      </c>
      <c r="D221" s="146" t="s">
        <v>636</v>
      </c>
      <c r="E221" s="158"/>
      <c r="H221" s="75"/>
    </row>
    <row r="222" spans="1:8" ht="11.25" customHeight="1">
      <c r="A222" s="983" t="s">
        <v>3649</v>
      </c>
      <c r="B222" s="984">
        <v>799</v>
      </c>
      <c r="C222" s="984" t="str">
        <f t="shared" si="10"/>
        <v>79900</v>
      </c>
      <c r="D222" s="146" t="s">
        <v>636</v>
      </c>
      <c r="E222" s="158"/>
      <c r="H222" s="75"/>
    </row>
    <row r="223" spans="1:8" ht="11.25" customHeight="1">
      <c r="A223" s="985" t="s">
        <v>3650</v>
      </c>
      <c r="B223" s="984">
        <v>820</v>
      </c>
      <c r="C223" s="984" t="str">
        <f t="shared" si="10"/>
        <v>82000</v>
      </c>
      <c r="D223" s="146" t="s">
        <v>636</v>
      </c>
      <c r="E223" s="158"/>
      <c r="H223" s="75"/>
    </row>
    <row r="224" spans="1:8" ht="11.25" customHeight="1">
      <c r="A224" s="985" t="s">
        <v>3651</v>
      </c>
      <c r="B224" s="984">
        <v>834</v>
      </c>
      <c r="C224" s="984" t="str">
        <f t="shared" si="10"/>
        <v>83400</v>
      </c>
      <c r="D224" s="146" t="s">
        <v>636</v>
      </c>
      <c r="E224" s="158"/>
      <c r="H224" s="75"/>
    </row>
    <row r="225" spans="1:8" ht="22.5" customHeight="1">
      <c r="A225" s="983" t="s">
        <v>3652</v>
      </c>
      <c r="B225" s="984">
        <v>836</v>
      </c>
      <c r="C225" s="984" t="str">
        <f t="shared" si="10"/>
        <v>83600</v>
      </c>
      <c r="D225" s="146" t="s">
        <v>636</v>
      </c>
      <c r="E225" s="158"/>
      <c r="H225" s="75"/>
    </row>
    <row r="226" spans="1:8" ht="11.25" customHeight="1">
      <c r="A226" s="985" t="s">
        <v>3653</v>
      </c>
      <c r="B226" s="984">
        <v>839</v>
      </c>
      <c r="C226" s="984" t="str">
        <f t="shared" si="10"/>
        <v>83900</v>
      </c>
      <c r="D226" s="146" t="s">
        <v>636</v>
      </c>
      <c r="E226" s="158"/>
      <c r="H226" s="75"/>
    </row>
    <row r="227" spans="1:8" ht="11.25" customHeight="1">
      <c r="A227" s="985" t="s">
        <v>3654</v>
      </c>
      <c r="B227" s="984">
        <v>840</v>
      </c>
      <c r="C227" s="984" t="str">
        <f t="shared" si="10"/>
        <v>84000</v>
      </c>
      <c r="D227" s="146" t="s">
        <v>636</v>
      </c>
      <c r="E227" s="158"/>
      <c r="H227" s="75"/>
    </row>
    <row r="228" spans="1:8" ht="11.25" customHeight="1">
      <c r="A228" s="985" t="s">
        <v>3655</v>
      </c>
      <c r="B228" s="984">
        <v>841</v>
      </c>
      <c r="C228" s="984" t="str">
        <f t="shared" si="10"/>
        <v>84100</v>
      </c>
      <c r="D228" s="146" t="s">
        <v>636</v>
      </c>
      <c r="E228" s="158"/>
      <c r="H228" s="75"/>
    </row>
    <row r="229" spans="1:8" ht="11.25" customHeight="1">
      <c r="A229" s="985" t="s">
        <v>3656</v>
      </c>
      <c r="B229" s="984">
        <v>842</v>
      </c>
      <c r="C229" s="984" t="str">
        <f t="shared" si="10"/>
        <v>84200</v>
      </c>
      <c r="D229" s="146" t="s">
        <v>636</v>
      </c>
      <c r="E229" s="158"/>
      <c r="H229" s="75"/>
    </row>
    <row r="230" spans="1:8" ht="11.25" customHeight="1">
      <c r="A230" s="985" t="s">
        <v>3657</v>
      </c>
      <c r="B230" s="984">
        <v>844</v>
      </c>
      <c r="C230" s="984" t="str">
        <f t="shared" ref="C230:C291" si="12">CONCATENATE(B230,"00")</f>
        <v>84400</v>
      </c>
      <c r="D230" s="146" t="s">
        <v>636</v>
      </c>
      <c r="E230" s="158"/>
      <c r="H230" s="75"/>
    </row>
    <row r="231" spans="1:8" ht="11.25" customHeight="1">
      <c r="A231" s="985" t="s">
        <v>3658</v>
      </c>
      <c r="B231" s="984">
        <v>845</v>
      </c>
      <c r="C231" s="984" t="str">
        <f t="shared" si="12"/>
        <v>84500</v>
      </c>
      <c r="D231" s="146" t="s">
        <v>636</v>
      </c>
      <c r="E231" s="158"/>
      <c r="H231" s="75"/>
    </row>
    <row r="232" spans="1:8" ht="11.25" customHeight="1">
      <c r="A232" s="985" t="s">
        <v>3659</v>
      </c>
      <c r="B232" s="984">
        <v>847</v>
      </c>
      <c r="C232" s="984" t="str">
        <f t="shared" si="12"/>
        <v>84700</v>
      </c>
      <c r="D232" s="146" t="s">
        <v>636</v>
      </c>
      <c r="E232" s="158"/>
      <c r="H232" s="75"/>
    </row>
    <row r="233" spans="1:8" ht="11.25" customHeight="1">
      <c r="A233" s="985" t="s">
        <v>3660</v>
      </c>
      <c r="B233" s="984">
        <v>848</v>
      </c>
      <c r="C233" s="984" t="str">
        <f t="shared" si="12"/>
        <v>84800</v>
      </c>
      <c r="D233" s="146" t="s">
        <v>636</v>
      </c>
      <c r="E233" s="158"/>
      <c r="H233" s="75"/>
    </row>
    <row r="234" spans="1:8" ht="11.25" customHeight="1">
      <c r="A234" s="983" t="s">
        <v>3661</v>
      </c>
      <c r="B234" s="984">
        <v>856</v>
      </c>
      <c r="C234" s="984" t="str">
        <f t="shared" si="12"/>
        <v>85600</v>
      </c>
      <c r="D234" s="146" t="s">
        <v>636</v>
      </c>
      <c r="E234" s="158"/>
      <c r="H234" s="75"/>
    </row>
    <row r="235" spans="1:8" ht="11.25" customHeight="1">
      <c r="A235" s="985" t="s">
        <v>3662</v>
      </c>
      <c r="B235" s="984">
        <v>858</v>
      </c>
      <c r="C235" s="984" t="str">
        <f t="shared" si="12"/>
        <v>85800</v>
      </c>
      <c r="D235" s="146" t="s">
        <v>636</v>
      </c>
      <c r="E235" s="158"/>
      <c r="H235" s="75"/>
    </row>
    <row r="236" spans="1:8" ht="11.25" customHeight="1">
      <c r="A236" s="983" t="s">
        <v>3663</v>
      </c>
      <c r="B236" s="984">
        <v>872</v>
      </c>
      <c r="C236" s="984" t="str">
        <f t="shared" si="12"/>
        <v>87200</v>
      </c>
      <c r="D236" s="146" t="s">
        <v>636</v>
      </c>
      <c r="E236" s="158"/>
      <c r="H236" s="75"/>
    </row>
    <row r="237" spans="1:8" ht="11.25" customHeight="1">
      <c r="A237" s="983" t="s">
        <v>3664</v>
      </c>
      <c r="B237" s="984">
        <v>876</v>
      </c>
      <c r="C237" s="984" t="str">
        <f t="shared" si="12"/>
        <v>87600</v>
      </c>
      <c r="D237" s="146" t="s">
        <v>636</v>
      </c>
      <c r="E237" s="158"/>
      <c r="H237" s="75"/>
    </row>
    <row r="238" spans="1:8" ht="11.25" customHeight="1">
      <c r="A238" s="983" t="s">
        <v>3665</v>
      </c>
      <c r="B238" s="984">
        <v>879</v>
      </c>
      <c r="C238" s="984" t="str">
        <f t="shared" si="12"/>
        <v>87900</v>
      </c>
      <c r="D238" s="146" t="s">
        <v>636</v>
      </c>
      <c r="E238" s="158"/>
      <c r="H238" s="75"/>
    </row>
    <row r="239" spans="1:8" ht="23.25" customHeight="1">
      <c r="A239" s="983" t="s">
        <v>3666</v>
      </c>
      <c r="B239" s="984">
        <v>880</v>
      </c>
      <c r="C239" s="984" t="str">
        <f t="shared" si="12"/>
        <v>88000</v>
      </c>
      <c r="D239" s="146" t="s">
        <v>636</v>
      </c>
      <c r="E239" s="158"/>
      <c r="H239" s="75"/>
    </row>
    <row r="240" spans="1:8" ht="11.25" customHeight="1">
      <c r="A240" s="983" t="s">
        <v>3667</v>
      </c>
      <c r="B240" s="984">
        <v>882</v>
      </c>
      <c r="C240" s="984" t="str">
        <f t="shared" si="12"/>
        <v>88200</v>
      </c>
      <c r="D240" s="146" t="s">
        <v>636</v>
      </c>
      <c r="E240" s="158"/>
      <c r="H240" s="75"/>
    </row>
    <row r="241" spans="1:8" ht="11.25" customHeight="1">
      <c r="A241" s="983" t="s">
        <v>3980</v>
      </c>
      <c r="B241" s="984">
        <v>883</v>
      </c>
      <c r="C241" s="984" t="str">
        <f t="shared" si="12"/>
        <v>88300</v>
      </c>
      <c r="D241" s="146" t="s">
        <v>636</v>
      </c>
      <c r="E241" s="158"/>
      <c r="H241" s="75"/>
    </row>
    <row r="242" spans="1:8" ht="11.25" customHeight="1">
      <c r="A242" s="983" t="s">
        <v>3668</v>
      </c>
      <c r="B242" s="984">
        <v>902</v>
      </c>
      <c r="C242" s="984" t="str">
        <f t="shared" si="12"/>
        <v>90200</v>
      </c>
      <c r="D242" s="146" t="s">
        <v>636</v>
      </c>
      <c r="E242" s="158"/>
      <c r="H242" s="75"/>
    </row>
    <row r="243" spans="1:8" ht="11.25" customHeight="1">
      <c r="A243" s="983" t="s">
        <v>3669</v>
      </c>
      <c r="B243" s="984">
        <v>903</v>
      </c>
      <c r="C243" s="984" t="str">
        <f t="shared" si="12"/>
        <v>90300</v>
      </c>
      <c r="D243" s="146" t="s">
        <v>636</v>
      </c>
      <c r="E243" s="158"/>
      <c r="H243" s="75"/>
    </row>
    <row r="244" spans="1:8" ht="11.25" customHeight="1">
      <c r="A244" s="985" t="s">
        <v>3670</v>
      </c>
      <c r="B244" s="984">
        <v>912</v>
      </c>
      <c r="C244" s="984" t="str">
        <f t="shared" si="12"/>
        <v>91200</v>
      </c>
      <c r="D244" s="146" t="s">
        <v>636</v>
      </c>
      <c r="E244" s="158"/>
      <c r="H244" s="75"/>
    </row>
    <row r="245" spans="1:8" ht="11.25" customHeight="1">
      <c r="A245" s="983" t="s">
        <v>3671</v>
      </c>
      <c r="B245" s="984">
        <v>913</v>
      </c>
      <c r="C245" s="984" t="str">
        <f t="shared" si="12"/>
        <v>91300</v>
      </c>
      <c r="D245" s="146" t="s">
        <v>636</v>
      </c>
      <c r="E245" s="158"/>
      <c r="H245" s="75"/>
    </row>
    <row r="246" spans="1:8" ht="11.25" customHeight="1">
      <c r="A246" s="985" t="s">
        <v>3672</v>
      </c>
      <c r="B246" s="984">
        <v>921</v>
      </c>
      <c r="C246" s="984" t="str">
        <f t="shared" si="12"/>
        <v>92100</v>
      </c>
      <c r="D246" s="146" t="s">
        <v>636</v>
      </c>
      <c r="E246" s="158"/>
      <c r="H246" s="75"/>
    </row>
    <row r="247" spans="1:8" ht="11.25" customHeight="1">
      <c r="A247" s="983" t="s">
        <v>3673</v>
      </c>
      <c r="B247" s="984">
        <v>922</v>
      </c>
      <c r="C247" s="984" t="str">
        <f t="shared" si="12"/>
        <v>92200</v>
      </c>
      <c r="D247" s="146" t="s">
        <v>636</v>
      </c>
      <c r="E247" s="158"/>
      <c r="H247" s="75"/>
    </row>
    <row r="248" spans="1:8" ht="11.25" customHeight="1">
      <c r="A248" s="985" t="s">
        <v>3674</v>
      </c>
      <c r="B248" s="984">
        <v>942</v>
      </c>
      <c r="C248" s="984" t="str">
        <f t="shared" si="12"/>
        <v>94200</v>
      </c>
      <c r="D248" s="146" t="s">
        <v>636</v>
      </c>
      <c r="E248" s="158"/>
      <c r="H248" s="75"/>
    </row>
    <row r="249" spans="1:8" ht="11.25" customHeight="1">
      <c r="A249" s="983" t="s">
        <v>3675</v>
      </c>
      <c r="B249" s="984">
        <v>949</v>
      </c>
      <c r="C249" s="984" t="str">
        <f t="shared" si="12"/>
        <v>94900</v>
      </c>
      <c r="D249" s="146" t="s">
        <v>636</v>
      </c>
      <c r="E249" s="158"/>
      <c r="H249" s="75"/>
    </row>
    <row r="250" spans="1:8">
      <c r="A250" s="986" t="s">
        <v>3676</v>
      </c>
      <c r="B250" s="984">
        <v>950</v>
      </c>
      <c r="C250" s="984" t="str">
        <f t="shared" si="12"/>
        <v>95000</v>
      </c>
      <c r="D250" s="146" t="s">
        <v>636</v>
      </c>
      <c r="E250" s="158"/>
      <c r="H250" s="75"/>
    </row>
    <row r="251" spans="1:8" ht="11.25" customHeight="1">
      <c r="A251" s="986" t="s">
        <v>3677</v>
      </c>
      <c r="B251" s="984">
        <v>951</v>
      </c>
      <c r="C251" s="984" t="str">
        <f t="shared" si="12"/>
        <v>95100</v>
      </c>
      <c r="D251" s="146" t="s">
        <v>636</v>
      </c>
      <c r="E251" s="158"/>
      <c r="H251" s="75"/>
    </row>
    <row r="252" spans="1:8" ht="11.25" customHeight="1">
      <c r="A252" s="985" t="s">
        <v>3678</v>
      </c>
      <c r="B252" s="984">
        <v>957</v>
      </c>
      <c r="C252" s="984" t="str">
        <f t="shared" si="12"/>
        <v>95700</v>
      </c>
      <c r="D252" s="146" t="s">
        <v>636</v>
      </c>
      <c r="E252" s="158"/>
      <c r="H252" s="75"/>
    </row>
    <row r="253" spans="1:8" ht="11.25" customHeight="1">
      <c r="A253" s="985" t="s">
        <v>3679</v>
      </c>
      <c r="B253" s="984">
        <v>960</v>
      </c>
      <c r="C253" s="984" t="str">
        <f t="shared" si="12"/>
        <v>96000</v>
      </c>
      <c r="D253" s="146" t="s">
        <v>636</v>
      </c>
      <c r="E253" s="158"/>
      <c r="H253" s="75"/>
    </row>
    <row r="254" spans="1:8" ht="11.25" customHeight="1">
      <c r="A254" s="985" t="s">
        <v>3680</v>
      </c>
      <c r="B254" s="984">
        <v>961</v>
      </c>
      <c r="C254" s="984" t="str">
        <f t="shared" si="12"/>
        <v>96100</v>
      </c>
      <c r="D254" s="146" t="s">
        <v>636</v>
      </c>
      <c r="E254" s="158"/>
      <c r="H254" s="75"/>
    </row>
    <row r="255" spans="1:8" ht="24" customHeight="1">
      <c r="A255" s="985" t="s">
        <v>3681</v>
      </c>
      <c r="B255" s="984">
        <v>977</v>
      </c>
      <c r="C255" s="984" t="str">
        <f t="shared" ref="C255" si="13">CONCATENATE(B255,"00")</f>
        <v>97700</v>
      </c>
      <c r="D255" s="146" t="s">
        <v>636</v>
      </c>
      <c r="E255" s="158"/>
      <c r="H255" s="75"/>
    </row>
    <row r="256" spans="1:8" ht="24.75" customHeight="1">
      <c r="A256" s="983" t="s">
        <v>3767</v>
      </c>
      <c r="B256" s="984">
        <v>977</v>
      </c>
      <c r="C256" s="984" t="str">
        <f t="shared" ref="C256" si="14">CONCATENATE(B256,"00")</f>
        <v>97700</v>
      </c>
      <c r="D256" s="146" t="s">
        <v>636</v>
      </c>
      <c r="E256" s="158"/>
      <c r="H256" s="75"/>
    </row>
    <row r="257" spans="1:8" ht="11.25" customHeight="1">
      <c r="A257" s="985" t="s">
        <v>3682</v>
      </c>
      <c r="B257" s="984">
        <v>984</v>
      </c>
      <c r="C257" s="984" t="str">
        <f t="shared" si="12"/>
        <v>98400</v>
      </c>
      <c r="D257" s="146" t="s">
        <v>636</v>
      </c>
      <c r="E257" s="158"/>
      <c r="H257" s="75"/>
    </row>
    <row r="258" spans="1:8" ht="11.25" customHeight="1">
      <c r="A258" s="983" t="s">
        <v>3683</v>
      </c>
      <c r="B258" s="984">
        <v>994</v>
      </c>
      <c r="C258" s="984" t="str">
        <f t="shared" si="12"/>
        <v>99400</v>
      </c>
      <c r="D258" s="146" t="s">
        <v>636</v>
      </c>
      <c r="E258" s="158"/>
      <c r="H258" s="75"/>
    </row>
    <row r="259" spans="1:8" ht="11.25" customHeight="1">
      <c r="A259" s="983" t="s">
        <v>3684</v>
      </c>
      <c r="B259" s="984">
        <v>996</v>
      </c>
      <c r="C259" s="984" t="str">
        <f t="shared" si="12"/>
        <v>99600</v>
      </c>
      <c r="D259" s="146" t="s">
        <v>636</v>
      </c>
      <c r="E259" s="158"/>
      <c r="H259" s="75"/>
    </row>
    <row r="260" spans="1:8" ht="11.25" customHeight="1">
      <c r="A260" s="983" t="s">
        <v>3685</v>
      </c>
      <c r="B260" s="984">
        <v>999</v>
      </c>
      <c r="C260" s="984" t="str">
        <f t="shared" si="12"/>
        <v>99900</v>
      </c>
      <c r="D260" s="146" t="s">
        <v>636</v>
      </c>
      <c r="E260" s="158"/>
      <c r="H260" s="75"/>
    </row>
    <row r="261" spans="1:8" ht="11.25" customHeight="1">
      <c r="A261" s="987" t="s">
        <v>3686</v>
      </c>
      <c r="B261" s="984">
        <v>204</v>
      </c>
      <c r="C261" s="984" t="str">
        <f t="shared" si="12"/>
        <v>20400</v>
      </c>
      <c r="D261" s="146" t="s">
        <v>605</v>
      </c>
      <c r="E261" s="158"/>
      <c r="H261" s="75"/>
    </row>
    <row r="262" spans="1:8" ht="11.25" customHeight="1">
      <c r="A262" s="987" t="s">
        <v>3687</v>
      </c>
      <c r="B262" s="984">
        <v>207</v>
      </c>
      <c r="C262" s="984" t="str">
        <f t="shared" si="12"/>
        <v>20700</v>
      </c>
      <c r="D262" s="146" t="s">
        <v>605</v>
      </c>
      <c r="E262" s="158"/>
      <c r="H262" s="75"/>
    </row>
    <row r="263" spans="1:8" ht="11.25" customHeight="1">
      <c r="A263" s="987" t="s">
        <v>3688</v>
      </c>
      <c r="B263" s="984">
        <v>208</v>
      </c>
      <c r="C263" s="984" t="str">
        <f t="shared" si="12"/>
        <v>20800</v>
      </c>
      <c r="D263" s="146" t="s">
        <v>605</v>
      </c>
      <c r="E263" s="158"/>
      <c r="H263" s="75"/>
    </row>
    <row r="264" spans="1:8" ht="11.25" customHeight="1">
      <c r="A264" s="987" t="s">
        <v>3689</v>
      </c>
      <c r="B264" s="984">
        <v>209</v>
      </c>
      <c r="C264" s="984" t="str">
        <f t="shared" si="12"/>
        <v>20900</v>
      </c>
      <c r="D264" s="146" t="s">
        <v>605</v>
      </c>
      <c r="E264" s="158"/>
      <c r="H264" s="75"/>
    </row>
    <row r="265" spans="1:8" ht="11.25" customHeight="1">
      <c r="A265" s="987" t="s">
        <v>3690</v>
      </c>
      <c r="B265" s="984">
        <v>211</v>
      </c>
      <c r="C265" s="984" t="str">
        <f t="shared" si="12"/>
        <v>21100</v>
      </c>
      <c r="D265" s="146" t="s">
        <v>605</v>
      </c>
      <c r="E265" s="158"/>
      <c r="H265" s="75"/>
    </row>
    <row r="266" spans="1:8">
      <c r="A266" s="987" t="s">
        <v>3691</v>
      </c>
      <c r="B266" s="984">
        <v>212</v>
      </c>
      <c r="C266" s="984" t="str">
        <f t="shared" si="12"/>
        <v>21200</v>
      </c>
      <c r="D266" s="146" t="s">
        <v>605</v>
      </c>
      <c r="E266" s="158"/>
      <c r="H266" s="75"/>
    </row>
    <row r="267" spans="1:8" ht="11.25" customHeight="1">
      <c r="A267" s="987" t="s">
        <v>3692</v>
      </c>
      <c r="B267" s="984">
        <v>213</v>
      </c>
      <c r="C267" s="984" t="str">
        <f t="shared" si="12"/>
        <v>21300</v>
      </c>
      <c r="D267" s="146" t="s">
        <v>605</v>
      </c>
      <c r="E267" s="158"/>
      <c r="H267" s="75"/>
    </row>
    <row r="268" spans="1:8" ht="11.25" customHeight="1">
      <c r="A268" s="987" t="s">
        <v>3693</v>
      </c>
      <c r="B268" s="984">
        <v>214</v>
      </c>
      <c r="C268" s="984" t="str">
        <f t="shared" si="12"/>
        <v>21400</v>
      </c>
      <c r="D268" s="146" t="s">
        <v>605</v>
      </c>
      <c r="E268" s="158"/>
      <c r="H268" s="75"/>
    </row>
    <row r="269" spans="1:8" ht="11.25" customHeight="1">
      <c r="A269" s="987" t="s">
        <v>3694</v>
      </c>
      <c r="B269" s="984">
        <v>215</v>
      </c>
      <c r="C269" s="984" t="str">
        <f t="shared" si="12"/>
        <v>21500</v>
      </c>
      <c r="D269" s="146" t="s">
        <v>605</v>
      </c>
      <c r="E269" s="158"/>
      <c r="H269" s="75"/>
    </row>
    <row r="270" spans="1:8" ht="11.25" customHeight="1">
      <c r="A270" s="987" t="s">
        <v>3695</v>
      </c>
      <c r="B270" s="984">
        <v>216</v>
      </c>
      <c r="C270" s="984" t="str">
        <f t="shared" si="12"/>
        <v>21600</v>
      </c>
      <c r="D270" s="146" t="s">
        <v>605</v>
      </c>
      <c r="E270" s="158"/>
      <c r="F270" s="988"/>
      <c r="H270" s="75"/>
    </row>
    <row r="271" spans="1:8" ht="11.25" customHeight="1">
      <c r="A271" s="987" t="s">
        <v>3696</v>
      </c>
      <c r="B271" s="984">
        <v>217</v>
      </c>
      <c r="C271" s="984" t="str">
        <f t="shared" si="12"/>
        <v>21700</v>
      </c>
      <c r="D271" s="146" t="s">
        <v>605</v>
      </c>
      <c r="E271" s="158"/>
      <c r="F271" s="988"/>
      <c r="H271" s="75"/>
    </row>
    <row r="272" spans="1:8" ht="11.25" customHeight="1">
      <c r="A272" s="987" t="s">
        <v>3697</v>
      </c>
      <c r="B272" s="984">
        <v>221</v>
      </c>
      <c r="C272" s="984" t="str">
        <f t="shared" si="12"/>
        <v>22100</v>
      </c>
      <c r="D272" s="146" t="s">
        <v>605</v>
      </c>
      <c r="E272" s="158"/>
      <c r="F272" s="988"/>
      <c r="H272" s="75"/>
    </row>
    <row r="273" spans="1:6" ht="11.25" customHeight="1">
      <c r="A273" s="986" t="s">
        <v>3698</v>
      </c>
      <c r="B273" s="984">
        <v>229</v>
      </c>
      <c r="C273" s="984" t="str">
        <f t="shared" si="12"/>
        <v>22900</v>
      </c>
      <c r="D273" s="146" t="s">
        <v>605</v>
      </c>
      <c r="E273" s="158"/>
      <c r="F273" s="988"/>
    </row>
    <row r="274" spans="1:6" ht="11.25" customHeight="1">
      <c r="A274" s="987" t="s">
        <v>3699</v>
      </c>
      <c r="B274" s="984">
        <v>234</v>
      </c>
      <c r="C274" s="984" t="str">
        <f t="shared" si="12"/>
        <v>23400</v>
      </c>
      <c r="D274" s="146" t="s">
        <v>605</v>
      </c>
      <c r="E274" s="158"/>
      <c r="F274" s="988"/>
    </row>
    <row r="275" spans="1:6" ht="11.25" customHeight="1">
      <c r="A275" s="987" t="s">
        <v>3700</v>
      </c>
      <c r="B275" s="984">
        <v>236</v>
      </c>
      <c r="C275" s="984" t="str">
        <f t="shared" si="12"/>
        <v>23600</v>
      </c>
      <c r="D275" s="146" t="s">
        <v>605</v>
      </c>
      <c r="E275" s="158"/>
      <c r="F275" s="988"/>
    </row>
    <row r="276" spans="1:6" ht="11.25" customHeight="1">
      <c r="A276" s="987" t="s">
        <v>3701</v>
      </c>
      <c r="B276" s="984">
        <v>241</v>
      </c>
      <c r="C276" s="984" t="str">
        <f t="shared" si="12"/>
        <v>24100</v>
      </c>
      <c r="D276" s="146" t="s">
        <v>605</v>
      </c>
      <c r="E276" s="158"/>
      <c r="F276" s="988"/>
    </row>
    <row r="277" spans="1:6" ht="11.25" customHeight="1">
      <c r="A277" s="987" t="s">
        <v>3702</v>
      </c>
      <c r="B277" s="984">
        <v>242</v>
      </c>
      <c r="C277" s="984" t="str">
        <f t="shared" si="12"/>
        <v>24200</v>
      </c>
      <c r="D277" s="146" t="s">
        <v>605</v>
      </c>
      <c r="E277" s="158"/>
      <c r="F277" s="988"/>
    </row>
    <row r="278" spans="1:6" ht="11.25" customHeight="1">
      <c r="A278" s="987" t="s">
        <v>3703</v>
      </c>
      <c r="B278" s="984">
        <v>246</v>
      </c>
      <c r="C278" s="984" t="str">
        <f t="shared" si="12"/>
        <v>24600</v>
      </c>
      <c r="D278" s="146" t="s">
        <v>605</v>
      </c>
      <c r="E278" s="158"/>
      <c r="F278" s="988"/>
    </row>
    <row r="279" spans="1:6" ht="11.25" customHeight="1">
      <c r="A279" s="987" t="s">
        <v>3704</v>
      </c>
      <c r="B279" s="984">
        <v>247</v>
      </c>
      <c r="C279" s="984" t="str">
        <f t="shared" si="12"/>
        <v>24700</v>
      </c>
      <c r="D279" s="146" t="s">
        <v>605</v>
      </c>
      <c r="E279" s="158"/>
      <c r="F279" s="988"/>
    </row>
    <row r="280" spans="1:6" ht="11.25" customHeight="1">
      <c r="A280" s="987" t="s">
        <v>3705</v>
      </c>
      <c r="B280" s="984">
        <v>260</v>
      </c>
      <c r="C280" s="984" t="str">
        <f t="shared" si="12"/>
        <v>26000</v>
      </c>
      <c r="D280" s="146" t="s">
        <v>605</v>
      </c>
      <c r="E280" s="158"/>
      <c r="F280" s="988"/>
    </row>
    <row r="281" spans="1:6" ht="11.25" customHeight="1">
      <c r="A281" s="986" t="s">
        <v>3706</v>
      </c>
      <c r="B281" s="984">
        <v>261</v>
      </c>
      <c r="C281" s="984" t="str">
        <f t="shared" si="12"/>
        <v>26100</v>
      </c>
      <c r="D281" s="146" t="s">
        <v>605</v>
      </c>
      <c r="E281" s="158"/>
      <c r="F281" s="988"/>
    </row>
    <row r="282" spans="1:6" ht="11.25" customHeight="1">
      <c r="A282" s="987" t="s">
        <v>3707</v>
      </c>
      <c r="B282" s="984">
        <v>268</v>
      </c>
      <c r="C282" s="984" t="str">
        <f t="shared" si="12"/>
        <v>26800</v>
      </c>
      <c r="D282" s="146" t="s">
        <v>605</v>
      </c>
      <c r="E282" s="158"/>
      <c r="F282" s="988"/>
    </row>
    <row r="283" spans="1:6" ht="11.25" customHeight="1">
      <c r="A283" s="986" t="s">
        <v>3708</v>
      </c>
      <c r="B283" s="984">
        <v>270</v>
      </c>
      <c r="C283" s="984" t="str">
        <f t="shared" si="12"/>
        <v>27000</v>
      </c>
      <c r="D283" s="146" t="s">
        <v>605</v>
      </c>
      <c r="E283" s="158"/>
      <c r="F283" s="988"/>
    </row>
    <row r="284" spans="1:6" ht="11.25" customHeight="1">
      <c r="A284" s="987" t="s">
        <v>3709</v>
      </c>
      <c r="B284" s="984">
        <v>275</v>
      </c>
      <c r="C284" s="984" t="str">
        <f t="shared" si="12"/>
        <v>27500</v>
      </c>
      <c r="D284" s="146" t="s">
        <v>605</v>
      </c>
      <c r="E284" s="158"/>
      <c r="F284" s="988"/>
    </row>
    <row r="285" spans="1:6" ht="11.25" customHeight="1">
      <c r="A285" s="987" t="s">
        <v>3710</v>
      </c>
      <c r="B285" s="984">
        <v>276</v>
      </c>
      <c r="C285" s="984" t="str">
        <f t="shared" si="12"/>
        <v>27600</v>
      </c>
      <c r="D285" s="146" t="s">
        <v>605</v>
      </c>
      <c r="E285" s="158"/>
      <c r="F285" s="988"/>
    </row>
    <row r="286" spans="1:6" ht="11.25" customHeight="1">
      <c r="A286" s="987" t="s">
        <v>3711</v>
      </c>
      <c r="B286" s="984">
        <v>277</v>
      </c>
      <c r="C286" s="984" t="str">
        <f t="shared" si="12"/>
        <v>27700</v>
      </c>
      <c r="D286" s="146" t="s">
        <v>605</v>
      </c>
      <c r="E286" s="158"/>
      <c r="F286" s="988"/>
    </row>
    <row r="287" spans="1:6" ht="11.25" customHeight="1">
      <c r="A287" s="987" t="s">
        <v>3712</v>
      </c>
      <c r="B287" s="984">
        <v>278</v>
      </c>
      <c r="C287" s="984" t="str">
        <f t="shared" si="12"/>
        <v>27800</v>
      </c>
      <c r="D287" s="146" t="s">
        <v>605</v>
      </c>
      <c r="E287" s="158"/>
      <c r="F287" s="988"/>
    </row>
    <row r="288" spans="1:6" ht="11.25" customHeight="1">
      <c r="A288" s="987" t="s">
        <v>3713</v>
      </c>
      <c r="B288" s="984">
        <v>279</v>
      </c>
      <c r="C288" s="984" t="str">
        <f t="shared" si="12"/>
        <v>27900</v>
      </c>
      <c r="D288" s="146" t="s">
        <v>605</v>
      </c>
      <c r="E288" s="158"/>
      <c r="F288" s="988"/>
    </row>
    <row r="289" spans="1:11" ht="11.25" customHeight="1">
      <c r="A289" s="987" t="s">
        <v>3714</v>
      </c>
      <c r="B289" s="984">
        <v>280</v>
      </c>
      <c r="C289" s="984" t="str">
        <f t="shared" si="12"/>
        <v>28000</v>
      </c>
      <c r="D289" s="146" t="s">
        <v>605</v>
      </c>
      <c r="E289" s="158"/>
      <c r="F289" s="988"/>
    </row>
    <row r="290" spans="1:11" ht="11.25" customHeight="1">
      <c r="A290" s="987" t="s">
        <v>3715</v>
      </c>
      <c r="B290" s="984">
        <v>282</v>
      </c>
      <c r="C290" s="984" t="str">
        <f t="shared" si="12"/>
        <v>28200</v>
      </c>
      <c r="D290" s="146" t="s">
        <v>605</v>
      </c>
      <c r="E290" s="158"/>
      <c r="F290" s="988"/>
    </row>
    <row r="291" spans="1:11" ht="11.25" customHeight="1">
      <c r="A291" s="986" t="s">
        <v>3716</v>
      </c>
      <c r="B291" s="984">
        <v>283</v>
      </c>
      <c r="C291" s="984" t="str">
        <f t="shared" si="12"/>
        <v>28300</v>
      </c>
      <c r="D291" s="146" t="s">
        <v>605</v>
      </c>
      <c r="E291" s="158"/>
      <c r="F291" s="988"/>
    </row>
    <row r="292" spans="1:11" ht="11.25" customHeight="1">
      <c r="A292" s="987" t="s">
        <v>3717</v>
      </c>
      <c r="B292" s="984">
        <v>284</v>
      </c>
      <c r="C292" s="984" t="str">
        <f t="shared" ref="C292:C342" si="15">CONCATENATE(B292,"00")</f>
        <v>28400</v>
      </c>
      <c r="D292" s="146" t="s">
        <v>605</v>
      </c>
      <c r="E292" s="158"/>
      <c r="F292" s="988"/>
    </row>
    <row r="293" spans="1:11" s="727" customFormat="1" ht="11.25" customHeight="1">
      <c r="A293" s="987" t="s">
        <v>3718</v>
      </c>
      <c r="B293" s="984">
        <v>285</v>
      </c>
      <c r="C293" s="984" t="str">
        <f t="shared" si="15"/>
        <v>28500</v>
      </c>
      <c r="D293" s="146" t="s">
        <v>605</v>
      </c>
      <c r="E293" s="158"/>
      <c r="F293" s="988"/>
      <c r="G293" s="11"/>
      <c r="H293" s="11"/>
      <c r="I293" s="92"/>
      <c r="J293" s="11"/>
      <c r="K293" s="11"/>
    </row>
    <row r="294" spans="1:11" ht="11.25" customHeight="1">
      <c r="A294" s="987" t="s">
        <v>3719</v>
      </c>
      <c r="B294" s="984">
        <v>286</v>
      </c>
      <c r="C294" s="984" t="str">
        <f t="shared" si="15"/>
        <v>28600</v>
      </c>
      <c r="D294" s="146" t="s">
        <v>605</v>
      </c>
      <c r="E294" s="158"/>
      <c r="F294" s="988"/>
      <c r="K294" s="727"/>
    </row>
    <row r="295" spans="1:11" ht="11.25" customHeight="1">
      <c r="A295" s="987" t="s">
        <v>3720</v>
      </c>
      <c r="B295" s="984">
        <v>287</v>
      </c>
      <c r="C295" s="984" t="str">
        <f t="shared" si="15"/>
        <v>28700</v>
      </c>
      <c r="D295" s="146" t="s">
        <v>605</v>
      </c>
      <c r="E295" s="158"/>
      <c r="F295" s="988"/>
      <c r="H295" s="75"/>
    </row>
    <row r="296" spans="1:11" ht="11.25" customHeight="1">
      <c r="A296" s="987" t="s">
        <v>3721</v>
      </c>
      <c r="B296" s="984">
        <v>288</v>
      </c>
      <c r="C296" s="984" t="str">
        <f t="shared" si="15"/>
        <v>28800</v>
      </c>
      <c r="D296" s="146" t="s">
        <v>605</v>
      </c>
      <c r="E296" s="158"/>
      <c r="F296" s="988"/>
      <c r="G296" s="727"/>
      <c r="H296" s="75"/>
      <c r="J296" s="727"/>
    </row>
    <row r="297" spans="1:11" ht="11.25" customHeight="1">
      <c r="A297" s="987" t="s">
        <v>3722</v>
      </c>
      <c r="B297" s="984">
        <v>290</v>
      </c>
      <c r="C297" s="984" t="str">
        <f t="shared" si="15"/>
        <v>29000</v>
      </c>
      <c r="D297" s="146" t="s">
        <v>605</v>
      </c>
      <c r="E297" s="158"/>
      <c r="F297" s="988"/>
    </row>
    <row r="298" spans="1:11" ht="11.25" customHeight="1">
      <c r="A298" s="987" t="s">
        <v>3723</v>
      </c>
      <c r="B298" s="984">
        <v>291</v>
      </c>
      <c r="C298" s="984" t="str">
        <f t="shared" si="15"/>
        <v>29100</v>
      </c>
      <c r="D298" s="146" t="s">
        <v>605</v>
      </c>
      <c r="E298" s="158"/>
      <c r="F298" s="988"/>
    </row>
    <row r="299" spans="1:11" ht="11.25" customHeight="1">
      <c r="A299" s="987" t="s">
        <v>3724</v>
      </c>
      <c r="B299" s="984">
        <v>292</v>
      </c>
      <c r="C299" s="984" t="str">
        <f t="shared" si="15"/>
        <v>29200</v>
      </c>
      <c r="D299" s="146" t="s">
        <v>605</v>
      </c>
      <c r="E299" s="158"/>
      <c r="F299" s="988"/>
    </row>
    <row r="300" spans="1:11" ht="11.25" customHeight="1">
      <c r="A300" s="987" t="s">
        <v>3725</v>
      </c>
      <c r="B300" s="984">
        <v>293</v>
      </c>
      <c r="C300" s="984" t="str">
        <f t="shared" si="15"/>
        <v>29300</v>
      </c>
      <c r="D300" s="146" t="s">
        <v>605</v>
      </c>
      <c r="E300" s="158"/>
      <c r="F300" s="988"/>
    </row>
    <row r="301" spans="1:11" ht="11.25" customHeight="1">
      <c r="A301" s="987" t="s">
        <v>3726</v>
      </c>
      <c r="B301" s="984">
        <v>294</v>
      </c>
      <c r="C301" s="984" t="str">
        <f t="shared" si="15"/>
        <v>29400</v>
      </c>
      <c r="D301" s="146" t="s">
        <v>605</v>
      </c>
      <c r="E301" s="158"/>
      <c r="F301" s="988"/>
    </row>
    <row r="302" spans="1:11" ht="11.25" customHeight="1">
      <c r="A302" s="987" t="s">
        <v>3727</v>
      </c>
      <c r="B302" s="984">
        <v>295</v>
      </c>
      <c r="C302" s="984" t="str">
        <f t="shared" si="15"/>
        <v>29500</v>
      </c>
      <c r="D302" s="146" t="s">
        <v>605</v>
      </c>
      <c r="E302" s="158"/>
      <c r="F302" s="988"/>
    </row>
    <row r="303" spans="1:11" ht="11.25" customHeight="1">
      <c r="A303" s="987" t="s">
        <v>3728</v>
      </c>
      <c r="B303" s="984">
        <v>296</v>
      </c>
      <c r="C303" s="984" t="str">
        <f t="shared" si="15"/>
        <v>29600</v>
      </c>
      <c r="D303" s="146" t="s">
        <v>605</v>
      </c>
      <c r="E303" s="158"/>
      <c r="F303" s="988"/>
    </row>
    <row r="304" spans="1:11" ht="11.25" customHeight="1">
      <c r="A304" s="987" t="s">
        <v>3729</v>
      </c>
      <c r="B304" s="984">
        <v>297</v>
      </c>
      <c r="C304" s="984" t="str">
        <f t="shared" si="15"/>
        <v>29700</v>
      </c>
      <c r="D304" s="146" t="s">
        <v>605</v>
      </c>
      <c r="E304" s="158"/>
      <c r="F304" s="988"/>
    </row>
    <row r="305" spans="1:6" ht="11.25" customHeight="1">
      <c r="A305" s="987" t="s">
        <v>3730</v>
      </c>
      <c r="B305" s="984">
        <v>298</v>
      </c>
      <c r="C305" s="984" t="str">
        <f t="shared" si="15"/>
        <v>29800</v>
      </c>
      <c r="D305" s="146" t="s">
        <v>605</v>
      </c>
      <c r="E305" s="158"/>
      <c r="F305" s="988"/>
    </row>
    <row r="306" spans="1:6" ht="11.25" customHeight="1">
      <c r="A306" s="987" t="s">
        <v>3731</v>
      </c>
      <c r="B306" s="984">
        <v>299</v>
      </c>
      <c r="C306" s="984" t="str">
        <f t="shared" si="15"/>
        <v>29900</v>
      </c>
      <c r="D306" s="146" t="s">
        <v>605</v>
      </c>
      <c r="E306" s="158"/>
      <c r="F306" s="988"/>
    </row>
    <row r="307" spans="1:6" ht="11.25" customHeight="1">
      <c r="A307" s="987" t="s">
        <v>3732</v>
      </c>
      <c r="B307" s="984">
        <v>885</v>
      </c>
      <c r="C307" s="984" t="str">
        <f t="shared" si="15"/>
        <v>88500</v>
      </c>
      <c r="D307" s="146" t="s">
        <v>605</v>
      </c>
      <c r="E307" s="158"/>
      <c r="F307" s="988"/>
    </row>
    <row r="308" spans="1:6" ht="11.25" customHeight="1">
      <c r="A308" s="987" t="s">
        <v>3733</v>
      </c>
      <c r="B308" s="984">
        <v>935</v>
      </c>
      <c r="C308" s="984" t="str">
        <f t="shared" si="15"/>
        <v>93500</v>
      </c>
      <c r="D308" s="146" t="s">
        <v>605</v>
      </c>
      <c r="E308" s="158"/>
      <c r="F308" s="988"/>
    </row>
    <row r="309" spans="1:6" ht="11.25" customHeight="1">
      <c r="A309" s="987" t="s">
        <v>3734</v>
      </c>
      <c r="B309" s="984">
        <v>937</v>
      </c>
      <c r="C309" s="984" t="str">
        <f t="shared" si="15"/>
        <v>93700</v>
      </c>
      <c r="D309" s="146" t="s">
        <v>605</v>
      </c>
      <c r="E309" s="158"/>
      <c r="F309" s="988"/>
    </row>
    <row r="310" spans="1:6" ht="11.25" customHeight="1">
      <c r="A310" s="987" t="s">
        <v>3735</v>
      </c>
      <c r="B310" s="984">
        <v>938</v>
      </c>
      <c r="C310" s="984" t="str">
        <f t="shared" si="15"/>
        <v>93800</v>
      </c>
      <c r="D310" s="146" t="s">
        <v>605</v>
      </c>
      <c r="E310" s="158"/>
      <c r="F310" s="988"/>
    </row>
    <row r="311" spans="1:6" ht="11.25" customHeight="1">
      <c r="A311" s="987" t="s">
        <v>3736</v>
      </c>
      <c r="B311" s="984">
        <v>941</v>
      </c>
      <c r="C311" s="984" t="str">
        <f t="shared" si="15"/>
        <v>94100</v>
      </c>
      <c r="D311" s="146" t="s">
        <v>605</v>
      </c>
      <c r="E311" s="158"/>
      <c r="F311" s="988"/>
    </row>
    <row r="312" spans="1:6" ht="11.25" customHeight="1">
      <c r="A312" s="987" t="s">
        <v>3737</v>
      </c>
      <c r="B312" s="984">
        <v>948</v>
      </c>
      <c r="C312" s="984" t="str">
        <f t="shared" si="15"/>
        <v>94800</v>
      </c>
      <c r="D312" s="146" t="s">
        <v>605</v>
      </c>
      <c r="E312" s="158"/>
      <c r="F312" s="988"/>
    </row>
    <row r="313" spans="1:6" ht="11.25" customHeight="1">
      <c r="A313" s="983" t="s">
        <v>3982</v>
      </c>
      <c r="B313" s="984">
        <v>128</v>
      </c>
      <c r="C313" s="984" t="str">
        <f>CONCATENATE(B313,"00")</f>
        <v>12800</v>
      </c>
      <c r="D313" s="146" t="s">
        <v>605</v>
      </c>
      <c r="E313" s="158"/>
      <c r="F313" s="988"/>
    </row>
    <row r="314" spans="1:6" ht="11.25" customHeight="1">
      <c r="A314" s="983" t="s">
        <v>3738</v>
      </c>
      <c r="B314" s="984">
        <v>129</v>
      </c>
      <c r="C314" s="984" t="str">
        <f t="shared" si="15"/>
        <v>12900</v>
      </c>
      <c r="D314" s="146" t="s">
        <v>605</v>
      </c>
      <c r="E314" s="158"/>
      <c r="F314" s="988"/>
    </row>
    <row r="315" spans="1:6" ht="11.25" customHeight="1">
      <c r="A315" s="989" t="s">
        <v>3739</v>
      </c>
      <c r="B315" s="984">
        <v>152</v>
      </c>
      <c r="C315" s="984" t="str">
        <f t="shared" si="15"/>
        <v>15200</v>
      </c>
      <c r="D315" s="146" t="s">
        <v>605</v>
      </c>
      <c r="E315" s="158"/>
      <c r="F315" s="988"/>
    </row>
    <row r="316" spans="1:6" ht="11.25" customHeight="1">
      <c r="A316" s="990" t="s">
        <v>3740</v>
      </c>
      <c r="B316" s="991">
        <v>152</v>
      </c>
      <c r="C316" s="991" t="str">
        <f>CONCATENATE(B316,"00")</f>
        <v>15200</v>
      </c>
      <c r="D316" s="146" t="s">
        <v>605</v>
      </c>
      <c r="E316" s="158"/>
      <c r="F316" s="988"/>
    </row>
    <row r="317" spans="1:6" ht="11.25" customHeight="1">
      <c r="A317" s="986" t="s">
        <v>3741</v>
      </c>
      <c r="B317" s="984">
        <v>154</v>
      </c>
      <c r="C317" s="984" t="str">
        <f>CONCATENATE(B317,"00")</f>
        <v>15400</v>
      </c>
      <c r="D317" s="146" t="s">
        <v>605</v>
      </c>
      <c r="E317" s="158"/>
      <c r="F317" s="988"/>
    </row>
    <row r="318" spans="1:6" ht="11.25" customHeight="1">
      <c r="A318" s="983" t="s">
        <v>3742</v>
      </c>
      <c r="B318" s="984">
        <v>158</v>
      </c>
      <c r="C318" s="984" t="str">
        <f t="shared" si="15"/>
        <v>15800</v>
      </c>
      <c r="D318" s="146" t="s">
        <v>605</v>
      </c>
      <c r="E318" s="158"/>
      <c r="F318" s="988"/>
    </row>
    <row r="319" spans="1:6" ht="11.25" customHeight="1">
      <c r="A319" s="983" t="s">
        <v>3743</v>
      </c>
      <c r="B319" s="984">
        <v>161</v>
      </c>
      <c r="C319" s="984" t="str">
        <f t="shared" si="15"/>
        <v>16100</v>
      </c>
      <c r="D319" s="146" t="s">
        <v>605</v>
      </c>
      <c r="E319" s="158"/>
      <c r="F319" s="988"/>
    </row>
    <row r="320" spans="1:6" ht="11.25" customHeight="1">
      <c r="A320" s="987" t="s">
        <v>3744</v>
      </c>
      <c r="B320" s="984">
        <v>174</v>
      </c>
      <c r="C320" s="984" t="str">
        <f t="shared" si="15"/>
        <v>17400</v>
      </c>
      <c r="D320" s="146" t="s">
        <v>605</v>
      </c>
      <c r="E320" s="158"/>
      <c r="F320" s="988"/>
    </row>
    <row r="321" spans="1:11" ht="11.25" customHeight="1">
      <c r="A321" s="983" t="s">
        <v>3745</v>
      </c>
      <c r="B321" s="984">
        <v>851</v>
      </c>
      <c r="C321" s="984" t="str">
        <f t="shared" si="15"/>
        <v>85100</v>
      </c>
      <c r="D321" s="146" t="s">
        <v>605</v>
      </c>
      <c r="E321" s="158"/>
      <c r="F321" s="988"/>
    </row>
    <row r="322" spans="1:11" ht="11.25" customHeight="1">
      <c r="A322" s="983" t="s">
        <v>3746</v>
      </c>
      <c r="B322" s="984">
        <v>852</v>
      </c>
      <c r="C322" s="984" t="str">
        <f>CONCATENATE(B322,"00")</f>
        <v>85200</v>
      </c>
      <c r="D322" s="146" t="s">
        <v>605</v>
      </c>
      <c r="E322" s="158"/>
      <c r="F322" s="988"/>
    </row>
    <row r="323" spans="1:11" ht="11.25" customHeight="1">
      <c r="A323" s="983" t="s">
        <v>3747</v>
      </c>
      <c r="B323" s="984">
        <v>922</v>
      </c>
      <c r="C323" s="984" t="str">
        <f>CONCATENATE(B323,"00")</f>
        <v>92200</v>
      </c>
      <c r="D323" s="146" t="s">
        <v>605</v>
      </c>
      <c r="E323" s="158"/>
      <c r="F323" s="988"/>
    </row>
    <row r="324" spans="1:11" ht="11.25" customHeight="1">
      <c r="A324" s="983" t="s">
        <v>3748</v>
      </c>
      <c r="B324" s="984">
        <v>994</v>
      </c>
      <c r="C324" s="984" t="str">
        <f t="shared" ref="C324" si="16">CONCATENATE(B324,"00")</f>
        <v>99400</v>
      </c>
      <c r="D324" s="146" t="s">
        <v>605</v>
      </c>
      <c r="E324" s="158"/>
      <c r="F324" s="988"/>
      <c r="K324" s="74"/>
    </row>
    <row r="325" spans="1:11" ht="11.25" customHeight="1">
      <c r="A325" s="986" t="s">
        <v>3749</v>
      </c>
      <c r="B325" s="984">
        <v>994</v>
      </c>
      <c r="C325" s="984" t="str">
        <f t="shared" ref="C325:C330" si="17">CONCATENATE(B325,"00")</f>
        <v>99400</v>
      </c>
      <c r="D325" s="146" t="s">
        <v>605</v>
      </c>
      <c r="E325" s="158"/>
      <c r="F325" s="988"/>
    </row>
    <row r="326" spans="1:11" ht="11.25" customHeight="1">
      <c r="A326" s="987" t="s">
        <v>3750</v>
      </c>
      <c r="B326" s="984">
        <v>996</v>
      </c>
      <c r="C326" s="984" t="str">
        <f t="shared" si="17"/>
        <v>99600</v>
      </c>
      <c r="D326" s="146" t="s">
        <v>605</v>
      </c>
      <c r="E326" s="158"/>
      <c r="F326" s="988"/>
      <c r="H326" s="75"/>
      <c r="J326" s="71"/>
      <c r="K326" s="74"/>
    </row>
    <row r="327" spans="1:11" ht="11.25" customHeight="1">
      <c r="A327" s="987" t="s">
        <v>3751</v>
      </c>
      <c r="B327" s="984">
        <v>141</v>
      </c>
      <c r="C327" s="984" t="str">
        <f t="shared" si="17"/>
        <v>14100</v>
      </c>
      <c r="D327" s="146" t="s">
        <v>605</v>
      </c>
      <c r="E327" s="158"/>
      <c r="F327" s="988"/>
      <c r="K327" s="74"/>
    </row>
    <row r="328" spans="1:11" ht="11.25" customHeight="1">
      <c r="A328" s="983" t="s">
        <v>3752</v>
      </c>
      <c r="B328" s="984">
        <v>701</v>
      </c>
      <c r="C328" s="984" t="str">
        <f t="shared" si="17"/>
        <v>70100</v>
      </c>
      <c r="D328" s="146" t="s">
        <v>605</v>
      </c>
      <c r="E328" s="158"/>
      <c r="F328" s="988"/>
      <c r="H328" s="75"/>
      <c r="J328" s="71"/>
      <c r="K328" s="74"/>
    </row>
    <row r="329" spans="1:11" ht="11.25" customHeight="1">
      <c r="A329" s="983" t="s">
        <v>3753</v>
      </c>
      <c r="B329" s="984">
        <v>777</v>
      </c>
      <c r="C329" s="984" t="str">
        <f t="shared" si="17"/>
        <v>77700</v>
      </c>
      <c r="D329" s="146" t="s">
        <v>605</v>
      </c>
      <c r="E329" s="158"/>
      <c r="F329" s="988"/>
      <c r="H329" s="75"/>
      <c r="J329" s="71"/>
      <c r="K329" s="74"/>
    </row>
    <row r="330" spans="1:11" ht="11.25" customHeight="1">
      <c r="A330" s="987" t="s">
        <v>3754</v>
      </c>
      <c r="B330" s="984">
        <v>203</v>
      </c>
      <c r="C330" s="984" t="str">
        <f t="shared" si="17"/>
        <v>20300</v>
      </c>
      <c r="D330" s="146" t="s">
        <v>605</v>
      </c>
      <c r="E330" s="158"/>
      <c r="F330" s="988"/>
      <c r="H330" s="75"/>
      <c r="J330" s="71"/>
      <c r="K330" s="74"/>
    </row>
    <row r="331" spans="1:11" ht="11.25" customHeight="1">
      <c r="A331" s="983" t="s">
        <v>3755</v>
      </c>
      <c r="B331" s="984">
        <v>720</v>
      </c>
      <c r="C331" s="984" t="str">
        <f t="shared" ref="C331" si="18">CONCATENATE(B331,"00")</f>
        <v>72000</v>
      </c>
      <c r="D331" s="146" t="s">
        <v>605</v>
      </c>
      <c r="E331" s="158"/>
      <c r="F331" s="988"/>
      <c r="H331" s="75"/>
      <c r="J331" s="71"/>
      <c r="K331" s="74"/>
    </row>
    <row r="332" spans="1:11" ht="11.25" customHeight="1">
      <c r="A332" s="986" t="s">
        <v>3756</v>
      </c>
      <c r="B332" s="984">
        <v>765</v>
      </c>
      <c r="C332" s="984" t="str">
        <f>CONCATENATE(B332,"00")</f>
        <v>76500</v>
      </c>
      <c r="D332" s="146" t="s">
        <v>605</v>
      </c>
      <c r="E332" s="158"/>
      <c r="F332" s="988"/>
      <c r="H332" s="75"/>
      <c r="J332" s="71"/>
    </row>
    <row r="333" spans="1:11" ht="24" customHeight="1">
      <c r="A333" s="983" t="s">
        <v>3757</v>
      </c>
      <c r="B333" s="991">
        <v>199</v>
      </c>
      <c r="C333" s="991" t="str">
        <f>CONCATENATE(B333,"00")</f>
        <v>19900</v>
      </c>
      <c r="D333" s="146" t="s">
        <v>605</v>
      </c>
      <c r="E333" s="158"/>
      <c r="F333" s="988"/>
      <c r="J333" s="71"/>
      <c r="K333" s="74"/>
    </row>
    <row r="334" spans="1:11" ht="11.25" customHeight="1">
      <c r="A334" s="983" t="s">
        <v>3758</v>
      </c>
      <c r="B334" s="984">
        <v>309</v>
      </c>
      <c r="C334" s="984" t="str">
        <f t="shared" si="15"/>
        <v>30900</v>
      </c>
      <c r="D334" s="146" t="s">
        <v>605</v>
      </c>
      <c r="E334" s="158"/>
      <c r="F334" s="988"/>
      <c r="K334" s="74"/>
    </row>
    <row r="335" spans="1:11" ht="11.25" customHeight="1">
      <c r="A335" s="983" t="s">
        <v>3759</v>
      </c>
      <c r="B335" s="984">
        <v>310</v>
      </c>
      <c r="C335" s="984" t="str">
        <f>CONCATENATE(B335,"00")</f>
        <v>31000</v>
      </c>
      <c r="D335" s="146" t="s">
        <v>605</v>
      </c>
      <c r="E335" s="158"/>
      <c r="F335" s="988"/>
      <c r="H335" s="75"/>
      <c r="J335" s="71"/>
    </row>
    <row r="336" spans="1:11" ht="11.25" customHeight="1">
      <c r="A336" s="983" t="s">
        <v>3760</v>
      </c>
      <c r="B336" s="984">
        <v>320</v>
      </c>
      <c r="C336" s="984" t="str">
        <f>CONCATENATE(B336,"00")</f>
        <v>32000</v>
      </c>
      <c r="D336" s="146" t="s">
        <v>605</v>
      </c>
      <c r="E336" s="158"/>
      <c r="F336" s="988"/>
      <c r="H336" s="75"/>
      <c r="J336" s="71"/>
    </row>
    <row r="337" spans="1:11" ht="11.25" customHeight="1">
      <c r="A337" s="983" t="s">
        <v>3761</v>
      </c>
      <c r="B337" s="984">
        <v>350</v>
      </c>
      <c r="C337" s="984" t="str">
        <f t="shared" si="15"/>
        <v>35000</v>
      </c>
      <c r="D337" s="146" t="s">
        <v>605</v>
      </c>
      <c r="E337" s="158"/>
      <c r="F337" s="988"/>
      <c r="H337" s="75"/>
      <c r="K337" s="74"/>
    </row>
    <row r="338" spans="1:11" ht="11.25" customHeight="1">
      <c r="A338" s="987" t="s">
        <v>3762</v>
      </c>
      <c r="B338" s="984">
        <v>360</v>
      </c>
      <c r="C338" s="984" t="str">
        <f t="shared" si="15"/>
        <v>36000</v>
      </c>
      <c r="D338" s="146" t="s">
        <v>605</v>
      </c>
      <c r="E338" s="158"/>
      <c r="F338" s="988"/>
      <c r="H338" s="75"/>
      <c r="K338" s="74"/>
    </row>
    <row r="339" spans="1:11" ht="11.25" customHeight="1">
      <c r="A339" s="983" t="s">
        <v>3763</v>
      </c>
      <c r="B339" s="984">
        <v>409</v>
      </c>
      <c r="C339" s="984" t="str">
        <f>CONCATENATE(B339,"00")</f>
        <v>40900</v>
      </c>
      <c r="D339" s="146" t="s">
        <v>605</v>
      </c>
      <c r="E339" s="158"/>
      <c r="F339" s="988"/>
      <c r="J339" s="71"/>
      <c r="K339" s="74"/>
    </row>
    <row r="340" spans="1:11" ht="11.25" customHeight="1">
      <c r="A340" s="983" t="s">
        <v>3764</v>
      </c>
      <c r="B340" s="984">
        <v>407</v>
      </c>
      <c r="C340" s="984" t="str">
        <f>CONCATENATE(B340,"00")</f>
        <v>40700</v>
      </c>
      <c r="D340" s="146" t="s">
        <v>605</v>
      </c>
      <c r="E340" s="158"/>
      <c r="F340" s="988"/>
      <c r="J340" s="71"/>
      <c r="K340" s="74"/>
    </row>
    <row r="341" spans="1:11" ht="11.25" customHeight="1">
      <c r="A341" s="983" t="s">
        <v>3765</v>
      </c>
      <c r="B341" s="984">
        <v>501</v>
      </c>
      <c r="C341" s="984" t="str">
        <f t="shared" ref="C341" si="19">CONCATENATE(B341,"00")</f>
        <v>50100</v>
      </c>
      <c r="D341" s="146" t="s">
        <v>605</v>
      </c>
      <c r="E341" s="158"/>
      <c r="F341" s="988"/>
      <c r="H341" s="75"/>
      <c r="J341" s="71"/>
      <c r="K341" s="74"/>
    </row>
    <row r="342" spans="1:11" ht="11.25" customHeight="1">
      <c r="A342" s="990" t="s">
        <v>3766</v>
      </c>
      <c r="B342" s="984">
        <v>155</v>
      </c>
      <c r="C342" s="984" t="str">
        <f t="shared" si="15"/>
        <v>15500</v>
      </c>
      <c r="D342" s="146" t="s">
        <v>605</v>
      </c>
      <c r="E342" s="158"/>
      <c r="F342" s="988"/>
      <c r="H342" s="75"/>
      <c r="J342" s="71"/>
    </row>
    <row r="343" spans="1:11" ht="11.25" customHeight="1">
      <c r="A343" s="985" t="s">
        <v>452</v>
      </c>
      <c r="B343" s="984" t="s">
        <v>453</v>
      </c>
      <c r="C343" s="991" t="s">
        <v>453</v>
      </c>
      <c r="D343" s="146" t="s">
        <v>605</v>
      </c>
      <c r="E343" s="158"/>
      <c r="F343" s="988"/>
      <c r="J343" s="71"/>
      <c r="K343" s="74"/>
    </row>
    <row r="344" spans="1:11" ht="11.25" customHeight="1">
      <c r="A344" s="985" t="s">
        <v>454</v>
      </c>
      <c r="B344" s="984" t="s">
        <v>453</v>
      </c>
      <c r="C344" s="991" t="s">
        <v>453</v>
      </c>
      <c r="D344" s="146" t="s">
        <v>605</v>
      </c>
      <c r="E344" s="158"/>
      <c r="F344" s="988"/>
      <c r="H344" s="75"/>
      <c r="K344" s="74"/>
    </row>
    <row r="345" spans="1:11" ht="15">
      <c r="F345" s="988"/>
      <c r="J345" s="71"/>
    </row>
    <row r="346" spans="1:11" ht="15">
      <c r="A346" s="992"/>
      <c r="F346" s="988"/>
      <c r="H346" s="75"/>
      <c r="J346" s="71"/>
    </row>
    <row r="347" spans="1:11" ht="11.25" customHeight="1">
      <c r="F347" s="988"/>
    </row>
    <row r="348" spans="1:11" ht="11.25" customHeight="1">
      <c r="F348" s="988"/>
      <c r="H348" s="75"/>
      <c r="K348" s="74"/>
    </row>
    <row r="349" spans="1:11" ht="11.25" customHeight="1">
      <c r="F349" s="988"/>
      <c r="H349" s="75"/>
      <c r="K349" s="74"/>
    </row>
    <row r="350" spans="1:11" ht="11.25" customHeight="1">
      <c r="F350" s="988"/>
      <c r="H350" s="75"/>
      <c r="J350" s="71"/>
    </row>
    <row r="351" spans="1:11" ht="11.25" customHeight="1">
      <c r="F351" s="988"/>
      <c r="J351" s="71"/>
      <c r="K351" s="74"/>
    </row>
    <row r="352" spans="1:11" ht="11.25" customHeight="1">
      <c r="F352" s="988"/>
      <c r="K352" s="74"/>
    </row>
    <row r="353" spans="6:10" ht="11.25" customHeight="1">
      <c r="F353" s="988"/>
      <c r="J353" s="71"/>
    </row>
    <row r="354" spans="6:10" ht="11.25" customHeight="1">
      <c r="F354" s="988"/>
      <c r="J354" s="71"/>
    </row>
  </sheetData>
  <sheetProtection algorithmName="SHA-512" hashValue="CyB6n0nv/c6fcPAlbNM9aj3iHROT184dgMai7cMx1GBKeM1a74a4VpK1yfCZ15pFQp1U+wDcEYRLu+TDED9l5w==" saltValue="pdHrm4VwB9x/22H/V5UAYw==" spinCount="100000" sheet="1" objects="1" scenarios="1"/>
  <protectedRanges>
    <protectedRange sqref="B3:E6 A20:B24 E31:E344" name="Range1"/>
  </protectedRanges>
  <customSheetViews>
    <customSheetView guid="{5CCA66B6-9DBD-4F43-8EC0-0C18444D6068}" scale="85" showGridLines="0" showRuler="0">
      <selection activeCell="A20" sqref="A20"/>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8">
    <mergeCell ref="F90:F92"/>
    <mergeCell ref="B5:E5"/>
    <mergeCell ref="B6:E6"/>
    <mergeCell ref="B7:E7"/>
    <mergeCell ref="B1:E1"/>
    <mergeCell ref="B2:E2"/>
    <mergeCell ref="B3:E3"/>
    <mergeCell ref="B4:E4"/>
  </mergeCells>
  <phoneticPr fontId="46" type="noConversion"/>
  <dataValidations count="3">
    <dataValidation type="whole" allowBlank="1" showInputMessage="1" showErrorMessage="1" error="PLease enter an agency number between 100 and 999." sqref="B343:B344" xr:uid="{00000000-0002-0000-0F00-000000000000}">
      <formula1>100</formula1>
      <formula2>999</formula2>
    </dataValidation>
    <dataValidation type="whole" allowBlank="1" showInputMessage="1" showErrorMessage="1" error="Please enter a whole number." sqref="B20:B24 K324 K348:K349 K326:K331 K351:K352 K337:K341 K333:K334 K343:K344 E31:E344" xr:uid="{00000000-0002-0000-0F00-000001000000}">
      <formula1>-9999999999999</formula1>
      <formula2>9999999999999</formula2>
    </dataValidation>
    <dataValidation type="whole" allowBlank="1" showErrorMessage="1" prompt="_x000a_" sqref="B25:B26 B19" xr:uid="{00000000-0002-0000-0F00-000002000000}">
      <formula1>-9999999999999</formula1>
      <formula2>9999999999999</formula2>
    </dataValidation>
  </dataValidations>
  <pageMargins left="0.75" right="0.31" top="0.56999999999999995" bottom="0.37" header="0.19" footer="0.17"/>
  <pageSetup scale="72" fitToHeight="6"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L32"/>
  <sheetViews>
    <sheetView showGridLines="0" zoomScaleNormal="100" zoomScaleSheetLayoutView="100" workbookViewId="0">
      <selection activeCell="J27" sqref="J27"/>
    </sheetView>
  </sheetViews>
  <sheetFormatPr defaultColWidth="9.109375" defaultRowHeight="13.2"/>
  <cols>
    <col min="1" max="1" width="29.33203125" style="11" customWidth="1"/>
    <col min="2" max="2" width="13.109375" style="11" customWidth="1"/>
    <col min="3" max="3" width="9.109375" style="11"/>
    <col min="4" max="4" width="3.5546875" style="11" customWidth="1"/>
    <col min="5" max="5" width="16" style="11" customWidth="1"/>
    <col min="6" max="6" width="9.109375" style="11"/>
    <col min="7" max="7" width="7.33203125" style="11" customWidth="1"/>
    <col min="8" max="8" width="9.109375" style="11"/>
    <col min="9" max="9" width="3" style="11" customWidth="1"/>
    <col min="10" max="16384" width="9.109375" style="11"/>
  </cols>
  <sheetData>
    <row r="1" spans="1:6" s="657" customFormat="1" ht="12.6" customHeight="1">
      <c r="A1" s="564" t="str">
        <f>'Internal Service Template'!A1:D1</f>
        <v>Agency Number:</v>
      </c>
      <c r="B1" s="1290" t="str">
        <f>'Internal Service Template'!E1</f>
        <v/>
      </c>
      <c r="C1" s="1290"/>
      <c r="D1" s="1291"/>
      <c r="E1" s="1291"/>
      <c r="F1" s="1291"/>
    </row>
    <row r="2" spans="1:6" s="657" customFormat="1" ht="12.75" customHeight="1">
      <c r="A2" s="564" t="str">
        <f>'Internal Service Template'!A2:D2</f>
        <v>Agency Fund Name:</v>
      </c>
      <c r="B2" s="1290" t="str">
        <f>IF('Internal Service Template'!E2="","",'Internal Service Template'!E2)</f>
        <v/>
      </c>
      <c r="C2" s="1290"/>
      <c r="D2" s="1291"/>
      <c r="E2" s="1291"/>
      <c r="F2" s="1291"/>
    </row>
    <row r="3" spans="1:6" s="657" customFormat="1">
      <c r="A3" s="564" t="str">
        <f>'Internal Service Template'!A3:D3</f>
        <v>Agency Contact Name:</v>
      </c>
      <c r="B3" s="1142" t="str">
        <f>IF('Internal Service Template'!E3="","",'Internal Service Template'!E3)</f>
        <v/>
      </c>
      <c r="C3" s="1142"/>
      <c r="D3" s="1294"/>
      <c r="E3" s="1294"/>
      <c r="F3" s="1294"/>
    </row>
    <row r="4" spans="1:6" s="657" customFormat="1">
      <c r="A4" s="564" t="str">
        <f>'Internal Service Template'!A4:D4</f>
        <v>Agency Contact Phone Number:</v>
      </c>
      <c r="B4" s="1127" t="str">
        <f>IF('Internal Service Template'!E4="","",'Internal Service Template'!E4)</f>
        <v/>
      </c>
      <c r="C4" s="1127"/>
      <c r="D4" s="1295"/>
      <c r="E4" s="1295"/>
      <c r="F4" s="1295"/>
    </row>
    <row r="5" spans="1:6" s="657" customFormat="1">
      <c r="A5" s="564" t="str">
        <f>'Internal Service Template'!A5:D5</f>
        <v>Agency Contact E-mail Address:</v>
      </c>
      <c r="B5" s="1129" t="str">
        <f>IF('Internal Service Template'!E5="","",'Internal Service Template'!E5)</f>
        <v/>
      </c>
      <c r="C5" s="1129"/>
      <c r="D5" s="1292"/>
      <c r="E5" s="1292"/>
      <c r="F5" s="1292"/>
    </row>
    <row r="6" spans="1:6" s="657" customFormat="1" ht="12.75" customHeight="1">
      <c r="A6" s="564" t="str">
        <f>'Internal Service Template'!A6:D6</f>
        <v>Date Completed:</v>
      </c>
      <c r="B6" s="1131" t="str">
        <f>IF('Internal Service Template'!E6="","",'Internal Service Template'!E6)</f>
        <v/>
      </c>
      <c r="C6" s="1131"/>
      <c r="D6" s="1293"/>
      <c r="E6" s="1293"/>
      <c r="F6" s="1293"/>
    </row>
    <row r="7" spans="1:6" s="657" customFormat="1" ht="12.75" customHeight="1">
      <c r="A7" s="564" t="str">
        <f>'Internal Service Template'!A7:D7</f>
        <v>Fund Number:</v>
      </c>
      <c r="B7" s="1290" t="str">
        <f>'Internal Service Template'!E7</f>
        <v/>
      </c>
      <c r="C7" s="1290"/>
      <c r="D7" s="1291"/>
      <c r="E7" s="1291"/>
      <c r="F7" s="1291"/>
    </row>
    <row r="13" spans="1:6">
      <c r="A13" s="86" t="s">
        <v>725</v>
      </c>
    </row>
    <row r="14" spans="1:6">
      <c r="A14" s="632" t="str">
        <f>'Tab 2-Receivables'!A10</f>
        <v>For the Year Ended June 30, 2024</v>
      </c>
      <c r="B14" s="11" t="s">
        <v>201</v>
      </c>
      <c r="E14" s="129" t="str">
        <f>IF('Internal Service Template'!O293&lt;0,'Internal Service Template'!O293, "N/A")</f>
        <v>N/A</v>
      </c>
    </row>
    <row r="16" spans="1:6">
      <c r="A16" s="13" t="s">
        <v>735</v>
      </c>
    </row>
    <row r="17" spans="1:12">
      <c r="A17" s="1113" t="str">
        <f>IF(E14&lt;0,"Answer Required", "N/A")</f>
        <v>N/A</v>
      </c>
      <c r="B17" s="1114"/>
      <c r="C17" s="1114"/>
      <c r="D17" s="1114"/>
      <c r="E17" s="1114"/>
      <c r="F17" s="1114"/>
      <c r="G17" s="1115"/>
      <c r="H17" s="67"/>
      <c r="I17" s="67"/>
      <c r="J17" s="67"/>
      <c r="K17" s="67"/>
      <c r="L17" s="67"/>
    </row>
    <row r="18" spans="1:12">
      <c r="A18" s="1116"/>
      <c r="B18" s="1117"/>
      <c r="C18" s="1117"/>
      <c r="D18" s="1117"/>
      <c r="E18" s="1117"/>
      <c r="F18" s="1117"/>
      <c r="G18" s="1118"/>
      <c r="H18" s="67"/>
      <c r="I18" s="67"/>
      <c r="J18" s="67"/>
      <c r="K18" s="67"/>
      <c r="L18" s="67"/>
    </row>
    <row r="19" spans="1:12">
      <c r="A19" s="1116"/>
      <c r="B19" s="1117"/>
      <c r="C19" s="1117"/>
      <c r="D19" s="1117"/>
      <c r="E19" s="1117"/>
      <c r="F19" s="1117"/>
      <c r="G19" s="1118"/>
      <c r="H19" s="67"/>
      <c r="I19" s="67"/>
      <c r="J19" s="67"/>
      <c r="K19" s="67"/>
      <c r="L19" s="67"/>
    </row>
    <row r="20" spans="1:12">
      <c r="A20" s="1116"/>
      <c r="B20" s="1117"/>
      <c r="C20" s="1117"/>
      <c r="D20" s="1117"/>
      <c r="E20" s="1117"/>
      <c r="F20" s="1117"/>
      <c r="G20" s="1118"/>
      <c r="H20" s="67"/>
      <c r="I20" s="67"/>
      <c r="J20" s="67"/>
      <c r="K20" s="67"/>
      <c r="L20" s="67"/>
    </row>
    <row r="21" spans="1:12">
      <c r="A21" s="1116"/>
      <c r="B21" s="1117"/>
      <c r="C21" s="1117"/>
      <c r="D21" s="1117"/>
      <c r="E21" s="1117"/>
      <c r="F21" s="1117"/>
      <c r="G21" s="1118"/>
      <c r="H21" s="67"/>
      <c r="I21" s="67"/>
      <c r="J21" s="67"/>
      <c r="K21" s="67"/>
      <c r="L21" s="67"/>
    </row>
    <row r="22" spans="1:12">
      <c r="A22" s="1116"/>
      <c r="B22" s="1117"/>
      <c r="C22" s="1117"/>
      <c r="D22" s="1117"/>
      <c r="E22" s="1117"/>
      <c r="F22" s="1117"/>
      <c r="G22" s="1118"/>
      <c r="H22" s="67"/>
      <c r="I22" s="67"/>
      <c r="J22" s="67"/>
      <c r="K22" s="67"/>
      <c r="L22" s="67"/>
    </row>
    <row r="23" spans="1:12">
      <c r="A23" s="1116"/>
      <c r="B23" s="1117"/>
      <c r="C23" s="1117"/>
      <c r="D23" s="1117"/>
      <c r="E23" s="1117"/>
      <c r="F23" s="1117"/>
      <c r="G23" s="1118"/>
      <c r="H23" s="67"/>
      <c r="I23" s="67"/>
      <c r="J23" s="67"/>
      <c r="K23" s="67"/>
      <c r="L23" s="67"/>
    </row>
    <row r="24" spans="1:12">
      <c r="A24" s="1116"/>
      <c r="B24" s="1117"/>
      <c r="C24" s="1117"/>
      <c r="D24" s="1117"/>
      <c r="E24" s="1117"/>
      <c r="F24" s="1117"/>
      <c r="G24" s="1118"/>
      <c r="H24" s="67"/>
      <c r="I24" s="67"/>
      <c r="J24" s="67"/>
      <c r="K24" s="67"/>
      <c r="L24" s="67"/>
    </row>
    <row r="25" spans="1:12">
      <c r="A25" s="1116"/>
      <c r="B25" s="1117"/>
      <c r="C25" s="1117"/>
      <c r="D25" s="1117"/>
      <c r="E25" s="1117"/>
      <c r="F25" s="1117"/>
      <c r="G25" s="1118"/>
      <c r="H25" s="67"/>
      <c r="I25" s="67"/>
      <c r="J25" s="67"/>
      <c r="K25" s="67"/>
      <c r="L25" s="67"/>
    </row>
    <row r="26" spans="1:12">
      <c r="A26" s="1116"/>
      <c r="B26" s="1117"/>
      <c r="C26" s="1117"/>
      <c r="D26" s="1117"/>
      <c r="E26" s="1117"/>
      <c r="F26" s="1117"/>
      <c r="G26" s="1118"/>
      <c r="H26" s="67"/>
      <c r="I26" s="67"/>
      <c r="J26" s="67"/>
      <c r="K26" s="67"/>
      <c r="L26" s="67"/>
    </row>
    <row r="27" spans="1:12">
      <c r="A27" s="1116"/>
      <c r="B27" s="1117"/>
      <c r="C27" s="1117"/>
      <c r="D27" s="1117"/>
      <c r="E27" s="1117"/>
      <c r="F27" s="1117"/>
      <c r="G27" s="1118"/>
      <c r="H27" s="67"/>
      <c r="I27" s="67"/>
      <c r="J27" s="67"/>
      <c r="K27" s="67"/>
      <c r="L27" s="67"/>
    </row>
    <row r="28" spans="1:12">
      <c r="A28" s="1116"/>
      <c r="B28" s="1117"/>
      <c r="C28" s="1117"/>
      <c r="D28" s="1117"/>
      <c r="E28" s="1117"/>
      <c r="F28" s="1117"/>
      <c r="G28" s="1118"/>
      <c r="H28" s="67"/>
      <c r="I28" s="67"/>
      <c r="J28" s="67"/>
      <c r="K28" s="67"/>
      <c r="L28" s="67"/>
    </row>
    <row r="29" spans="1:12">
      <c r="A29" s="1116"/>
      <c r="B29" s="1117"/>
      <c r="C29" s="1117"/>
      <c r="D29" s="1117"/>
      <c r="E29" s="1117"/>
      <c r="F29" s="1117"/>
      <c r="G29" s="1118"/>
      <c r="H29" s="67"/>
      <c r="I29" s="67"/>
      <c r="J29" s="67"/>
      <c r="K29" s="67"/>
      <c r="L29" s="67"/>
    </row>
    <row r="30" spans="1:12">
      <c r="A30" s="1116"/>
      <c r="B30" s="1117"/>
      <c r="C30" s="1117"/>
      <c r="D30" s="1117"/>
      <c r="E30" s="1117"/>
      <c r="F30" s="1117"/>
      <c r="G30" s="1118"/>
      <c r="H30" s="67"/>
      <c r="I30" s="67"/>
      <c r="J30" s="67"/>
      <c r="K30" s="67"/>
      <c r="L30" s="67"/>
    </row>
    <row r="31" spans="1:12">
      <c r="A31" s="1116"/>
      <c r="B31" s="1117"/>
      <c r="C31" s="1117"/>
      <c r="D31" s="1117"/>
      <c r="E31" s="1117"/>
      <c r="F31" s="1117"/>
      <c r="G31" s="1118"/>
      <c r="H31" s="67"/>
      <c r="I31" s="67"/>
      <c r="J31" s="67"/>
      <c r="K31" s="67"/>
      <c r="L31" s="67"/>
    </row>
    <row r="32" spans="1:12">
      <c r="A32" s="1119"/>
      <c r="B32" s="1120"/>
      <c r="C32" s="1120"/>
      <c r="D32" s="1120"/>
      <c r="E32" s="1120"/>
      <c r="F32" s="1120"/>
      <c r="G32" s="1121"/>
      <c r="H32" s="67"/>
      <c r="I32" s="67"/>
      <c r="J32" s="67"/>
      <c r="K32" s="67"/>
      <c r="L32" s="67"/>
    </row>
  </sheetData>
  <sheetProtection algorithmName="SHA-512" hashValue="eRQU3EGPPGn/ylWfPNkuC6/u9gWOBIPp25pc4F/+Z8+6nTRh9jSJOj/4AbM1EB7+xNjxqx7eNdvsVm4auVEFJA==" saltValue="wnUxza44gZ5KsK3iw/hF5A==" spinCount="100000" sheet="1" objects="1" scenarios="1"/>
  <customSheetViews>
    <customSheetView guid="{5CCA66B6-9DBD-4F43-8EC0-0C18444D6068}" showGridLines="0" showRuler="0" topLeftCell="A4">
      <selection activeCell="A13" sqref="A13:F28"/>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8">
    <mergeCell ref="A17:G32"/>
    <mergeCell ref="B5:F5"/>
    <mergeCell ref="B6:F6"/>
    <mergeCell ref="B7:F7"/>
    <mergeCell ref="B1:F1"/>
    <mergeCell ref="B2:F2"/>
    <mergeCell ref="B3:F3"/>
    <mergeCell ref="B4:F4"/>
  </mergeCells>
  <phoneticPr fontId="46" type="noConversion"/>
  <conditionalFormatting sqref="A17:G32">
    <cfRule type="cellIs" dxfId="19" priority="1" operator="equal">
      <formula>"Answer Required"</formula>
    </cfRule>
  </conditionalFormatting>
  <pageMargins left="0.75" right="0.28999999999999998" top="0.82" bottom="0.37" header="0.19" footer="0.17"/>
  <pageSetup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G41"/>
  <sheetViews>
    <sheetView showGridLines="0" zoomScaleNormal="100" zoomScaleSheetLayoutView="75" workbookViewId="0">
      <selection activeCell="B3" sqref="B3:F3"/>
    </sheetView>
  </sheetViews>
  <sheetFormatPr defaultColWidth="9.109375" defaultRowHeight="13.2"/>
  <cols>
    <col min="1" max="1" width="33.5546875" style="11" customWidth="1"/>
    <col min="2" max="2" width="26.109375" style="11" customWidth="1"/>
    <col min="3" max="3" width="9.88671875" style="11" customWidth="1"/>
    <col min="4" max="4" width="33.88671875" style="11" customWidth="1"/>
    <col min="5" max="5" width="27.88671875" style="11" customWidth="1"/>
    <col min="6" max="6" width="16.44140625" style="11" customWidth="1"/>
    <col min="7" max="7" width="11.88671875" style="11" hidden="1" customWidth="1"/>
    <col min="8" max="16384" width="9.109375" style="11"/>
  </cols>
  <sheetData>
    <row r="1" spans="1:7" s="657" customFormat="1" ht="12.6" customHeight="1">
      <c r="A1" s="564" t="str">
        <f>'Internal Service Template'!A1:D1</f>
        <v>Agency Number:</v>
      </c>
      <c r="B1" s="1180" t="str">
        <f>'Internal Service Template'!E1</f>
        <v/>
      </c>
      <c r="C1" s="1181"/>
      <c r="D1" s="1181"/>
      <c r="E1" s="1181"/>
      <c r="F1" s="1182"/>
      <c r="G1" s="563"/>
    </row>
    <row r="2" spans="1:7" s="657" customFormat="1" ht="12.75" customHeight="1">
      <c r="A2" s="564" t="str">
        <f>'Internal Service Template'!A2:D2</f>
        <v>Agency Fund Name:</v>
      </c>
      <c r="B2" s="1180" t="str">
        <f>IF('Internal Service Template'!E2="","",'Internal Service Template'!E2)</f>
        <v/>
      </c>
      <c r="C2" s="1181"/>
      <c r="D2" s="1181"/>
      <c r="E2" s="1181"/>
      <c r="F2" s="1182"/>
      <c r="G2" s="563"/>
    </row>
    <row r="3" spans="1:7" s="657" customFormat="1">
      <c r="A3" s="564" t="str">
        <f>'Internal Service Template'!A3:D3</f>
        <v>Agency Contact Name:</v>
      </c>
      <c r="B3" s="1167" t="str">
        <f>IF('Internal Service Template'!E3="","",'Internal Service Template'!E3)</f>
        <v/>
      </c>
      <c r="C3" s="1354"/>
      <c r="D3" s="1354"/>
      <c r="E3" s="1354"/>
      <c r="F3" s="1355"/>
      <c r="G3" s="627"/>
    </row>
    <row r="4" spans="1:7" s="657" customFormat="1" ht="12.75" customHeight="1">
      <c r="A4" s="564" t="str">
        <f>'Internal Service Template'!A4:D4</f>
        <v>Agency Contact Phone Number:</v>
      </c>
      <c r="B4" s="1176" t="str">
        <f>IF('Internal Service Template'!E4="","",'Internal Service Template'!E4)</f>
        <v/>
      </c>
      <c r="C4" s="1177"/>
      <c r="D4" s="1177"/>
      <c r="E4" s="1177"/>
      <c r="F4" s="1178"/>
      <c r="G4" s="628"/>
    </row>
    <row r="5" spans="1:7" s="657" customFormat="1" ht="12.75" customHeight="1">
      <c r="A5" s="564" t="str">
        <f>'Internal Service Template'!A5:D5</f>
        <v>Agency Contact E-mail Address:</v>
      </c>
      <c r="B5" s="1172" t="str">
        <f>IF('Internal Service Template'!E5="","",'Internal Service Template'!E5)</f>
        <v/>
      </c>
      <c r="C5" s="1356"/>
      <c r="D5" s="1356"/>
      <c r="E5" s="1356"/>
      <c r="F5" s="1357"/>
      <c r="G5" s="993"/>
    </row>
    <row r="6" spans="1:7" s="657" customFormat="1" ht="12.75" customHeight="1">
      <c r="A6" s="564" t="str">
        <f>'Internal Service Template'!A6:D6</f>
        <v>Date Completed:</v>
      </c>
      <c r="B6" s="1173" t="str">
        <f>IF('Internal Service Template'!E6="","",'Internal Service Template'!E6)</f>
        <v/>
      </c>
      <c r="C6" s="1174"/>
      <c r="D6" s="1174"/>
      <c r="E6" s="1174"/>
      <c r="F6" s="1175"/>
      <c r="G6" s="994"/>
    </row>
    <row r="7" spans="1:7" s="657" customFormat="1" ht="12.75" customHeight="1">
      <c r="A7" s="564" t="str">
        <f>'Internal Service Template'!A7:D7</f>
        <v>Fund Number:</v>
      </c>
      <c r="B7" s="1180" t="str">
        <f>'Internal Service Template'!E7</f>
        <v/>
      </c>
      <c r="C7" s="1181"/>
      <c r="D7" s="1181"/>
      <c r="E7" s="1181"/>
      <c r="F7" s="1182"/>
      <c r="G7" s="995"/>
    </row>
    <row r="9" spans="1:7">
      <c r="A9" s="86" t="s">
        <v>292</v>
      </c>
      <c r="B9" s="86"/>
    </row>
    <row r="10" spans="1:7">
      <c r="A10" s="632" t="str">
        <f>'Tab 2-Receivables'!A10</f>
        <v>For the Year Ended June 30, 2024</v>
      </c>
      <c r="B10" s="632"/>
    </row>
    <row r="12" spans="1:7" ht="29.25" customHeight="1">
      <c r="A12" s="996" t="s">
        <v>2589</v>
      </c>
      <c r="B12" s="996" t="s">
        <v>896</v>
      </c>
      <c r="C12" s="996" t="s">
        <v>890</v>
      </c>
      <c r="D12" s="997" t="s">
        <v>2721</v>
      </c>
      <c r="E12" s="997" t="s">
        <v>2590</v>
      </c>
      <c r="F12" s="997" t="s">
        <v>341</v>
      </c>
    </row>
    <row r="13" spans="1:7">
      <c r="A13" s="194"/>
      <c r="B13" s="998" t="str">
        <f>IF(A13="","",IFERROR(VLOOKUP(A13,'Fund Vlookup'!$B:$C,2,FALSE),"Verify fund number and contact DOA"))</f>
        <v/>
      </c>
      <c r="C13" s="152"/>
      <c r="D13" s="157"/>
      <c r="E13" s="293"/>
      <c r="F13" s="153"/>
    </row>
    <row r="14" spans="1:7">
      <c r="A14" s="194"/>
      <c r="B14" s="998" t="str">
        <f>IF(A14="","",IFERROR(VLOOKUP(A14,'Fund Vlookup'!$B:$C,2,FALSE),"Verify fund number and contact DOA"))</f>
        <v/>
      </c>
      <c r="C14" s="152"/>
      <c r="D14" s="157"/>
      <c r="E14" s="293"/>
      <c r="F14" s="153"/>
    </row>
    <row r="15" spans="1:7">
      <c r="A15" s="194"/>
      <c r="B15" s="998" t="str">
        <f>IF(A15="","",IFERROR(VLOOKUP(A15,'Fund Vlookup'!$B:$C,2,FALSE),"Verify fund number and contact DOA"))</f>
        <v/>
      </c>
      <c r="C15" s="152"/>
      <c r="D15" s="157"/>
      <c r="E15" s="293"/>
      <c r="F15" s="153"/>
    </row>
    <row r="16" spans="1:7">
      <c r="A16" s="194"/>
      <c r="B16" s="998" t="str">
        <f>IF(A16="","",IFERROR(VLOOKUP(A16,'Fund Vlookup'!$B:$C,2,FALSE),"Verify fund number and contact DOA"))</f>
        <v/>
      </c>
      <c r="C16" s="152"/>
      <c r="D16" s="157"/>
      <c r="E16" s="293"/>
      <c r="F16" s="153"/>
    </row>
    <row r="17" spans="1:6">
      <c r="A17" s="194"/>
      <c r="B17" s="998" t="str">
        <f>IF(A17="","",IFERROR(VLOOKUP(A17,'Fund Vlookup'!$B:$C,2,FALSE),"Verify fund number and contact DOA"))</f>
        <v/>
      </c>
      <c r="C17" s="152"/>
      <c r="D17" s="157"/>
      <c r="E17" s="293"/>
      <c r="F17" s="153"/>
    </row>
    <row r="18" spans="1:6">
      <c r="A18" s="194"/>
      <c r="B18" s="998" t="str">
        <f>IF(A18="","",IFERROR(VLOOKUP(A18,'Fund Vlookup'!$B:$C,2,FALSE),"Verify fund number and contact DOA"))</f>
        <v/>
      </c>
      <c r="C18" s="152"/>
      <c r="D18" s="157"/>
      <c r="E18" s="293"/>
      <c r="F18" s="153"/>
    </row>
    <row r="19" spans="1:6">
      <c r="A19" s="194"/>
      <c r="B19" s="998" t="str">
        <f>IF(A19="","",IFERROR(VLOOKUP(A19,'Fund Vlookup'!$B:$C,2,FALSE),"Verify fund number and contact DOA"))</f>
        <v/>
      </c>
      <c r="C19" s="152"/>
      <c r="D19" s="157"/>
      <c r="E19" s="293"/>
      <c r="F19" s="153"/>
    </row>
    <row r="20" spans="1:6">
      <c r="A20" s="194"/>
      <c r="B20" s="998" t="str">
        <f>IF(A20="","",IFERROR(VLOOKUP(A20,'Fund Vlookup'!$B:$C,2,FALSE),"Verify fund number and contact DOA"))</f>
        <v/>
      </c>
      <c r="C20" s="152"/>
      <c r="D20" s="157"/>
      <c r="E20" s="293"/>
      <c r="F20" s="153"/>
    </row>
    <row r="21" spans="1:6">
      <c r="D21" s="645"/>
      <c r="E21" s="716"/>
      <c r="F21" s="645"/>
    </row>
    <row r="22" spans="1:6" ht="13.8" thickBot="1">
      <c r="E22" s="645" t="s">
        <v>294</v>
      </c>
      <c r="F22" s="655">
        <f>IF(SUM(F13:F20)='Internal Service Template'!O289,SUM(F13:F20),"Error")</f>
        <v>0</v>
      </c>
    </row>
    <row r="23" spans="1:6" ht="13.8" thickTop="1">
      <c r="D23" s="626"/>
      <c r="E23" s="999" t="s">
        <v>146</v>
      </c>
      <c r="F23" s="1000">
        <f>(SUM(F13:F20))-'Internal Service Template'!O289</f>
        <v>0</v>
      </c>
    </row>
    <row r="24" spans="1:6">
      <c r="D24" s="626"/>
      <c r="E24" s="631"/>
      <c r="F24" s="1001"/>
    </row>
    <row r="25" spans="1:6">
      <c r="A25" s="1002"/>
      <c r="B25" s="1002"/>
      <c r="D25" s="626"/>
      <c r="E25" s="631"/>
      <c r="F25" s="1001"/>
    </row>
    <row r="26" spans="1:6">
      <c r="D26" s="626"/>
      <c r="E26" s="631"/>
      <c r="F26" s="1001"/>
    </row>
    <row r="27" spans="1:6">
      <c r="D27" s="626"/>
      <c r="E27" s="631"/>
      <c r="F27" s="1001"/>
    </row>
    <row r="30" spans="1:6" ht="25.2" customHeight="1">
      <c r="A30" s="996" t="s">
        <v>2591</v>
      </c>
      <c r="B30" s="996" t="s">
        <v>896</v>
      </c>
      <c r="C30" s="1003" t="s">
        <v>890</v>
      </c>
      <c r="D30" s="997" t="s">
        <v>2722</v>
      </c>
      <c r="E30" s="997" t="s">
        <v>2595</v>
      </c>
      <c r="F30" s="996" t="s">
        <v>341</v>
      </c>
    </row>
    <row r="31" spans="1:6">
      <c r="A31" s="194"/>
      <c r="B31" s="998" t="str">
        <f>IF(A31="","",IFERROR(VLOOKUP(A31,'Fund Vlookup'!$B:$C,2,FALSE),"Verify fund number and contact DOA"))</f>
        <v/>
      </c>
      <c r="C31" s="299"/>
      <c r="D31" s="157"/>
      <c r="E31" s="293"/>
      <c r="F31" s="153"/>
    </row>
    <row r="32" spans="1:6">
      <c r="A32" s="194"/>
      <c r="B32" s="998" t="str">
        <f>IF(A32="","",IFERROR(VLOOKUP(A32,'Fund Vlookup'!$B:$C,2,FALSE),"Verify fund number and contact DOA"))</f>
        <v/>
      </c>
      <c r="C32" s="152"/>
      <c r="D32" s="157"/>
      <c r="E32" s="293"/>
      <c r="F32" s="153"/>
    </row>
    <row r="33" spans="1:6">
      <c r="A33" s="194"/>
      <c r="B33" s="998" t="str">
        <f>IF(A33="","",IFERROR(VLOOKUP(A33,'Fund Vlookup'!$B:$C,2,FALSE),"Verify fund number and contact DOA"))</f>
        <v/>
      </c>
      <c r="C33" s="152"/>
      <c r="D33" s="157"/>
      <c r="E33" s="293"/>
      <c r="F33" s="153"/>
    </row>
    <row r="34" spans="1:6">
      <c r="A34" s="194"/>
      <c r="B34" s="998" t="str">
        <f>IF(A34="","",IFERROR(VLOOKUP(A34,'Fund Vlookup'!$B:$C,2,FALSE),"Verify fund number and contact DOA"))</f>
        <v/>
      </c>
      <c r="C34" s="152"/>
      <c r="D34" s="157"/>
      <c r="E34" s="293"/>
      <c r="F34" s="153"/>
    </row>
    <row r="35" spans="1:6">
      <c r="A35" s="194"/>
      <c r="B35" s="998" t="str">
        <f>IF(A35="","",IFERROR(VLOOKUP(A35,'Fund Vlookup'!$B:$C,2,FALSE),"Verify fund number and contact DOA"))</f>
        <v/>
      </c>
      <c r="C35" s="152"/>
      <c r="D35" s="157"/>
      <c r="E35" s="293"/>
      <c r="F35" s="153"/>
    </row>
    <row r="36" spans="1:6">
      <c r="A36" s="194"/>
      <c r="B36" s="998" t="str">
        <f>IF(A36="","",IFERROR(VLOOKUP(A36,'Fund Vlookup'!$B:$C,2,FALSE),"Verify fund number and contact DOA"))</f>
        <v/>
      </c>
      <c r="C36" s="152"/>
      <c r="D36" s="157"/>
      <c r="E36" s="293"/>
      <c r="F36" s="153"/>
    </row>
    <row r="37" spans="1:6">
      <c r="A37" s="194"/>
      <c r="B37" s="998" t="str">
        <f>IF(A37="","",IFERROR(VLOOKUP(A37,'Fund Vlookup'!$B:$C,2,FALSE),"Verify fund number and contact DOA"))</f>
        <v/>
      </c>
      <c r="C37" s="152"/>
      <c r="D37" s="157"/>
      <c r="E37" s="293"/>
      <c r="F37" s="153"/>
    </row>
    <row r="38" spans="1:6">
      <c r="A38" s="194"/>
      <c r="B38" s="998" t="str">
        <f>IF(A38="","",IFERROR(VLOOKUP(A38,'Fund Vlookup'!$B:$C,2,FALSE),"Verify fund number and contact DOA"))</f>
        <v/>
      </c>
      <c r="C38" s="152"/>
      <c r="D38" s="157"/>
      <c r="E38" s="293"/>
      <c r="F38" s="153"/>
    </row>
    <row r="39" spans="1:6">
      <c r="D39" s="645"/>
      <c r="E39" s="716"/>
      <c r="F39" s="645"/>
    </row>
    <row r="40" spans="1:6" ht="13.8" thickBot="1">
      <c r="E40" s="645" t="s">
        <v>295</v>
      </c>
      <c r="F40" s="655">
        <f>IF(SUM(F31:F38)='Internal Service Template'!O290,SUM(F31:F38),"Error")</f>
        <v>0</v>
      </c>
    </row>
    <row r="41" spans="1:6" ht="13.8" thickTop="1">
      <c r="E41" s="999" t="s">
        <v>146</v>
      </c>
      <c r="F41" s="164">
        <f>(SUM(F31:F38))-'Internal Service Template'!O290</f>
        <v>0</v>
      </c>
    </row>
  </sheetData>
  <sheetProtection algorithmName="SHA-512" hashValue="5Hw95iSX8UztfiNmKVtuvQVoKqExZS4XNuKQx+oSgcA0E9aHUnLzBGzokz7TVwPWK0wPkHfbNIQxuw+Wp60Ctg==" saltValue="lzNkonJF1laNpoJ2oWMOYw==" spinCount="100000" sheet="1" objects="1" scenarios="1"/>
  <customSheetViews>
    <customSheetView guid="{5CCA66B6-9DBD-4F43-8EC0-0C18444D6068}" scale="85" showGridLines="0" showRuler="0">
      <selection activeCell="A13" sqref="A13"/>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7">
    <mergeCell ref="B7:F7"/>
    <mergeCell ref="B6:F6"/>
    <mergeCell ref="B1:F1"/>
    <mergeCell ref="B2:F2"/>
    <mergeCell ref="B3:F3"/>
    <mergeCell ref="B4:F4"/>
    <mergeCell ref="B5:F5"/>
  </mergeCells>
  <phoneticPr fontId="46" type="noConversion"/>
  <dataValidations count="5">
    <dataValidation type="whole" allowBlank="1" showInputMessage="1" showErrorMessage="1" sqref="F22:F23 F40:F41" xr:uid="{00000000-0002-0000-1100-000000000000}">
      <formula1>-9999999999999</formula1>
      <formula2>9999999999999</formula2>
    </dataValidation>
    <dataValidation type="whole" allowBlank="1" showInputMessage="1" showErrorMessage="1" error="Enter a whole number." sqref="F31:F38 F13:F20" xr:uid="{00000000-0002-0000-1100-000001000000}">
      <formula1>-9999999999999</formula1>
      <formula2>9999999999999</formula2>
    </dataValidation>
    <dataValidation type="whole" allowBlank="1" showInputMessage="1" showErrorMessage="1" error="Please enter a valid fund  between 1000 and 99999" sqref="A13:A20" xr:uid="{00000000-0002-0000-1100-000004000000}">
      <formula1>1000</formula1>
      <formula2>99999</formula2>
    </dataValidation>
    <dataValidation type="whole" allowBlank="1" showInputMessage="1" showErrorMessage="1" error="Please enter a valid fund between 1000 and 99999" sqref="A31:A38" xr:uid="{00000000-0002-0000-1100-000005000000}">
      <formula1>1000</formula1>
      <formula2>99999</formula2>
    </dataValidation>
    <dataValidation type="whole" allowBlank="1" showInputMessage="1" showErrorMessage="1" error="Please enter a Business Unit between 10000 and 99600" sqref="E13:E20 E31:E38" xr:uid="{B9A6A8D0-E1BB-404F-8E88-389890F86653}">
      <formula1>10000</formula1>
      <formula2>99600</formula2>
    </dataValidation>
  </dataValidations>
  <pageMargins left="0.75" right="0.25" top="0.82" bottom="0.37" header="0.19" footer="0.17"/>
  <pageSetup scale="83" orientation="landscape"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colBreaks count="2" manualBreakCount="2">
    <brk id="6" max="47" man="1"/>
    <brk id="7" max="47"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G594"/>
  <sheetViews>
    <sheetView showGridLines="0" topLeftCell="A527" zoomScale="90" zoomScaleNormal="90" zoomScaleSheetLayoutView="120" workbookViewId="0">
      <selection activeCell="E527" sqref="E527:K527"/>
    </sheetView>
  </sheetViews>
  <sheetFormatPr defaultColWidth="7.5546875" defaultRowHeight="13.2"/>
  <cols>
    <col min="1" max="3" width="1.88671875" customWidth="1"/>
    <col min="4" max="4" width="27.88671875" customWidth="1"/>
    <col min="5" max="5" width="27" customWidth="1"/>
    <col min="6" max="6" width="11.44140625" customWidth="1"/>
    <col min="7" max="7" width="17.6640625" style="17" customWidth="1"/>
    <col min="8" max="8" width="2.44140625" style="17" customWidth="1"/>
    <col min="9" max="9" width="17.6640625" style="17" customWidth="1"/>
    <col min="10" max="10" width="2.44140625" style="17" customWidth="1"/>
    <col min="11" max="11" width="3.44140625" style="17" customWidth="1"/>
    <col min="12" max="12" width="13.44140625" style="17" customWidth="1"/>
    <col min="13" max="13" width="3" style="17" customWidth="1"/>
    <col min="14" max="14" width="13.44140625" style="17" customWidth="1"/>
    <col min="15" max="15" width="3" style="17" customWidth="1"/>
    <col min="16" max="16" width="14.33203125" style="17" customWidth="1"/>
    <col min="17" max="17" width="2.44140625" style="17" customWidth="1"/>
    <col min="18" max="18" width="13.44140625" style="17" customWidth="1"/>
    <col min="19" max="19" width="2.44140625" style="17" customWidth="1"/>
    <col min="20" max="20" width="16" style="17" customWidth="1"/>
    <col min="21" max="21" width="2.44140625" style="17" customWidth="1"/>
    <col min="22" max="22" width="14.5546875" style="17" customWidth="1"/>
    <col min="23" max="23" width="2.44140625" style="17" customWidth="1"/>
    <col min="24" max="24" width="14.44140625" style="17" customWidth="1"/>
    <col min="25" max="25" width="2.44140625" style="17" customWidth="1"/>
    <col min="26" max="26" width="15.109375" style="17" customWidth="1"/>
    <col min="27" max="27" width="4" style="17" customWidth="1"/>
    <col min="28" max="28" width="12.33203125" style="17" customWidth="1"/>
    <col min="29" max="29" width="3.33203125" style="17" customWidth="1"/>
    <col min="30" max="30" width="12.33203125" style="17" customWidth="1"/>
    <col min="31" max="31" width="3" style="17" customWidth="1"/>
    <col min="32" max="32" width="12.33203125" style="17" customWidth="1"/>
    <col min="33" max="33" width="13.44140625" style="17" customWidth="1"/>
    <col min="34" max="16384" width="7.5546875" style="17"/>
  </cols>
  <sheetData>
    <row r="1" spans="1:20" ht="12.75" hidden="1" customHeight="1">
      <c r="A1" s="1050"/>
      <c r="B1" s="1051"/>
      <c r="C1" s="1051"/>
      <c r="D1" s="1051"/>
      <c r="E1" s="1048"/>
      <c r="F1" s="1049"/>
    </row>
    <row r="2" spans="1:20" ht="23.25" hidden="1" customHeight="1">
      <c r="A2" s="1050"/>
      <c r="B2" s="1051"/>
      <c r="C2" s="1051"/>
      <c r="D2" s="1051"/>
      <c r="E2" s="1058"/>
      <c r="F2" s="1055"/>
      <c r="G2"/>
      <c r="H2"/>
      <c r="I2"/>
      <c r="J2"/>
    </row>
    <row r="3" spans="1:20" ht="15" hidden="1" customHeight="1">
      <c r="A3" s="1050"/>
      <c r="B3" s="1051"/>
      <c r="C3" s="1051"/>
      <c r="D3" s="1051"/>
      <c r="E3" s="1059"/>
      <c r="F3" s="1060"/>
      <c r="G3"/>
      <c r="H3"/>
      <c r="I3"/>
      <c r="J3"/>
    </row>
    <row r="4" spans="1:20" ht="12.75" hidden="1" customHeight="1">
      <c r="A4" s="1050"/>
      <c r="B4" s="1051"/>
      <c r="C4" s="1051"/>
      <c r="D4" s="1051"/>
      <c r="E4" s="1059"/>
      <c r="F4" s="1060"/>
      <c r="G4"/>
      <c r="H4"/>
      <c r="I4"/>
      <c r="J4"/>
    </row>
    <row r="5" spans="1:20" ht="12.75" hidden="1" customHeight="1">
      <c r="A5" s="1050"/>
      <c r="B5" s="1051"/>
      <c r="C5" s="1051"/>
      <c r="D5" s="1051"/>
      <c r="E5" s="1054"/>
      <c r="F5" s="1055"/>
      <c r="G5"/>
      <c r="H5"/>
      <c r="I5"/>
      <c r="J5"/>
    </row>
    <row r="6" spans="1:20" ht="12.75" hidden="1" customHeight="1">
      <c r="A6" s="1050"/>
      <c r="B6" s="1051"/>
      <c r="C6" s="1051"/>
      <c r="D6" s="1051"/>
      <c r="E6" s="1056"/>
      <c r="F6" s="1057"/>
      <c r="G6"/>
      <c r="H6"/>
      <c r="I6"/>
      <c r="J6"/>
    </row>
    <row r="7" spans="1:20" ht="12.75" hidden="1" customHeight="1">
      <c r="A7" s="1050"/>
      <c r="B7" s="1051"/>
      <c r="C7" s="1051"/>
      <c r="D7" s="1051"/>
      <c r="E7" s="1048"/>
      <c r="F7" s="1048"/>
      <c r="G7"/>
      <c r="H7"/>
      <c r="I7"/>
      <c r="J7"/>
    </row>
    <row r="8" spans="1:20">
      <c r="A8" s="27" t="s">
        <v>405</v>
      </c>
      <c r="B8" s="84"/>
      <c r="C8" s="84"/>
      <c r="D8" s="84"/>
      <c r="E8" s="85"/>
      <c r="F8" s="87"/>
      <c r="G8"/>
      <c r="H8"/>
      <c r="I8"/>
      <c r="J8"/>
    </row>
    <row r="9" spans="1:20" hidden="1">
      <c r="A9" s="18"/>
      <c r="E9" s="86"/>
      <c r="F9" s="87"/>
      <c r="G9" s="233"/>
      <c r="H9"/>
      <c r="I9"/>
      <c r="J9"/>
      <c r="L9" s="234"/>
      <c r="N9" s="234"/>
      <c r="P9" s="234"/>
      <c r="R9" s="234"/>
      <c r="S9" s="234"/>
      <c r="T9" s="234"/>
    </row>
    <row r="10" spans="1:20" hidden="1">
      <c r="A10" s="1053"/>
      <c r="B10" s="1053"/>
      <c r="C10" s="1053"/>
      <c r="D10" s="1053"/>
      <c r="E10" s="1053"/>
      <c r="F10" s="1053"/>
      <c r="G10" s="233"/>
      <c r="H10"/>
      <c r="I10"/>
      <c r="J10"/>
      <c r="L10" s="234"/>
      <c r="N10" s="234"/>
      <c r="P10" s="234"/>
      <c r="R10" s="234"/>
      <c r="S10" s="234"/>
      <c r="T10" s="234"/>
    </row>
    <row r="11" spans="1:20" hidden="1">
      <c r="A11" s="1053"/>
      <c r="B11" s="1053"/>
      <c r="C11" s="1053"/>
      <c r="D11" s="1053"/>
      <c r="E11" s="1053"/>
      <c r="F11" s="1053"/>
      <c r="G11" s="233"/>
      <c r="H11"/>
      <c r="I11"/>
      <c r="J11"/>
      <c r="L11" s="234"/>
      <c r="N11" s="234"/>
      <c r="P11" s="234"/>
      <c r="R11" s="234"/>
      <c r="S11" s="234"/>
      <c r="T11" s="234"/>
    </row>
    <row r="12" spans="1:20" hidden="1">
      <c r="A12" s="1053"/>
      <c r="B12" s="1053"/>
      <c r="C12" s="1053"/>
      <c r="D12" s="1053"/>
      <c r="E12" s="1053"/>
      <c r="F12" s="1053"/>
      <c r="G12" s="233"/>
      <c r="H12"/>
      <c r="I12"/>
      <c r="J12"/>
      <c r="L12" s="234"/>
      <c r="N12" s="234"/>
      <c r="P12" s="234"/>
      <c r="R12" s="234"/>
      <c r="S12" s="234"/>
      <c r="T12" s="234"/>
    </row>
    <row r="13" spans="1:20" hidden="1">
      <c r="A13" s="1053"/>
      <c r="B13" s="1053"/>
      <c r="C13" s="1053"/>
      <c r="D13" s="1053"/>
      <c r="E13" s="1053"/>
      <c r="F13" s="1053"/>
      <c r="G13" s="233"/>
      <c r="H13"/>
      <c r="I13"/>
      <c r="J13"/>
      <c r="L13" s="234"/>
      <c r="N13" s="234"/>
      <c r="P13" s="234"/>
      <c r="R13" s="234"/>
      <c r="S13" s="234"/>
      <c r="T13" s="234"/>
    </row>
    <row r="14" spans="1:20" hidden="1">
      <c r="A14" s="1053"/>
      <c r="B14" s="1053"/>
      <c r="C14" s="1053"/>
      <c r="D14" s="1053"/>
      <c r="E14" s="1053"/>
      <c r="F14" s="1053"/>
      <c r="G14" s="233"/>
      <c r="H14"/>
      <c r="I14"/>
      <c r="J14"/>
      <c r="L14" s="234"/>
      <c r="N14" s="234"/>
      <c r="P14" s="234"/>
      <c r="R14" s="234"/>
      <c r="S14" s="234"/>
      <c r="T14" s="234"/>
    </row>
    <row r="15" spans="1:20" hidden="1">
      <c r="A15" s="1053"/>
      <c r="B15" s="1053"/>
      <c r="C15" s="1053"/>
      <c r="D15" s="1053"/>
      <c r="E15" s="1053"/>
      <c r="F15" s="1053"/>
      <c r="G15" s="233"/>
      <c r="H15"/>
      <c r="I15"/>
      <c r="J15"/>
      <c r="L15" s="234"/>
      <c r="N15" s="234"/>
      <c r="P15" s="234"/>
      <c r="R15" s="234"/>
      <c r="S15" s="234"/>
      <c r="T15" s="234"/>
    </row>
    <row r="16" spans="1:20" hidden="1">
      <c r="A16" s="27"/>
      <c r="B16" s="17"/>
      <c r="C16" s="17"/>
      <c r="D16" s="17"/>
      <c r="E16" s="19"/>
      <c r="F16" s="20"/>
      <c r="G16" s="233"/>
      <c r="H16"/>
      <c r="I16"/>
      <c r="J16"/>
      <c r="L16" s="234"/>
      <c r="N16" s="234"/>
      <c r="P16" s="234"/>
      <c r="R16" s="234"/>
      <c r="S16" s="234"/>
      <c r="T16" s="234"/>
    </row>
    <row r="17" spans="1:32" s="11" customFormat="1">
      <c r="A17" s="13" t="s">
        <v>712</v>
      </c>
      <c r="B17" s="13"/>
      <c r="C17" s="13"/>
      <c r="D17" s="13"/>
      <c r="F17" s="22"/>
      <c r="G17"/>
      <c r="H17"/>
      <c r="I17"/>
      <c r="J17"/>
    </row>
    <row r="18" spans="1:32" ht="12.75" customHeight="1">
      <c r="A18" s="1064" t="s">
        <v>3269</v>
      </c>
      <c r="B18" s="1064"/>
      <c r="C18" s="1064"/>
      <c r="D18" s="1064"/>
      <c r="E18" s="23"/>
      <c r="F18" s="24"/>
      <c r="G18"/>
      <c r="H18"/>
      <c r="I18"/>
      <c r="J18"/>
    </row>
    <row r="19" spans="1:32" ht="12.75" customHeight="1">
      <c r="A19" s="25"/>
      <c r="B19" s="25"/>
      <c r="C19" s="25"/>
      <c r="D19" s="25"/>
      <c r="E19" s="17"/>
      <c r="F19" s="26"/>
      <c r="G19" s="238"/>
      <c r="H19"/>
      <c r="I19"/>
      <c r="J19"/>
    </row>
    <row r="20" spans="1:32">
      <c r="A20" s="25"/>
      <c r="B20" s="25"/>
      <c r="C20" s="25"/>
      <c r="D20" s="25"/>
      <c r="E20" s="17"/>
      <c r="F20" s="26"/>
      <c r="G20" s="26"/>
      <c r="H20" s="160"/>
      <c r="I20" s="26"/>
      <c r="J20"/>
      <c r="L20" s="26"/>
      <c r="M20" s="26"/>
      <c r="N20" s="26"/>
      <c r="O20" s="26"/>
      <c r="P20" s="26"/>
      <c r="R20" s="26"/>
      <c r="T20" s="26"/>
      <c r="V20" s="26"/>
      <c r="X20" s="26"/>
      <c r="Z20" s="26"/>
      <c r="AA20" s="26"/>
      <c r="AB20" s="26"/>
      <c r="AC20" s="26"/>
      <c r="AD20" s="26"/>
      <c r="AF20" s="26"/>
    </row>
    <row r="21" spans="1:32" ht="50.25" customHeight="1">
      <c r="A21" s="29" t="s">
        <v>615</v>
      </c>
      <c r="B21" s="23"/>
      <c r="C21" s="23"/>
      <c r="D21" s="23"/>
      <c r="E21" s="23"/>
      <c r="F21" s="30">
        <v>1</v>
      </c>
      <c r="G21" s="442" t="s">
        <v>682</v>
      </c>
      <c r="H21" s="16"/>
      <c r="I21" s="442" t="s">
        <v>683</v>
      </c>
      <c r="J21" s="16"/>
      <c r="L21" s="443" t="s">
        <v>2726</v>
      </c>
      <c r="M21" s="100"/>
      <c r="N21" s="443" t="s">
        <v>145</v>
      </c>
      <c r="O21" s="100"/>
      <c r="P21" s="442" t="s">
        <v>696</v>
      </c>
      <c r="Q21" s="132"/>
      <c r="R21" s="443" t="s">
        <v>210</v>
      </c>
      <c r="S21" s="16"/>
      <c r="T21" s="442" t="s">
        <v>212</v>
      </c>
      <c r="U21" s="16"/>
      <c r="V21" s="442" t="s">
        <v>213</v>
      </c>
      <c r="W21" s="16"/>
      <c r="X21" s="443" t="s">
        <v>214</v>
      </c>
      <c r="Y21" s="438"/>
      <c r="Z21" s="443" t="s">
        <v>215</v>
      </c>
      <c r="AA21" s="76"/>
      <c r="AB21" s="442" t="s">
        <v>2758</v>
      </c>
      <c r="AC21" s="76"/>
      <c r="AD21" s="442"/>
      <c r="AF21" s="442" t="s">
        <v>591</v>
      </c>
    </row>
    <row r="22" spans="1:32">
      <c r="A22" s="17" t="s">
        <v>537</v>
      </c>
      <c r="B22" s="17"/>
      <c r="C22" s="17"/>
      <c r="D22" s="17"/>
      <c r="E22" s="17"/>
      <c r="F22" s="20">
        <v>2</v>
      </c>
      <c r="H22"/>
      <c r="J22"/>
      <c r="Q22" s="5"/>
      <c r="S22" s="5"/>
      <c r="U22"/>
      <c r="W22"/>
      <c r="Y22"/>
    </row>
    <row r="23" spans="1:32" ht="12">
      <c r="A23" s="17"/>
      <c r="B23" s="17" t="s">
        <v>2592</v>
      </c>
      <c r="C23" s="17"/>
      <c r="D23" s="17"/>
      <c r="E23" s="17"/>
      <c r="F23" s="30">
        <v>3</v>
      </c>
      <c r="G23" s="31">
        <v>34419164</v>
      </c>
      <c r="H23" s="219"/>
      <c r="I23" s="31">
        <v>8516200</v>
      </c>
      <c r="J23" s="219"/>
      <c r="L23" s="31">
        <v>88707163</v>
      </c>
      <c r="M23" s="5"/>
      <c r="N23" s="31">
        <v>3539252</v>
      </c>
      <c r="O23" s="5"/>
      <c r="P23" s="31">
        <v>21124170</v>
      </c>
      <c r="Q23" s="5"/>
      <c r="R23" s="31">
        <v>4942166</v>
      </c>
      <c r="S23" s="5"/>
      <c r="T23" s="31">
        <v>498249856</v>
      </c>
      <c r="U23" s="219"/>
      <c r="V23" s="31">
        <v>9759175</v>
      </c>
      <c r="W23" s="219"/>
      <c r="X23" s="31">
        <v>155456498</v>
      </c>
      <c r="Y23" s="219"/>
      <c r="Z23" s="31">
        <v>128579368</v>
      </c>
      <c r="AA23" s="5"/>
      <c r="AB23" s="31">
        <v>1003015</v>
      </c>
      <c r="AC23" s="5"/>
      <c r="AD23" s="31"/>
      <c r="AF23" s="31">
        <v>507124</v>
      </c>
    </row>
    <row r="24" spans="1:32" ht="12">
      <c r="A24" s="17"/>
      <c r="B24" s="17" t="s">
        <v>487</v>
      </c>
      <c r="C24" s="17"/>
      <c r="D24" s="17"/>
      <c r="E24" s="17"/>
      <c r="F24" s="30">
        <v>4</v>
      </c>
      <c r="G24" s="31"/>
      <c r="I24" s="31"/>
      <c r="L24" s="31"/>
      <c r="M24" s="5"/>
      <c r="N24" s="31"/>
      <c r="O24" s="5"/>
      <c r="P24" s="31"/>
      <c r="Q24" s="5"/>
      <c r="R24" s="31"/>
      <c r="S24" s="5"/>
      <c r="T24" s="31">
        <v>0</v>
      </c>
      <c r="V24" s="31"/>
      <c r="X24" s="31">
        <v>0</v>
      </c>
      <c r="Z24" s="31">
        <v>2000000</v>
      </c>
      <c r="AA24" s="5"/>
      <c r="AB24" s="31">
        <v>0</v>
      </c>
      <c r="AC24" s="5"/>
      <c r="AD24" s="31"/>
      <c r="AF24" s="31"/>
    </row>
    <row r="25" spans="1:32" ht="12">
      <c r="A25" s="17"/>
      <c r="B25" s="17" t="s">
        <v>9</v>
      </c>
      <c r="C25" s="17"/>
      <c r="D25" s="17"/>
      <c r="E25" s="17"/>
      <c r="F25" s="20">
        <v>5</v>
      </c>
      <c r="G25" s="31"/>
      <c r="I25" s="31"/>
      <c r="L25" s="31"/>
      <c r="M25" s="5"/>
      <c r="N25" s="31"/>
      <c r="O25" s="5"/>
      <c r="P25" s="31"/>
      <c r="Q25" s="5"/>
      <c r="R25" s="31"/>
      <c r="S25" s="5"/>
      <c r="T25" s="31">
        <v>49399321</v>
      </c>
      <c r="V25" s="31"/>
      <c r="X25" s="31">
        <v>15412839</v>
      </c>
      <c r="Z25" s="31">
        <v>12748089</v>
      </c>
      <c r="AA25" s="5"/>
      <c r="AB25" s="31">
        <v>99498</v>
      </c>
      <c r="AC25" s="5"/>
      <c r="AD25" s="31"/>
      <c r="AF25" s="31"/>
    </row>
    <row r="26" spans="1:32" ht="12">
      <c r="A26" s="17"/>
      <c r="B26" s="17" t="s">
        <v>88</v>
      </c>
      <c r="C26" s="17"/>
      <c r="D26" s="17"/>
      <c r="E26" s="17"/>
      <c r="F26" s="30">
        <v>6</v>
      </c>
      <c r="G26" s="31"/>
      <c r="I26" s="31"/>
      <c r="L26" s="31"/>
      <c r="M26" s="5"/>
      <c r="N26" s="31"/>
      <c r="O26" s="5"/>
      <c r="P26" s="31"/>
      <c r="Q26" s="5"/>
      <c r="R26" s="31"/>
      <c r="S26" s="5"/>
      <c r="T26" s="31"/>
      <c r="V26" s="31"/>
      <c r="X26" s="31"/>
      <c r="Z26" s="31"/>
      <c r="AA26" s="5"/>
      <c r="AB26" s="31"/>
      <c r="AC26" s="5"/>
      <c r="AD26" s="31"/>
      <c r="AF26" s="31"/>
    </row>
    <row r="27" spans="1:32" ht="12">
      <c r="A27" s="17"/>
      <c r="B27" s="17" t="s">
        <v>612</v>
      </c>
      <c r="C27" s="17"/>
      <c r="D27" s="17"/>
      <c r="E27" s="17"/>
      <c r="F27" s="30">
        <v>7</v>
      </c>
      <c r="G27" s="31"/>
      <c r="I27" s="31"/>
      <c r="L27" s="31"/>
      <c r="M27" s="5"/>
      <c r="N27" s="31"/>
      <c r="O27" s="5"/>
      <c r="P27" s="31"/>
      <c r="Q27" s="5"/>
      <c r="R27" s="31"/>
      <c r="S27" s="5"/>
      <c r="T27" s="31"/>
      <c r="V27" s="31"/>
      <c r="X27" s="31"/>
      <c r="Z27" s="31"/>
      <c r="AA27" s="5"/>
      <c r="AB27" s="31"/>
      <c r="AC27" s="5"/>
      <c r="AD27" s="31"/>
      <c r="AF27" s="31"/>
    </row>
    <row r="28" spans="1:32" ht="12">
      <c r="A28" s="17"/>
      <c r="B28" s="17"/>
      <c r="C28" s="33" t="s">
        <v>220</v>
      </c>
      <c r="D28" s="17"/>
      <c r="E28" s="17"/>
      <c r="F28" s="20">
        <v>8</v>
      </c>
      <c r="G28" s="34">
        <f>SUM(G23:G27)</f>
        <v>34419164</v>
      </c>
      <c r="I28" s="34">
        <f>SUM(I23:I27)</f>
        <v>8516200</v>
      </c>
      <c r="L28" s="34">
        <f>SUM(L23:L27)</f>
        <v>88707163</v>
      </c>
      <c r="M28" s="5"/>
      <c r="N28" s="34">
        <f>SUM(N23:N27)</f>
        <v>3539252</v>
      </c>
      <c r="O28" s="5"/>
      <c r="P28" s="34">
        <f>SUM(P23:P27)</f>
        <v>21124170</v>
      </c>
      <c r="Q28" s="5"/>
      <c r="R28" s="34">
        <f t="shared" ref="R28:AF28" si="0">SUM(R23:R27)</f>
        <v>4942166</v>
      </c>
      <c r="S28" s="5"/>
      <c r="T28" s="34">
        <f t="shared" si="0"/>
        <v>547649177</v>
      </c>
      <c r="U28" s="5"/>
      <c r="V28" s="34">
        <f t="shared" si="0"/>
        <v>9759175</v>
      </c>
      <c r="W28" s="5"/>
      <c r="X28" s="34">
        <f>SUM(X23:X27)</f>
        <v>170869337</v>
      </c>
      <c r="Y28" s="5"/>
      <c r="Z28" s="34">
        <f>SUM(Z23:Z27)</f>
        <v>143327457</v>
      </c>
      <c r="AA28" s="5"/>
      <c r="AB28" s="34">
        <f t="shared" ref="AB28" si="1">SUM(AB23:AB27)</f>
        <v>1102513</v>
      </c>
      <c r="AC28" s="5"/>
      <c r="AD28" s="34"/>
      <c r="AF28" s="34">
        <f t="shared" si="0"/>
        <v>507124</v>
      </c>
    </row>
    <row r="29" spans="1:32" ht="12">
      <c r="A29" s="17"/>
      <c r="B29" s="17"/>
      <c r="C29" s="17"/>
      <c r="D29" s="17"/>
      <c r="E29" s="17"/>
      <c r="F29" s="30">
        <v>9</v>
      </c>
      <c r="G29" s="5"/>
      <c r="I29" s="5"/>
      <c r="L29" s="5"/>
      <c r="M29" s="5"/>
      <c r="N29" s="5"/>
      <c r="O29" s="5"/>
      <c r="P29" s="5"/>
      <c r="Q29" s="5"/>
      <c r="R29" s="5"/>
      <c r="S29" s="5"/>
      <c r="T29" s="5"/>
      <c r="V29" s="5"/>
      <c r="X29" s="5"/>
      <c r="Z29" s="5"/>
      <c r="AA29" s="5"/>
      <c r="AB29" s="5"/>
      <c r="AC29" s="5"/>
      <c r="AD29" s="5"/>
      <c r="AF29" s="5"/>
    </row>
    <row r="30" spans="1:32" ht="12">
      <c r="A30" s="17"/>
      <c r="B30" s="17" t="s">
        <v>627</v>
      </c>
      <c r="C30" s="17"/>
      <c r="D30" s="17"/>
      <c r="E30" s="17"/>
      <c r="F30" s="30">
        <v>10</v>
      </c>
      <c r="G30" s="31"/>
      <c r="I30" s="31"/>
      <c r="L30" s="31"/>
      <c r="M30" s="5"/>
      <c r="N30" s="31"/>
      <c r="O30" s="5"/>
      <c r="P30" s="31"/>
      <c r="Q30" s="5"/>
      <c r="R30" s="31"/>
      <c r="S30" s="5"/>
      <c r="T30" s="31"/>
      <c r="V30" s="31"/>
      <c r="X30" s="31"/>
      <c r="Z30" s="31"/>
      <c r="AA30" s="5"/>
      <c r="AB30" s="31"/>
      <c r="AC30" s="5"/>
      <c r="AD30" s="31"/>
      <c r="AF30" s="31"/>
    </row>
    <row r="31" spans="1:32" ht="12">
      <c r="A31" s="17"/>
      <c r="B31" s="17" t="s">
        <v>628</v>
      </c>
      <c r="C31" s="17"/>
      <c r="D31" s="17"/>
      <c r="E31" s="17"/>
      <c r="F31" s="20">
        <v>11</v>
      </c>
      <c r="G31" s="31"/>
      <c r="I31" s="31"/>
      <c r="L31" s="31"/>
      <c r="M31" s="5"/>
      <c r="N31" s="31"/>
      <c r="O31" s="5"/>
      <c r="P31" s="31"/>
      <c r="Q31" s="5"/>
      <c r="R31" s="31"/>
      <c r="S31" s="5"/>
      <c r="T31" s="31"/>
      <c r="V31" s="31"/>
      <c r="X31" s="31"/>
      <c r="Z31" s="31"/>
      <c r="AA31" s="5"/>
      <c r="AB31" s="31"/>
      <c r="AC31" s="5"/>
      <c r="AD31" s="31"/>
      <c r="AF31" s="31"/>
    </row>
    <row r="32" spans="1:32" ht="12">
      <c r="A32" s="17"/>
      <c r="B32" s="17" t="s">
        <v>613</v>
      </c>
      <c r="C32" s="17"/>
      <c r="D32" s="17"/>
      <c r="E32" s="17"/>
      <c r="F32" s="30">
        <v>12</v>
      </c>
      <c r="G32" s="31"/>
      <c r="I32" s="31"/>
      <c r="L32" s="31"/>
      <c r="M32" s="5"/>
      <c r="N32" s="31"/>
      <c r="O32" s="5"/>
      <c r="P32" s="31"/>
      <c r="Q32" s="5"/>
      <c r="R32" s="31"/>
      <c r="S32" s="5"/>
      <c r="T32" s="31"/>
      <c r="V32" s="31"/>
      <c r="X32" s="31"/>
      <c r="Z32" s="31"/>
      <c r="AA32" s="5"/>
      <c r="AB32" s="31"/>
      <c r="AC32" s="5"/>
      <c r="AD32" s="31"/>
      <c r="AF32" s="31"/>
    </row>
    <row r="33" spans="1:32" ht="12">
      <c r="A33" s="17"/>
      <c r="B33" s="17"/>
      <c r="C33" s="33" t="s">
        <v>80</v>
      </c>
      <c r="D33" s="17"/>
      <c r="E33" s="17"/>
      <c r="F33" s="30">
        <v>13</v>
      </c>
      <c r="G33" s="34">
        <v>0</v>
      </c>
      <c r="I33" s="34">
        <f>SUM(I30:I32)</f>
        <v>0</v>
      </c>
      <c r="L33" s="34">
        <f>SUM(L30:L32)</f>
        <v>0</v>
      </c>
      <c r="M33" s="5"/>
      <c r="N33" s="34">
        <f>SUM(N30:N32)</f>
        <v>0</v>
      </c>
      <c r="O33" s="5"/>
      <c r="P33" s="34">
        <f>SUM(P30:P32)</f>
        <v>0</v>
      </c>
      <c r="Q33" s="5"/>
      <c r="R33" s="34">
        <f t="shared" ref="R33:AF33" si="2">SUM(R30:R32)</f>
        <v>0</v>
      </c>
      <c r="S33" s="5"/>
      <c r="T33" s="34">
        <f t="shared" si="2"/>
        <v>0</v>
      </c>
      <c r="U33" s="5"/>
      <c r="V33" s="34">
        <f t="shared" si="2"/>
        <v>0</v>
      </c>
      <c r="W33" s="5"/>
      <c r="X33" s="34">
        <v>0</v>
      </c>
      <c r="Y33" s="5"/>
      <c r="Z33" s="34">
        <v>0</v>
      </c>
      <c r="AA33" s="5"/>
      <c r="AB33" s="34">
        <f t="shared" ref="AB33" si="3">SUM(AB30:AB32)</f>
        <v>0</v>
      </c>
      <c r="AC33" s="5"/>
      <c r="AD33" s="34"/>
      <c r="AF33" s="34">
        <f t="shared" si="2"/>
        <v>0</v>
      </c>
    </row>
    <row r="34" spans="1:32" ht="12">
      <c r="A34" s="17"/>
      <c r="B34" s="17"/>
      <c r="C34" s="17"/>
      <c r="D34" s="17"/>
      <c r="E34" s="17"/>
      <c r="F34" s="20">
        <v>14</v>
      </c>
      <c r="G34" s="5"/>
      <c r="I34" s="5"/>
      <c r="L34" s="5"/>
      <c r="M34" s="5"/>
      <c r="N34" s="5"/>
      <c r="O34" s="5"/>
      <c r="P34" s="5"/>
      <c r="Q34" s="5"/>
      <c r="R34" s="5"/>
      <c r="S34" s="5"/>
      <c r="T34" s="5"/>
      <c r="V34" s="5"/>
      <c r="X34" s="5"/>
      <c r="Z34" s="5"/>
      <c r="AA34" s="5"/>
      <c r="AB34" s="5"/>
      <c r="AC34" s="5"/>
      <c r="AD34" s="5"/>
      <c r="AF34" s="5"/>
    </row>
    <row r="35" spans="1:32" ht="12">
      <c r="A35" s="17"/>
      <c r="B35" s="17" t="s">
        <v>325</v>
      </c>
      <c r="C35" s="17"/>
      <c r="D35" s="17"/>
      <c r="E35" s="17"/>
      <c r="F35" s="30">
        <v>15</v>
      </c>
      <c r="G35" s="31">
        <v>392574</v>
      </c>
      <c r="I35" s="31">
        <v>1395601</v>
      </c>
      <c r="L35" s="31">
        <v>2669207</v>
      </c>
      <c r="M35" s="5"/>
      <c r="N35" s="31"/>
      <c r="O35" s="5"/>
      <c r="P35" s="31"/>
      <c r="Q35" s="5"/>
      <c r="R35" s="31">
        <v>1807074</v>
      </c>
      <c r="S35" s="5"/>
      <c r="T35" s="31">
        <v>33048376</v>
      </c>
      <c r="V35" s="237">
        <v>4522065</v>
      </c>
      <c r="X35" s="31">
        <v>1914</v>
      </c>
      <c r="Z35" s="31"/>
      <c r="AA35" s="5"/>
      <c r="AB35" s="31">
        <v>84698</v>
      </c>
      <c r="AC35" s="5"/>
      <c r="AD35" s="31"/>
      <c r="AF35" s="31"/>
    </row>
    <row r="36" spans="1:32" ht="12">
      <c r="A36" s="17"/>
      <c r="B36" s="17" t="s">
        <v>324</v>
      </c>
      <c r="C36" s="17"/>
      <c r="D36" s="17"/>
      <c r="E36" s="17"/>
      <c r="F36" s="30">
        <v>16</v>
      </c>
      <c r="G36" s="31"/>
      <c r="I36" s="31"/>
      <c r="L36" s="31"/>
      <c r="M36" s="5"/>
      <c r="N36" s="31"/>
      <c r="O36" s="5"/>
      <c r="P36" s="31"/>
      <c r="Q36" s="5"/>
      <c r="R36" s="31"/>
      <c r="S36" s="5"/>
      <c r="T36" s="31"/>
      <c r="V36" s="31"/>
      <c r="X36" s="31"/>
      <c r="Z36" s="31"/>
      <c r="AA36" s="5"/>
      <c r="AB36" s="31"/>
      <c r="AC36" s="5"/>
      <c r="AD36" s="31"/>
      <c r="AF36" s="31"/>
    </row>
    <row r="37" spans="1:32" ht="12">
      <c r="A37" s="17"/>
      <c r="B37" s="17" t="s">
        <v>543</v>
      </c>
      <c r="C37" s="17"/>
      <c r="D37" s="17"/>
      <c r="E37" s="17"/>
      <c r="F37" s="20">
        <v>17</v>
      </c>
      <c r="G37" s="31"/>
      <c r="I37" s="31"/>
      <c r="L37" s="31"/>
      <c r="M37" s="5"/>
      <c r="N37" s="31"/>
      <c r="O37" s="5"/>
      <c r="P37" s="31"/>
      <c r="Q37" s="5"/>
      <c r="R37" s="31"/>
      <c r="S37" s="5"/>
      <c r="T37" s="31"/>
      <c r="V37" s="31"/>
      <c r="X37" s="31"/>
      <c r="Z37" s="31"/>
      <c r="AA37" s="5"/>
      <c r="AB37" s="31"/>
      <c r="AC37" s="5"/>
      <c r="AD37" s="31"/>
      <c r="AF37" s="31"/>
    </row>
    <row r="38" spans="1:32" ht="12">
      <c r="A38" s="17"/>
      <c r="B38" s="17" t="s">
        <v>610</v>
      </c>
      <c r="C38" s="17"/>
      <c r="D38" s="17"/>
      <c r="E38" s="17"/>
      <c r="F38" s="30">
        <v>18</v>
      </c>
      <c r="G38" s="31"/>
      <c r="I38" s="31"/>
      <c r="L38" s="31"/>
      <c r="M38" s="5"/>
      <c r="N38" s="31"/>
      <c r="O38" s="5"/>
      <c r="P38" s="31"/>
      <c r="Q38" s="5"/>
      <c r="R38" s="31"/>
      <c r="S38" s="5"/>
      <c r="T38" s="31"/>
      <c r="V38" s="31"/>
      <c r="X38" s="31"/>
      <c r="Z38" s="31"/>
      <c r="AA38" s="5"/>
      <c r="AB38" s="31"/>
      <c r="AC38" s="5"/>
      <c r="AD38" s="31"/>
      <c r="AF38" s="31"/>
    </row>
    <row r="39" spans="1:32" ht="12">
      <c r="A39" s="17"/>
      <c r="B39" s="17" t="s">
        <v>611</v>
      </c>
      <c r="C39" s="17"/>
      <c r="D39" s="17"/>
      <c r="E39" s="17"/>
      <c r="F39" s="30">
        <v>19</v>
      </c>
      <c r="G39" s="31"/>
      <c r="I39" s="31"/>
      <c r="L39" s="31"/>
      <c r="M39" s="5"/>
      <c r="N39" s="31"/>
      <c r="O39" s="5"/>
      <c r="P39" s="31"/>
      <c r="Q39" s="5"/>
      <c r="R39" s="237"/>
      <c r="S39" s="5"/>
      <c r="T39" s="31"/>
      <c r="V39" s="31"/>
      <c r="X39" s="31"/>
      <c r="Z39" s="31"/>
      <c r="AA39" s="5"/>
      <c r="AB39" s="31"/>
      <c r="AC39" s="5"/>
      <c r="AD39" s="31"/>
      <c r="AF39" s="31"/>
    </row>
    <row r="40" spans="1:32" ht="12">
      <c r="A40" s="17"/>
      <c r="B40" s="17"/>
      <c r="C40" s="33" t="s">
        <v>221</v>
      </c>
      <c r="D40" s="17"/>
      <c r="E40" s="17"/>
      <c r="F40" s="20">
        <v>20</v>
      </c>
      <c r="G40" s="34">
        <f>SUM(G35:G39)</f>
        <v>392574</v>
      </c>
      <c r="I40" s="34">
        <f>SUM(I35:I39)</f>
        <v>1395601</v>
      </c>
      <c r="L40" s="34">
        <f>SUM(L35:L39)</f>
        <v>2669207</v>
      </c>
      <c r="M40" s="5"/>
      <c r="N40" s="34">
        <f>SUM(N35:N39)</f>
        <v>0</v>
      </c>
      <c r="O40" s="5"/>
      <c r="P40" s="34">
        <f>SUM(P35:P39)</f>
        <v>0</v>
      </c>
      <c r="Q40" s="5"/>
      <c r="R40" s="34">
        <f t="shared" ref="R40:AF40" si="4">SUM(R35:R39)</f>
        <v>1807074</v>
      </c>
      <c r="S40" s="5"/>
      <c r="T40" s="34">
        <f t="shared" si="4"/>
        <v>33048376</v>
      </c>
      <c r="U40" s="5"/>
      <c r="V40" s="34">
        <f t="shared" si="4"/>
        <v>4522065</v>
      </c>
      <c r="W40" s="5"/>
      <c r="X40" s="34">
        <f>SUM(X35:X39)</f>
        <v>1914</v>
      </c>
      <c r="Y40" s="5"/>
      <c r="Z40" s="34">
        <f>SUM(Z35:Z39)</f>
        <v>0</v>
      </c>
      <c r="AA40" s="5"/>
      <c r="AB40" s="34">
        <f t="shared" ref="AB40" si="5">SUM(AB35:AB39)</f>
        <v>84698</v>
      </c>
      <c r="AC40" s="5"/>
      <c r="AD40" s="34"/>
      <c r="AF40" s="34">
        <f t="shared" si="4"/>
        <v>0</v>
      </c>
    </row>
    <row r="41" spans="1:32" ht="12">
      <c r="A41" s="17"/>
      <c r="B41" s="17"/>
      <c r="C41" s="17"/>
      <c r="D41" s="17"/>
      <c r="E41" s="17"/>
      <c r="F41" s="30">
        <v>21</v>
      </c>
      <c r="G41" s="5"/>
      <c r="I41" s="5"/>
      <c r="L41" s="5"/>
      <c r="M41" s="5"/>
      <c r="N41" s="5"/>
      <c r="O41" s="5"/>
      <c r="P41" s="5"/>
      <c r="Q41" s="5"/>
      <c r="R41" s="5"/>
      <c r="S41" s="5"/>
      <c r="T41" s="5"/>
      <c r="V41" s="5"/>
      <c r="X41" s="5"/>
      <c r="Z41" s="5"/>
      <c r="AA41" s="5"/>
      <c r="AB41" s="5"/>
      <c r="AC41" s="5"/>
      <c r="AD41" s="5"/>
      <c r="AF41" s="5"/>
    </row>
    <row r="42" spans="1:32" ht="12">
      <c r="A42" s="17"/>
      <c r="B42" s="17" t="s">
        <v>488</v>
      </c>
      <c r="C42" s="17"/>
      <c r="D42" s="17"/>
      <c r="E42" s="17"/>
      <c r="F42" s="30">
        <v>22</v>
      </c>
      <c r="G42" s="237">
        <v>529932</v>
      </c>
      <c r="I42" s="237">
        <v>121448</v>
      </c>
      <c r="L42" s="31"/>
      <c r="M42" s="5"/>
      <c r="N42" s="31"/>
      <c r="O42" s="5"/>
      <c r="P42" s="31"/>
      <c r="Q42" s="5"/>
      <c r="R42" s="31"/>
      <c r="S42" s="5"/>
      <c r="T42" s="31"/>
      <c r="V42" s="237">
        <v>124822</v>
      </c>
      <c r="X42" s="237"/>
      <c r="Z42" s="237"/>
      <c r="AA42" s="5"/>
      <c r="AB42" s="31"/>
      <c r="AC42" s="5"/>
      <c r="AD42" s="31"/>
      <c r="AF42" s="31"/>
    </row>
    <row r="43" spans="1:32" ht="12">
      <c r="A43" s="17"/>
      <c r="B43" s="17" t="s">
        <v>322</v>
      </c>
      <c r="C43" s="17"/>
      <c r="D43" s="17"/>
      <c r="E43" s="17"/>
      <c r="F43" s="20">
        <v>23</v>
      </c>
      <c r="G43" s="31">
        <v>1327091</v>
      </c>
      <c r="I43" s="237">
        <v>7717835</v>
      </c>
      <c r="L43" s="31">
        <v>63526886</v>
      </c>
      <c r="M43" s="5"/>
      <c r="N43" s="31">
        <v>501386</v>
      </c>
      <c r="O43" s="5"/>
      <c r="P43" s="31"/>
      <c r="Q43" s="5"/>
      <c r="R43" s="31">
        <v>5737245</v>
      </c>
      <c r="S43" s="5"/>
      <c r="T43" s="31">
        <v>33851619</v>
      </c>
      <c r="V43" s="31">
        <v>2039820</v>
      </c>
      <c r="X43" s="31">
        <v>1285</v>
      </c>
      <c r="Z43" s="31"/>
      <c r="AA43" s="5"/>
      <c r="AB43" s="31">
        <v>34917</v>
      </c>
      <c r="AC43" s="5"/>
      <c r="AD43" s="31"/>
      <c r="AF43" s="31"/>
    </row>
    <row r="44" spans="1:32" ht="12">
      <c r="A44" s="17"/>
      <c r="B44" s="17"/>
      <c r="C44" s="33" t="s">
        <v>323</v>
      </c>
      <c r="D44" s="17"/>
      <c r="E44" s="17"/>
      <c r="F44" s="30">
        <v>24</v>
      </c>
      <c r="G44" s="34">
        <f>SUM(G42:G43)</f>
        <v>1857023</v>
      </c>
      <c r="I44" s="34">
        <f>SUM(I42:I43)</f>
        <v>7839283</v>
      </c>
      <c r="L44" s="34">
        <f>SUM(L42:L43)</f>
        <v>63526886</v>
      </c>
      <c r="M44" s="5"/>
      <c r="N44" s="34">
        <f>SUM(N42:N43)</f>
        <v>501386</v>
      </c>
      <c r="O44" s="5"/>
      <c r="P44" s="34">
        <f>SUM(P42:P43)</f>
        <v>0</v>
      </c>
      <c r="Q44" s="5"/>
      <c r="R44" s="34">
        <f t="shared" ref="R44:AF44" si="6">SUM(R42:R43)</f>
        <v>5737245</v>
      </c>
      <c r="S44" s="5"/>
      <c r="T44" s="34">
        <f t="shared" si="6"/>
        <v>33851619</v>
      </c>
      <c r="U44" s="5"/>
      <c r="V44" s="34">
        <f>SUM(V42:V43)</f>
        <v>2164642</v>
      </c>
      <c r="W44" s="5"/>
      <c r="X44" s="34">
        <f>SUM(X42:X43)</f>
        <v>1285</v>
      </c>
      <c r="Y44" s="5"/>
      <c r="Z44" s="34">
        <f>SUM(Z42:Z43)</f>
        <v>0</v>
      </c>
      <c r="AA44" s="5"/>
      <c r="AB44" s="34">
        <f t="shared" ref="AB44" si="7">SUM(AB42:AB43)</f>
        <v>34917</v>
      </c>
      <c r="AC44" s="5"/>
      <c r="AD44" s="34"/>
      <c r="AF44" s="34">
        <f t="shared" si="6"/>
        <v>0</v>
      </c>
    </row>
    <row r="45" spans="1:32" ht="12">
      <c r="A45" s="17"/>
      <c r="B45" s="17"/>
      <c r="C45" s="17"/>
      <c r="D45" s="17"/>
      <c r="E45" s="17"/>
      <c r="F45" s="30">
        <v>25</v>
      </c>
      <c r="G45" s="5"/>
      <c r="I45" s="5"/>
      <c r="L45" s="5"/>
      <c r="M45" s="5"/>
      <c r="N45" s="5"/>
      <c r="O45" s="5"/>
      <c r="P45" s="5"/>
      <c r="Q45" s="5"/>
      <c r="R45" s="5"/>
      <c r="S45" s="5"/>
      <c r="T45" s="5"/>
      <c r="V45" s="5"/>
      <c r="X45" s="5"/>
      <c r="Z45" s="5"/>
      <c r="AA45" s="5"/>
      <c r="AB45" s="5"/>
      <c r="AC45" s="5"/>
      <c r="AD45" s="5"/>
      <c r="AF45" s="5"/>
    </row>
    <row r="46" spans="1:32" ht="12">
      <c r="A46" s="17"/>
      <c r="B46" s="33" t="s">
        <v>489</v>
      </c>
      <c r="C46" s="17"/>
      <c r="D46" s="17"/>
      <c r="E46" s="17"/>
      <c r="F46" s="20">
        <v>26</v>
      </c>
      <c r="G46" s="31"/>
      <c r="I46" s="31"/>
      <c r="L46" s="31"/>
      <c r="M46" s="5"/>
      <c r="N46" s="31"/>
      <c r="O46" s="5"/>
      <c r="P46" s="31"/>
      <c r="Q46" s="5"/>
      <c r="R46" s="31"/>
      <c r="S46" s="5"/>
      <c r="T46" s="31"/>
      <c r="V46" s="31"/>
      <c r="X46" s="31"/>
      <c r="Z46" s="31"/>
      <c r="AA46" s="5"/>
      <c r="AB46" s="31"/>
      <c r="AC46" s="5"/>
      <c r="AD46" s="31"/>
      <c r="AF46" s="31"/>
    </row>
    <row r="47" spans="1:32" ht="12">
      <c r="A47" s="17"/>
      <c r="B47" s="33" t="s">
        <v>490</v>
      </c>
      <c r="C47" s="17"/>
      <c r="D47" s="17"/>
      <c r="E47" s="17"/>
      <c r="F47" s="30">
        <v>27</v>
      </c>
      <c r="G47" s="31">
        <v>180987</v>
      </c>
      <c r="I47" s="31">
        <v>5999837</v>
      </c>
      <c r="L47" s="31"/>
      <c r="M47" s="5"/>
      <c r="N47" s="31"/>
      <c r="O47" s="5"/>
      <c r="P47" s="31"/>
      <c r="Q47" s="5"/>
      <c r="R47" s="31">
        <v>16568325</v>
      </c>
      <c r="S47" s="5"/>
      <c r="T47" s="31"/>
      <c r="V47" s="31">
        <v>35963</v>
      </c>
      <c r="X47" s="31"/>
      <c r="Z47" s="31"/>
      <c r="AA47" s="5"/>
      <c r="AB47" s="31"/>
      <c r="AC47" s="5"/>
      <c r="AD47" s="31"/>
      <c r="AF47" s="31"/>
    </row>
    <row r="48" spans="1:32" ht="12">
      <c r="A48" s="17"/>
      <c r="B48" s="33" t="s">
        <v>491</v>
      </c>
      <c r="C48" s="17"/>
      <c r="D48" s="17"/>
      <c r="E48" s="17"/>
      <c r="F48" s="30">
        <v>28</v>
      </c>
      <c r="G48" s="31">
        <v>0</v>
      </c>
      <c r="I48" s="31"/>
      <c r="L48" s="31">
        <v>13927931</v>
      </c>
      <c r="M48" s="5"/>
      <c r="N48" s="31"/>
      <c r="O48" s="5"/>
      <c r="P48" s="31">
        <v>7328</v>
      </c>
      <c r="Q48" s="5"/>
      <c r="R48" s="31"/>
      <c r="S48" s="5"/>
      <c r="T48" s="31"/>
      <c r="V48" s="31"/>
      <c r="X48" s="31">
        <v>43389</v>
      </c>
      <c r="Z48" s="31"/>
      <c r="AA48" s="5"/>
      <c r="AB48" s="31"/>
      <c r="AC48" s="5"/>
      <c r="AD48" s="31"/>
      <c r="AF48" s="31">
        <v>131591</v>
      </c>
    </row>
    <row r="49" spans="1:32" ht="12">
      <c r="A49" s="17"/>
      <c r="B49" s="17"/>
      <c r="C49" s="17"/>
      <c r="D49" s="17"/>
      <c r="E49" s="17"/>
      <c r="F49" s="20">
        <v>29</v>
      </c>
      <c r="G49" s="5"/>
      <c r="I49" s="5"/>
      <c r="L49" s="5"/>
      <c r="M49" s="5"/>
      <c r="N49" s="5"/>
      <c r="O49" s="5"/>
      <c r="P49" s="5"/>
      <c r="Q49" s="5"/>
      <c r="R49" s="5"/>
      <c r="S49" s="5"/>
      <c r="T49" s="5"/>
      <c r="V49" s="5"/>
      <c r="X49" s="5"/>
      <c r="Z49" s="5"/>
      <c r="AA49" s="5"/>
      <c r="AB49" s="5"/>
      <c r="AC49" s="5"/>
      <c r="AD49" s="5"/>
      <c r="AF49" s="5"/>
    </row>
    <row r="50" spans="1:32" ht="9.75" customHeight="1">
      <c r="A50" s="17"/>
      <c r="B50" s="17" t="s">
        <v>492</v>
      </c>
      <c r="C50" s="33"/>
      <c r="D50" s="17"/>
      <c r="E50" s="17"/>
      <c r="F50" s="30">
        <v>30</v>
      </c>
      <c r="G50" s="31"/>
      <c r="I50" s="31">
        <v>300</v>
      </c>
      <c r="L50" s="31"/>
      <c r="M50" s="5"/>
      <c r="N50" s="31"/>
      <c r="O50" s="5"/>
      <c r="P50" s="31"/>
      <c r="Q50" s="5"/>
      <c r="R50" s="31"/>
      <c r="S50" s="5"/>
      <c r="T50" s="31"/>
      <c r="V50" s="31"/>
      <c r="X50" s="31"/>
      <c r="Z50" s="31"/>
      <c r="AA50" s="5"/>
      <c r="AB50" s="31"/>
      <c r="AC50" s="5"/>
      <c r="AD50" s="31"/>
      <c r="AF50" s="31"/>
    </row>
    <row r="51" spans="1:32" ht="12">
      <c r="A51" s="17"/>
      <c r="B51" s="17" t="s">
        <v>629</v>
      </c>
      <c r="C51" s="33"/>
      <c r="D51" s="17"/>
      <c r="E51" s="17"/>
      <c r="F51" s="30">
        <v>31</v>
      </c>
      <c r="G51" s="31"/>
      <c r="I51" s="31"/>
      <c r="L51" s="31"/>
      <c r="M51" s="5"/>
      <c r="N51" s="31"/>
      <c r="O51" s="5"/>
      <c r="P51" s="31"/>
      <c r="Q51" s="5"/>
      <c r="R51" s="31"/>
      <c r="S51" s="5"/>
      <c r="T51" s="31"/>
      <c r="V51" s="31"/>
      <c r="X51" s="31"/>
      <c r="Z51" s="31"/>
      <c r="AA51" s="5"/>
      <c r="AB51" s="31"/>
      <c r="AC51" s="5"/>
      <c r="AD51" s="31"/>
      <c r="AF51" s="31"/>
    </row>
    <row r="52" spans="1:32" ht="12">
      <c r="A52" s="17"/>
      <c r="B52" s="17" t="s">
        <v>46</v>
      </c>
      <c r="C52" s="17"/>
      <c r="D52" s="17"/>
      <c r="E52" s="17"/>
      <c r="F52" s="20">
        <v>32</v>
      </c>
      <c r="G52" s="31"/>
      <c r="I52" s="31"/>
      <c r="L52" s="31"/>
      <c r="M52" s="5"/>
      <c r="N52" s="31"/>
      <c r="O52" s="5"/>
      <c r="P52" s="31"/>
      <c r="Q52" s="5"/>
      <c r="R52" s="31"/>
      <c r="S52" s="5"/>
      <c r="T52" s="31"/>
      <c r="V52" s="31"/>
      <c r="X52" s="31"/>
      <c r="Z52" s="31"/>
      <c r="AA52" s="5"/>
      <c r="AB52" s="31"/>
      <c r="AC52" s="5"/>
      <c r="AD52" s="31"/>
      <c r="AF52" s="31"/>
    </row>
    <row r="53" spans="1:32" ht="12">
      <c r="A53" s="17"/>
      <c r="B53" s="17" t="s">
        <v>493</v>
      </c>
      <c r="C53" s="17"/>
      <c r="D53" s="17"/>
      <c r="E53" s="17"/>
      <c r="F53" s="30">
        <v>33</v>
      </c>
      <c r="G53" s="31"/>
      <c r="I53" s="31"/>
      <c r="L53" s="31"/>
      <c r="M53" s="5"/>
      <c r="N53" s="31"/>
      <c r="O53" s="5"/>
      <c r="P53" s="31"/>
      <c r="Q53" s="5"/>
      <c r="R53" s="237">
        <v>210</v>
      </c>
      <c r="S53" s="5"/>
      <c r="T53" s="31"/>
      <c r="V53" s="31"/>
      <c r="X53" s="31"/>
      <c r="Z53" s="31"/>
      <c r="AA53" s="5"/>
      <c r="AB53" s="31"/>
      <c r="AC53" s="5"/>
      <c r="AD53" s="31"/>
      <c r="AF53" s="31"/>
    </row>
    <row r="54" spans="1:32" ht="12">
      <c r="A54" s="17"/>
      <c r="B54" s="17"/>
      <c r="C54" s="33" t="s">
        <v>225</v>
      </c>
      <c r="D54" s="17"/>
      <c r="E54" s="17"/>
      <c r="F54" s="30">
        <v>34</v>
      </c>
      <c r="G54" s="34">
        <f>SUM(G50:G53)</f>
        <v>0</v>
      </c>
      <c r="I54" s="34">
        <f>SUM(I50:I53)</f>
        <v>300</v>
      </c>
      <c r="L54" s="34">
        <f>SUM(L50:L53)</f>
        <v>0</v>
      </c>
      <c r="M54" s="5"/>
      <c r="N54" s="34">
        <f>SUM(N50:N53)</f>
        <v>0</v>
      </c>
      <c r="O54" s="5"/>
      <c r="P54" s="34">
        <f>SUM(P50:P53)</f>
        <v>0</v>
      </c>
      <c r="Q54" s="5"/>
      <c r="R54" s="34">
        <f t="shared" ref="R54:AF54" si="8">SUM(R50:R53)</f>
        <v>210</v>
      </c>
      <c r="S54" s="5"/>
      <c r="T54" s="34">
        <f t="shared" si="8"/>
        <v>0</v>
      </c>
      <c r="U54" s="5"/>
      <c r="V54" s="34">
        <f t="shared" si="8"/>
        <v>0</v>
      </c>
      <c r="W54" s="5"/>
      <c r="X54" s="34">
        <f>SUM(X50:X53)</f>
        <v>0</v>
      </c>
      <c r="Y54" s="5"/>
      <c r="Z54" s="34">
        <f>SUM(Z50:Z53)</f>
        <v>0</v>
      </c>
      <c r="AA54" s="5"/>
      <c r="AB54" s="34">
        <f t="shared" ref="AB54" si="9">SUM(AB50:AB53)</f>
        <v>0</v>
      </c>
      <c r="AC54" s="5"/>
      <c r="AD54" s="34"/>
      <c r="AF54" s="34">
        <f t="shared" si="8"/>
        <v>0</v>
      </c>
    </row>
    <row r="55" spans="1:32" ht="12">
      <c r="A55" s="17"/>
      <c r="B55" s="17"/>
      <c r="C55" s="33"/>
      <c r="D55" s="17"/>
      <c r="E55" s="17"/>
      <c r="F55" s="20">
        <v>35</v>
      </c>
      <c r="G55" s="5"/>
      <c r="I55" s="5"/>
      <c r="L55" s="5"/>
      <c r="M55" s="5"/>
      <c r="N55" s="5"/>
      <c r="O55" s="5"/>
      <c r="P55" s="5"/>
      <c r="Q55" s="5"/>
      <c r="R55" s="5"/>
      <c r="S55" s="5"/>
      <c r="T55" s="5"/>
      <c r="V55" s="5"/>
      <c r="X55" s="5"/>
      <c r="Z55" s="5"/>
      <c r="AA55" s="5"/>
      <c r="AB55" s="5"/>
      <c r="AC55" s="5"/>
      <c r="AD55" s="5"/>
      <c r="AF55" s="5"/>
    </row>
    <row r="56" spans="1:32" ht="12">
      <c r="A56" s="17"/>
      <c r="B56" s="17"/>
      <c r="C56" s="17"/>
      <c r="D56" s="33" t="s">
        <v>47</v>
      </c>
      <c r="E56" s="17"/>
      <c r="F56" s="30">
        <v>36</v>
      </c>
      <c r="G56" s="34">
        <f>G54+G48+G47+G46+G44+G40+G33+G28</f>
        <v>36849748</v>
      </c>
      <c r="I56" s="34">
        <f>I54+I48+I47+I46+I44+I40+I33+I28</f>
        <v>23751221</v>
      </c>
      <c r="L56" s="34">
        <f>L54+L48+L47+L46+L44+L40+L33+L28</f>
        <v>168831187</v>
      </c>
      <c r="M56" s="5"/>
      <c r="N56" s="34">
        <f>N54+N48+N47+N46+N44+N40+N33+N28</f>
        <v>4040638</v>
      </c>
      <c r="O56" s="5"/>
      <c r="P56" s="34">
        <f>P54+P48+P47+P46+P44+P40+P33+P28</f>
        <v>21131498</v>
      </c>
      <c r="Q56" s="5"/>
      <c r="R56" s="34">
        <f t="shared" ref="R56:V56" si="10">R54+R48+R47+R46+R44+R40+R33+R28</f>
        <v>29055020</v>
      </c>
      <c r="S56" s="5"/>
      <c r="T56" s="34">
        <f t="shared" si="10"/>
        <v>614549172</v>
      </c>
      <c r="U56" s="5"/>
      <c r="V56" s="34">
        <f t="shared" si="10"/>
        <v>16481845</v>
      </c>
      <c r="W56" s="5"/>
      <c r="X56" s="34">
        <f>X54+X48+X47+X46+X44+X40+X33+X28</f>
        <v>170915925</v>
      </c>
      <c r="Y56" s="5"/>
      <c r="Z56" s="34">
        <f>Z54+Z48+Z47+Z46+Z44+Z40+Z33+Z28</f>
        <v>143327457</v>
      </c>
      <c r="AA56" s="5"/>
      <c r="AB56" s="34">
        <f>AB54+AB48+AB47+AB46+AB44+AB40+AB33+AB28</f>
        <v>1222128</v>
      </c>
      <c r="AC56" s="5"/>
      <c r="AD56" s="34"/>
      <c r="AF56" s="34">
        <f>AF54+AF48+AF47+AF46+AF44+AF40+AF33+AF28</f>
        <v>638715</v>
      </c>
    </row>
    <row r="57" spans="1:32" ht="12">
      <c r="A57" s="17"/>
      <c r="B57" s="17"/>
      <c r="C57" s="17"/>
      <c r="D57" s="17"/>
      <c r="E57" s="17"/>
      <c r="F57" s="30">
        <v>37</v>
      </c>
      <c r="G57" s="5"/>
      <c r="I57" s="5"/>
      <c r="L57" s="5"/>
      <c r="M57" s="5"/>
      <c r="N57" s="5"/>
      <c r="O57" s="5"/>
      <c r="P57" s="5"/>
      <c r="Q57" s="5"/>
      <c r="R57" s="5"/>
      <c r="S57" s="5"/>
      <c r="T57" s="5"/>
      <c r="V57" s="5"/>
      <c r="X57" s="5"/>
      <c r="Z57" s="5"/>
      <c r="AA57" s="5"/>
      <c r="AB57" s="5"/>
      <c r="AC57" s="5"/>
      <c r="AD57" s="5"/>
      <c r="AF57" s="5"/>
    </row>
    <row r="58" spans="1:32" ht="12">
      <c r="A58" s="17" t="s">
        <v>538</v>
      </c>
      <c r="B58" s="17"/>
      <c r="C58" s="17"/>
      <c r="D58" s="17"/>
      <c r="E58" s="17"/>
      <c r="F58" s="20">
        <v>38</v>
      </c>
      <c r="G58" s="5"/>
      <c r="I58" s="5"/>
      <c r="L58" s="5"/>
      <c r="M58" s="5"/>
      <c r="N58" s="5"/>
      <c r="O58" s="5"/>
      <c r="P58" s="5"/>
      <c r="Q58" s="5"/>
      <c r="R58" s="5"/>
      <c r="S58" s="5"/>
      <c r="T58" s="5"/>
      <c r="V58" s="5"/>
      <c r="X58" s="5"/>
      <c r="Z58" s="5"/>
      <c r="AA58" s="5"/>
      <c r="AB58" s="5"/>
      <c r="AC58" s="5"/>
      <c r="AD58" s="5"/>
      <c r="AF58" s="5"/>
    </row>
    <row r="59" spans="1:32" ht="12" hidden="1">
      <c r="A59" s="17"/>
      <c r="B59" s="17" t="s">
        <v>627</v>
      </c>
      <c r="C59" s="17"/>
      <c r="D59" s="17"/>
      <c r="E59" s="17"/>
      <c r="F59" s="30">
        <v>39</v>
      </c>
      <c r="G59" s="31"/>
      <c r="I59" s="31"/>
      <c r="L59" s="31"/>
      <c r="M59" s="5"/>
      <c r="N59" s="31"/>
      <c r="O59" s="5"/>
      <c r="P59" s="31"/>
      <c r="Q59" s="5"/>
      <c r="R59" s="31"/>
      <c r="S59" s="5"/>
      <c r="T59" s="31"/>
      <c r="V59" s="31"/>
      <c r="X59" s="31"/>
      <c r="Z59" s="31"/>
      <c r="AA59" s="5"/>
      <c r="AB59" s="31"/>
      <c r="AC59" s="5"/>
      <c r="AD59" s="31"/>
      <c r="AF59" s="31"/>
    </row>
    <row r="60" spans="1:32" ht="12">
      <c r="A60" s="17"/>
      <c r="B60" s="17" t="s">
        <v>628</v>
      </c>
      <c r="C60" s="17"/>
      <c r="D60" s="17"/>
      <c r="E60" s="17"/>
      <c r="F60" s="30">
        <v>40</v>
      </c>
      <c r="G60" s="31"/>
      <c r="I60" s="31"/>
      <c r="L60" s="31"/>
      <c r="M60" s="5"/>
      <c r="N60" s="31"/>
      <c r="O60" s="5"/>
      <c r="P60" s="31"/>
      <c r="Q60" s="5"/>
      <c r="R60" s="31"/>
      <c r="S60" s="5"/>
      <c r="T60" s="31"/>
      <c r="V60" s="31"/>
      <c r="X60" s="31"/>
      <c r="Z60" s="31"/>
      <c r="AA60" s="5"/>
      <c r="AB60" s="31"/>
      <c r="AC60" s="5"/>
      <c r="AD60" s="31"/>
      <c r="AF60" s="31"/>
    </row>
    <row r="61" spans="1:32" ht="12">
      <c r="A61" s="17"/>
      <c r="B61" s="17" t="s">
        <v>613</v>
      </c>
      <c r="C61" s="17"/>
      <c r="D61" s="17"/>
      <c r="E61" s="17"/>
      <c r="F61" s="20">
        <v>41</v>
      </c>
      <c r="G61" s="31"/>
      <c r="I61" s="31"/>
      <c r="L61" s="31"/>
      <c r="M61" s="5"/>
      <c r="N61" s="31"/>
      <c r="O61" s="5"/>
      <c r="P61" s="31"/>
      <c r="Q61" s="5"/>
      <c r="R61" s="31"/>
      <c r="S61" s="5"/>
      <c r="T61" s="31"/>
      <c r="V61" s="31"/>
      <c r="X61" s="31"/>
      <c r="Z61" s="31"/>
      <c r="AA61" s="5"/>
      <c r="AB61" s="31"/>
      <c r="AC61" s="5"/>
      <c r="AD61" s="31"/>
      <c r="AF61" s="31"/>
    </row>
    <row r="62" spans="1:32" ht="12">
      <c r="A62" s="17"/>
      <c r="B62" s="17"/>
      <c r="C62" s="33" t="s">
        <v>222</v>
      </c>
      <c r="D62" s="17"/>
      <c r="E62" s="17"/>
      <c r="F62" s="30">
        <v>42</v>
      </c>
      <c r="G62" s="34">
        <f>SUM(G59:G61)</f>
        <v>0</v>
      </c>
      <c r="I62" s="34">
        <f>SUM(I59:I61)</f>
        <v>0</v>
      </c>
      <c r="L62" s="34">
        <f>SUM(L59:L61)</f>
        <v>0</v>
      </c>
      <c r="M62" s="5"/>
      <c r="N62" s="34">
        <f>SUM(N59:N61)</f>
        <v>0</v>
      </c>
      <c r="O62" s="5"/>
      <c r="P62" s="34">
        <f>SUM(P59:P61)</f>
        <v>0</v>
      </c>
      <c r="Q62" s="5"/>
      <c r="R62" s="34">
        <f t="shared" ref="R62:AF62" si="11">SUM(R59:R61)</f>
        <v>0</v>
      </c>
      <c r="S62" s="5"/>
      <c r="T62" s="34">
        <f t="shared" si="11"/>
        <v>0</v>
      </c>
      <c r="U62" s="5"/>
      <c r="V62" s="34">
        <f t="shared" si="11"/>
        <v>0</v>
      </c>
      <c r="W62" s="5"/>
      <c r="X62" s="34">
        <f>SUM(X59:X61)</f>
        <v>0</v>
      </c>
      <c r="Y62" s="5"/>
      <c r="Z62" s="34">
        <f>SUM(Z59:Z61)</f>
        <v>0</v>
      </c>
      <c r="AA62" s="5"/>
      <c r="AB62" s="34">
        <f t="shared" ref="AB62" si="12">SUM(AB59:AB61)</f>
        <v>0</v>
      </c>
      <c r="AC62" s="5"/>
      <c r="AD62" s="34"/>
      <c r="AF62" s="34">
        <f t="shared" si="11"/>
        <v>0</v>
      </c>
    </row>
    <row r="63" spans="1:32" ht="12">
      <c r="A63" s="17"/>
      <c r="B63" s="33"/>
      <c r="C63" s="17"/>
      <c r="D63" s="17"/>
      <c r="E63" s="17"/>
      <c r="F63" s="30">
        <v>43</v>
      </c>
      <c r="G63" s="5"/>
      <c r="I63" s="5"/>
      <c r="L63" s="5"/>
      <c r="M63" s="5"/>
      <c r="N63" s="5"/>
      <c r="O63" s="5"/>
      <c r="P63" s="5"/>
      <c r="Q63" s="5"/>
      <c r="R63" s="5"/>
      <c r="S63" s="5"/>
      <c r="T63" s="5"/>
      <c r="V63" s="5"/>
      <c r="X63" s="5"/>
      <c r="Z63" s="5"/>
      <c r="AA63" s="5"/>
      <c r="AB63" s="5"/>
      <c r="AC63" s="5"/>
      <c r="AD63" s="5"/>
      <c r="AF63" s="5"/>
    </row>
    <row r="64" spans="1:32" ht="12">
      <c r="A64" s="17"/>
      <c r="B64" s="17" t="s">
        <v>325</v>
      </c>
      <c r="C64" s="17"/>
      <c r="D64" s="17"/>
      <c r="E64" s="17"/>
      <c r="F64" s="20">
        <v>44</v>
      </c>
      <c r="G64" s="31"/>
      <c r="I64" s="31"/>
      <c r="L64" s="31"/>
      <c r="M64" s="5"/>
      <c r="N64" s="31"/>
      <c r="O64" s="5"/>
      <c r="P64" s="31"/>
      <c r="Q64" s="5"/>
      <c r="R64" s="31"/>
      <c r="S64" s="5"/>
      <c r="T64" s="31"/>
      <c r="V64" s="31"/>
      <c r="X64" s="31"/>
      <c r="Z64" s="31"/>
      <c r="AA64" s="5"/>
      <c r="AB64" s="31"/>
      <c r="AC64" s="5"/>
      <c r="AD64" s="31"/>
      <c r="AF64" s="31"/>
    </row>
    <row r="65" spans="1:32" ht="12">
      <c r="A65" s="17"/>
      <c r="B65" s="17" t="s">
        <v>324</v>
      </c>
      <c r="C65" s="17"/>
      <c r="D65" s="17"/>
      <c r="E65" s="17"/>
      <c r="F65" s="30">
        <v>45</v>
      </c>
      <c r="G65" s="31"/>
      <c r="I65" s="31"/>
      <c r="L65" s="31"/>
      <c r="M65" s="5"/>
      <c r="N65" s="31"/>
      <c r="O65" s="5"/>
      <c r="P65" s="31"/>
      <c r="Q65" s="5"/>
      <c r="R65" s="31"/>
      <c r="S65" s="5"/>
      <c r="T65" s="31"/>
      <c r="V65" s="31"/>
      <c r="X65" s="31"/>
      <c r="Z65" s="31"/>
      <c r="AA65" s="5"/>
      <c r="AB65" s="31"/>
      <c r="AC65" s="5"/>
      <c r="AD65" s="31"/>
      <c r="AF65" s="31"/>
    </row>
    <row r="66" spans="1:32" ht="12">
      <c r="A66" s="17"/>
      <c r="B66" s="17" t="s">
        <v>543</v>
      </c>
      <c r="C66" s="17"/>
      <c r="D66" s="17"/>
      <c r="E66" s="17"/>
      <c r="F66" s="30">
        <v>46</v>
      </c>
      <c r="G66" s="31"/>
      <c r="I66" s="31"/>
      <c r="L66" s="31"/>
      <c r="M66" s="5"/>
      <c r="N66" s="31"/>
      <c r="O66" s="5"/>
      <c r="P66" s="31"/>
      <c r="Q66" s="5"/>
      <c r="R66" s="31"/>
      <c r="S66" s="5"/>
      <c r="T66" s="31"/>
      <c r="V66" s="31"/>
      <c r="X66" s="31"/>
      <c r="Z66" s="31"/>
      <c r="AA66" s="5"/>
      <c r="AB66" s="31"/>
      <c r="AC66" s="5"/>
      <c r="AD66" s="31"/>
      <c r="AF66" s="31"/>
    </row>
    <row r="67" spans="1:32" ht="12">
      <c r="A67" s="17"/>
      <c r="B67" s="17" t="s">
        <v>610</v>
      </c>
      <c r="C67" s="17"/>
      <c r="D67" s="17"/>
      <c r="E67" s="17"/>
      <c r="F67" s="20">
        <v>47</v>
      </c>
      <c r="G67" s="31"/>
      <c r="I67" s="31"/>
      <c r="L67" s="31"/>
      <c r="M67" s="5"/>
      <c r="N67" s="31"/>
      <c r="O67" s="5"/>
      <c r="P67" s="31"/>
      <c r="Q67" s="5"/>
      <c r="R67" s="31"/>
      <c r="S67" s="5"/>
      <c r="T67" s="31"/>
      <c r="V67" s="31"/>
      <c r="X67" s="31"/>
      <c r="Z67" s="31"/>
      <c r="AA67" s="5"/>
      <c r="AB67" s="31"/>
      <c r="AC67" s="5"/>
      <c r="AD67" s="31"/>
      <c r="AF67" s="31"/>
    </row>
    <row r="68" spans="1:32" ht="12">
      <c r="A68" s="17"/>
      <c r="B68" s="17" t="s">
        <v>611</v>
      </c>
      <c r="C68" s="17"/>
      <c r="D68" s="17"/>
      <c r="E68" s="17"/>
      <c r="F68" s="30">
        <v>48</v>
      </c>
      <c r="G68" s="31"/>
      <c r="I68" s="31"/>
      <c r="L68" s="31"/>
      <c r="M68" s="5"/>
      <c r="N68" s="31"/>
      <c r="O68" s="5"/>
      <c r="P68" s="31"/>
      <c r="Q68" s="5"/>
      <c r="R68" s="31"/>
      <c r="S68" s="5"/>
      <c r="T68" s="31"/>
      <c r="V68" s="31"/>
      <c r="X68" s="31"/>
      <c r="Z68" s="31"/>
      <c r="AA68" s="5"/>
      <c r="AB68" s="31"/>
      <c r="AC68" s="5"/>
      <c r="AD68" s="31"/>
      <c r="AF68" s="31"/>
    </row>
    <row r="69" spans="1:32" ht="12">
      <c r="A69" s="17"/>
      <c r="B69" s="17"/>
      <c r="C69" s="33" t="s">
        <v>221</v>
      </c>
      <c r="D69" s="17"/>
      <c r="E69" s="17"/>
      <c r="F69" s="30">
        <v>49</v>
      </c>
      <c r="G69" s="34">
        <f>SUM(G64:G68)</f>
        <v>0</v>
      </c>
      <c r="I69" s="34">
        <f>SUM(I64:I68)</f>
        <v>0</v>
      </c>
      <c r="L69" s="34">
        <f>SUM(L64:L68)</f>
        <v>0</v>
      </c>
      <c r="M69" s="5"/>
      <c r="N69" s="34">
        <f>SUM(N64:N68)</f>
        <v>0</v>
      </c>
      <c r="O69" s="5"/>
      <c r="P69" s="34">
        <f>SUM(P64:P68)</f>
        <v>0</v>
      </c>
      <c r="Q69" s="5"/>
      <c r="R69" s="34">
        <f t="shared" ref="R69:AF69" si="13">SUM(R64:R68)</f>
        <v>0</v>
      </c>
      <c r="S69" s="5"/>
      <c r="T69" s="34">
        <f t="shared" si="13"/>
        <v>0</v>
      </c>
      <c r="U69" s="5"/>
      <c r="V69" s="34">
        <f t="shared" si="13"/>
        <v>0</v>
      </c>
      <c r="W69" s="5"/>
      <c r="X69" s="34">
        <f>SUM(X64:X68)</f>
        <v>0</v>
      </c>
      <c r="Y69" s="5"/>
      <c r="Z69" s="34">
        <f>SUM(Z64:Z68)</f>
        <v>0</v>
      </c>
      <c r="AA69" s="5"/>
      <c r="AB69" s="34">
        <f t="shared" ref="AB69" si="14">SUM(AB64:AB68)</f>
        <v>0</v>
      </c>
      <c r="AC69" s="5"/>
      <c r="AD69" s="34"/>
      <c r="AF69" s="34">
        <f t="shared" si="13"/>
        <v>0</v>
      </c>
    </row>
    <row r="70" spans="1:32" ht="12">
      <c r="A70" s="17"/>
      <c r="B70" s="33"/>
      <c r="C70" s="17"/>
      <c r="D70" s="17"/>
      <c r="E70" s="17"/>
      <c r="F70" s="20">
        <v>50</v>
      </c>
      <c r="G70" s="5"/>
      <c r="I70" s="5"/>
      <c r="L70" s="5"/>
      <c r="M70" s="5"/>
      <c r="N70" s="5"/>
      <c r="O70" s="5"/>
      <c r="P70" s="5"/>
      <c r="Q70" s="5"/>
      <c r="R70" s="5"/>
      <c r="S70" s="5"/>
      <c r="T70" s="5"/>
      <c r="V70" s="5"/>
      <c r="X70" s="5"/>
      <c r="Z70" s="5"/>
      <c r="AA70" s="5"/>
      <c r="AB70" s="5"/>
      <c r="AC70" s="5"/>
      <c r="AD70" s="5"/>
      <c r="AF70" s="5"/>
    </row>
    <row r="71" spans="1:32" ht="12">
      <c r="A71" s="17"/>
      <c r="B71" s="17" t="s">
        <v>46</v>
      </c>
      <c r="C71" s="33"/>
      <c r="D71" s="17"/>
      <c r="E71" s="17"/>
      <c r="F71" s="30">
        <v>51</v>
      </c>
      <c r="G71" s="31"/>
      <c r="I71" s="31"/>
      <c r="L71" s="31"/>
      <c r="M71" s="5"/>
      <c r="N71" s="31"/>
      <c r="O71" s="5"/>
      <c r="P71" s="31"/>
      <c r="Q71" s="5"/>
      <c r="R71" s="31"/>
      <c r="S71" s="5"/>
      <c r="T71" s="31"/>
      <c r="V71" s="31"/>
      <c r="X71" s="31"/>
      <c r="Z71" s="31"/>
      <c r="AA71" s="5"/>
      <c r="AB71" s="31"/>
      <c r="AC71" s="5"/>
      <c r="AD71" s="31"/>
      <c r="AF71" s="31"/>
    </row>
    <row r="72" spans="1:32" ht="12">
      <c r="A72" s="17"/>
      <c r="B72" s="17" t="s">
        <v>493</v>
      </c>
      <c r="C72" s="33"/>
      <c r="D72" s="17"/>
      <c r="E72" s="17"/>
      <c r="F72" s="30">
        <v>52</v>
      </c>
      <c r="G72" s="31"/>
      <c r="I72" s="31"/>
      <c r="L72" s="31"/>
      <c r="M72" s="5"/>
      <c r="N72" s="31"/>
      <c r="O72" s="5"/>
      <c r="P72" s="31"/>
      <c r="Q72" s="5"/>
      <c r="R72" s="31"/>
      <c r="S72" s="5"/>
      <c r="T72" s="31"/>
      <c r="V72" s="31"/>
      <c r="X72" s="31"/>
      <c r="Z72" s="31"/>
      <c r="AA72" s="5"/>
      <c r="AB72" s="31"/>
      <c r="AC72" s="5"/>
      <c r="AD72" s="31"/>
      <c r="AF72" s="31"/>
    </row>
    <row r="73" spans="1:32" ht="12">
      <c r="A73" s="17"/>
      <c r="B73" s="17"/>
      <c r="C73" s="17"/>
      <c r="D73" s="33" t="s">
        <v>223</v>
      </c>
      <c r="E73" s="17"/>
      <c r="F73" s="20">
        <v>53</v>
      </c>
      <c r="G73" s="34">
        <v>0</v>
      </c>
      <c r="I73" s="34">
        <f>SUM(I71:I72)</f>
        <v>0</v>
      </c>
      <c r="L73" s="34">
        <f>SUM(L71:L72)</f>
        <v>0</v>
      </c>
      <c r="M73" s="5"/>
      <c r="N73" s="34">
        <f>SUM(N71:N72)</f>
        <v>0</v>
      </c>
      <c r="O73" s="5"/>
      <c r="P73" s="34">
        <f>SUM(P71:P72)</f>
        <v>0</v>
      </c>
      <c r="Q73" s="5"/>
      <c r="R73" s="34">
        <f t="shared" ref="R73:AF73" si="15">SUM(R71:R72)</f>
        <v>0</v>
      </c>
      <c r="S73" s="5"/>
      <c r="T73" s="34">
        <f t="shared" si="15"/>
        <v>0</v>
      </c>
      <c r="U73" s="5"/>
      <c r="V73" s="34">
        <f t="shared" si="15"/>
        <v>0</v>
      </c>
      <c r="W73" s="5"/>
      <c r="X73" s="34">
        <v>0</v>
      </c>
      <c r="Y73" s="5"/>
      <c r="Z73" s="34">
        <v>0</v>
      </c>
      <c r="AA73" s="5"/>
      <c r="AB73" s="34">
        <f t="shared" ref="AB73" si="16">SUM(AB71:AB72)</f>
        <v>0</v>
      </c>
      <c r="AC73" s="5"/>
      <c r="AD73" s="34"/>
      <c r="AF73" s="34">
        <f t="shared" si="15"/>
        <v>0</v>
      </c>
    </row>
    <row r="74" spans="1:32" ht="12">
      <c r="A74" s="17"/>
      <c r="B74" s="33"/>
      <c r="C74" s="17"/>
      <c r="D74" s="17"/>
      <c r="E74" s="17"/>
      <c r="F74" s="30">
        <v>54</v>
      </c>
      <c r="G74" s="5"/>
      <c r="I74" s="5"/>
      <c r="L74" s="5"/>
      <c r="M74" s="5"/>
      <c r="N74" s="5"/>
      <c r="O74" s="5"/>
      <c r="P74" s="5"/>
      <c r="Q74" s="5"/>
      <c r="R74" s="5"/>
      <c r="S74" s="5"/>
      <c r="T74" s="5"/>
      <c r="V74" s="5"/>
      <c r="X74" s="5"/>
      <c r="Z74" s="5"/>
      <c r="AA74" s="5"/>
      <c r="AB74" s="5"/>
      <c r="AC74" s="5"/>
      <c r="AD74" s="5"/>
      <c r="AF74" s="5"/>
    </row>
    <row r="75" spans="1:32" ht="12">
      <c r="A75" s="17"/>
      <c r="B75" s="33" t="s">
        <v>614</v>
      </c>
      <c r="C75" s="17"/>
      <c r="D75" s="17"/>
      <c r="E75" s="17"/>
      <c r="F75" s="30">
        <v>55</v>
      </c>
      <c r="G75" s="31"/>
      <c r="I75" s="31">
        <v>1342387</v>
      </c>
      <c r="L75" s="31"/>
      <c r="M75" s="5"/>
      <c r="N75" s="31"/>
      <c r="O75" s="5"/>
      <c r="P75" s="31"/>
      <c r="Q75" s="5"/>
      <c r="R75" s="31">
        <v>317869</v>
      </c>
      <c r="S75" s="5"/>
      <c r="T75" s="31"/>
      <c r="V75" s="31"/>
      <c r="X75" s="31"/>
      <c r="Z75" s="31"/>
      <c r="AA75" s="5"/>
      <c r="AB75" s="31"/>
      <c r="AC75" s="5"/>
      <c r="AD75" s="31"/>
      <c r="AF75" s="31"/>
    </row>
    <row r="76" spans="1:32" ht="12">
      <c r="A76" s="17"/>
      <c r="B76" s="33" t="s">
        <v>3282</v>
      </c>
      <c r="C76" s="17"/>
      <c r="D76" s="17"/>
      <c r="E76" s="17"/>
      <c r="F76" s="20">
        <v>56</v>
      </c>
      <c r="G76" s="237">
        <v>301355840</v>
      </c>
      <c r="I76" s="31">
        <v>970059</v>
      </c>
      <c r="L76" s="31">
        <v>80487226</v>
      </c>
      <c r="M76" s="5"/>
      <c r="N76" s="31"/>
      <c r="O76" s="5"/>
      <c r="P76" s="31">
        <v>118807745</v>
      </c>
      <c r="Q76" s="5"/>
      <c r="R76" s="31">
        <v>7055980</v>
      </c>
      <c r="S76" s="5"/>
      <c r="T76" s="31"/>
      <c r="V76" s="31">
        <v>32871910</v>
      </c>
      <c r="X76" s="237">
        <v>80921</v>
      </c>
      <c r="Z76" s="237"/>
      <c r="AA76" s="5"/>
      <c r="AB76" s="31"/>
      <c r="AC76" s="5"/>
      <c r="AD76" s="31"/>
      <c r="AF76" s="31">
        <v>58430</v>
      </c>
    </row>
    <row r="77" spans="1:32" ht="12">
      <c r="A77" s="17"/>
      <c r="B77" s="17"/>
      <c r="C77" s="33"/>
      <c r="D77" s="17"/>
      <c r="E77" s="17"/>
      <c r="F77" s="30">
        <v>57</v>
      </c>
      <c r="G77" s="5"/>
      <c r="I77" s="5"/>
      <c r="L77" s="5"/>
      <c r="M77" s="5"/>
      <c r="N77" s="5"/>
      <c r="O77" s="5"/>
      <c r="P77" s="5"/>
      <c r="Q77" s="5"/>
      <c r="R77" s="5"/>
      <c r="S77" s="5"/>
      <c r="T77" s="5"/>
      <c r="V77" s="5"/>
      <c r="X77" s="5"/>
      <c r="Z77" s="5"/>
      <c r="AA77" s="5"/>
      <c r="AB77" s="5"/>
      <c r="AC77" s="5"/>
      <c r="AD77" s="5"/>
      <c r="AF77" s="5"/>
    </row>
    <row r="78" spans="1:32" ht="12">
      <c r="A78" s="17"/>
      <c r="B78" s="17"/>
      <c r="C78" s="33"/>
      <c r="D78" s="33" t="s">
        <v>48</v>
      </c>
      <c r="E78" s="17"/>
      <c r="F78" s="30">
        <v>58</v>
      </c>
      <c r="G78" s="34">
        <f>G76+G75+G73+G69+G62</f>
        <v>301355840</v>
      </c>
      <c r="I78" s="34">
        <f>I76+I75+I73+I69+I62</f>
        <v>2312446</v>
      </c>
      <c r="L78" s="34">
        <f>L76+L75+L73+L69+L62</f>
        <v>80487226</v>
      </c>
      <c r="M78" s="5"/>
      <c r="N78" s="34">
        <f>N76+N75+N73+N69+N62</f>
        <v>0</v>
      </c>
      <c r="O78" s="5"/>
      <c r="P78" s="34">
        <f>P76+P75+P73+P69+P62</f>
        <v>118807745</v>
      </c>
      <c r="Q78" s="5"/>
      <c r="R78" s="34">
        <f t="shared" ref="R78:V78" si="17">R76+R75+R73+R69+R62</f>
        <v>7373849</v>
      </c>
      <c r="S78" s="5"/>
      <c r="T78" s="34">
        <f t="shared" si="17"/>
        <v>0</v>
      </c>
      <c r="U78" s="5"/>
      <c r="V78" s="34">
        <f t="shared" si="17"/>
        <v>32871910</v>
      </c>
      <c r="W78" s="5"/>
      <c r="X78" s="34">
        <f>X76+X75+X73+X69+X62</f>
        <v>80921</v>
      </c>
      <c r="Y78" s="5"/>
      <c r="Z78" s="34">
        <f>Z76+Z75+Z73+Z69+Z62</f>
        <v>0</v>
      </c>
      <c r="AA78" s="5"/>
      <c r="AB78" s="34">
        <f>AB76+AB75+AB73+AB69+AB62</f>
        <v>0</v>
      </c>
      <c r="AC78" s="5"/>
      <c r="AD78" s="34"/>
      <c r="AF78" s="34">
        <f>AF76+AF75+AF73+AF69+AF62</f>
        <v>58430</v>
      </c>
    </row>
    <row r="79" spans="1:32" ht="12">
      <c r="A79" s="17"/>
      <c r="B79" s="17"/>
      <c r="C79" s="33"/>
      <c r="D79" s="17"/>
      <c r="E79" s="17"/>
      <c r="F79" s="20">
        <v>59</v>
      </c>
      <c r="G79" s="5"/>
      <c r="I79" s="5"/>
      <c r="L79" s="5"/>
      <c r="M79" s="5"/>
      <c r="N79" s="5"/>
      <c r="O79" s="5"/>
      <c r="P79" s="5"/>
      <c r="Q79" s="5"/>
      <c r="R79" s="5"/>
      <c r="S79" s="5"/>
      <c r="T79" s="5"/>
      <c r="V79" s="5"/>
      <c r="X79" s="5"/>
      <c r="Z79" s="5"/>
      <c r="AA79" s="5"/>
      <c r="AB79" s="5"/>
      <c r="AC79" s="5"/>
      <c r="AD79" s="5"/>
      <c r="AF79" s="5"/>
    </row>
    <row r="80" spans="1:32" ht="12">
      <c r="A80" s="17"/>
      <c r="B80" s="17"/>
      <c r="C80" s="17"/>
      <c r="D80" s="17"/>
      <c r="E80" s="24" t="s">
        <v>49</v>
      </c>
      <c r="F80" s="30">
        <v>60</v>
      </c>
      <c r="G80" s="34">
        <f>G56+G78</f>
        <v>338205588</v>
      </c>
      <c r="I80" s="34">
        <f>I56+I78</f>
        <v>26063667</v>
      </c>
      <c r="L80" s="34">
        <f>L56+L78</f>
        <v>249318413</v>
      </c>
      <c r="M80" s="5"/>
      <c r="N80" s="34">
        <f>N56+N78</f>
        <v>4040638</v>
      </c>
      <c r="O80" s="5"/>
      <c r="P80" s="34">
        <f>P56+P78</f>
        <v>139939243</v>
      </c>
      <c r="Q80" s="5"/>
      <c r="R80" s="34">
        <f t="shared" ref="R80:V80" si="18">R56+R78</f>
        <v>36428869</v>
      </c>
      <c r="S80" s="5"/>
      <c r="T80" s="34">
        <f t="shared" si="18"/>
        <v>614549172</v>
      </c>
      <c r="U80" s="5"/>
      <c r="V80" s="34">
        <f t="shared" si="18"/>
        <v>49353755</v>
      </c>
      <c r="W80" s="5"/>
      <c r="X80" s="34">
        <f>X56+X78</f>
        <v>170996846</v>
      </c>
      <c r="Y80" s="5"/>
      <c r="Z80" s="34">
        <f>Z56+Z78</f>
        <v>143327457</v>
      </c>
      <c r="AA80" s="5"/>
      <c r="AB80" s="34">
        <f>AB56+AB78</f>
        <v>1222128</v>
      </c>
      <c r="AC80" s="5"/>
      <c r="AD80" s="34"/>
      <c r="AF80" s="34">
        <f>AF56+AF78</f>
        <v>697145</v>
      </c>
    </row>
    <row r="81" spans="1:32" ht="12">
      <c r="A81" s="17"/>
      <c r="B81" s="17"/>
      <c r="C81" s="17"/>
      <c r="D81" s="17"/>
      <c r="E81" s="24"/>
      <c r="F81" s="20"/>
      <c r="G81" s="5"/>
      <c r="H81" s="5"/>
      <c r="I81" s="5"/>
      <c r="J81" s="5"/>
      <c r="K81" s="5"/>
      <c r="L81" s="5"/>
      <c r="M81" s="5"/>
      <c r="N81" s="5"/>
      <c r="O81" s="5"/>
      <c r="P81" s="5"/>
      <c r="Q81" s="5"/>
      <c r="T81" s="26"/>
      <c r="U81" s="231"/>
      <c r="V81" s="26"/>
      <c r="X81" s="5"/>
      <c r="Z81" s="5"/>
      <c r="AA81" s="5"/>
      <c r="AB81" s="26"/>
      <c r="AC81" s="26"/>
      <c r="AD81" s="26"/>
      <c r="AF81" s="26"/>
    </row>
    <row r="82" spans="1:32" ht="12">
      <c r="A82" s="17"/>
      <c r="B82" s="33" t="s">
        <v>708</v>
      </c>
      <c r="C82" s="17"/>
      <c r="D82" s="17"/>
      <c r="E82" s="17"/>
      <c r="F82" s="30"/>
      <c r="G82" s="247"/>
      <c r="H82" s="249"/>
      <c r="I82" s="248"/>
      <c r="J82" s="249"/>
      <c r="K82" s="249"/>
      <c r="L82" s="248"/>
      <c r="M82" s="249"/>
      <c r="N82" s="248"/>
      <c r="O82" s="249"/>
      <c r="P82" s="248"/>
      <c r="Q82" s="5"/>
      <c r="R82" s="248"/>
      <c r="S82" s="5"/>
      <c r="T82" s="248"/>
      <c r="U82" s="232"/>
      <c r="V82" s="248"/>
      <c r="X82" s="247"/>
      <c r="Z82" s="247"/>
      <c r="AA82" s="249"/>
      <c r="AB82" s="248"/>
      <c r="AC82" s="249"/>
      <c r="AD82" s="248"/>
      <c r="AF82" s="248"/>
    </row>
    <row r="83" spans="1:32" ht="12">
      <c r="A83" s="17"/>
      <c r="B83" s="17"/>
      <c r="C83" s="17"/>
      <c r="D83" s="17"/>
      <c r="E83" s="17"/>
      <c r="F83" s="20"/>
      <c r="G83" s="5"/>
      <c r="H83" s="5"/>
      <c r="I83" s="5"/>
      <c r="J83" s="5"/>
      <c r="K83" s="5"/>
      <c r="L83" s="5"/>
      <c r="M83" s="5"/>
      <c r="N83" s="5"/>
      <c r="O83" s="5"/>
      <c r="P83" s="5"/>
      <c r="Q83" s="5"/>
      <c r="R83" s="5"/>
      <c r="T83" s="5"/>
      <c r="U83" s="231"/>
      <c r="V83" s="5"/>
      <c r="X83" s="5"/>
      <c r="Z83" s="5"/>
      <c r="AA83" s="5"/>
      <c r="AB83" s="5"/>
      <c r="AC83" s="5"/>
      <c r="AD83" s="5"/>
      <c r="AF83" s="5"/>
    </row>
    <row r="84" spans="1:32" ht="12">
      <c r="A84" s="17"/>
      <c r="B84" s="17"/>
      <c r="C84" s="17"/>
      <c r="D84" s="17"/>
      <c r="E84" s="24" t="s">
        <v>709</v>
      </c>
      <c r="F84" s="20"/>
      <c r="G84" s="34">
        <f>SUM(G80+G82)</f>
        <v>338205588</v>
      </c>
      <c r="H84" s="5"/>
      <c r="I84" s="34">
        <f>SUM(I80+I82)</f>
        <v>26063667</v>
      </c>
      <c r="J84" s="5"/>
      <c r="K84" s="5"/>
      <c r="L84" s="34">
        <f>SUM(L80+L82)</f>
        <v>249318413</v>
      </c>
      <c r="M84" s="5"/>
      <c r="N84" s="34">
        <f>SUM(N80+N82)</f>
        <v>4040638</v>
      </c>
      <c r="O84" s="5"/>
      <c r="P84" s="34">
        <f>SUM(P80+P82)</f>
        <v>139939243</v>
      </c>
      <c r="Q84" s="5"/>
      <c r="R84" s="34">
        <f>SUM(R80+R82)</f>
        <v>36428869</v>
      </c>
      <c r="S84" s="5"/>
      <c r="T84" s="34">
        <f>SUM(T80+T82)</f>
        <v>614549172</v>
      </c>
      <c r="U84" s="231"/>
      <c r="V84" s="34">
        <f>SUM(V80+V82)</f>
        <v>49353755</v>
      </c>
      <c r="X84" s="34">
        <f>SUM(X80+X82)</f>
        <v>170996846</v>
      </c>
      <c r="Z84" s="34">
        <f>SUM(Z80+Z82)</f>
        <v>143327457</v>
      </c>
      <c r="AA84" s="5"/>
      <c r="AB84" s="34">
        <f>SUM(AB80+AB82)</f>
        <v>1222128</v>
      </c>
      <c r="AC84" s="5"/>
      <c r="AD84" s="34"/>
      <c r="AF84" s="34">
        <f>SUM(AF80+AF82)</f>
        <v>697145</v>
      </c>
    </row>
    <row r="85" spans="1:32" s="240" customFormat="1" ht="12" hidden="1">
      <c r="E85" s="241"/>
      <c r="F85" s="30">
        <v>65</v>
      </c>
      <c r="G85" s="242"/>
      <c r="H85" s="242"/>
      <c r="I85" s="242"/>
      <c r="J85" s="242"/>
      <c r="K85" s="5"/>
      <c r="L85" s="242"/>
      <c r="M85" s="5"/>
      <c r="N85" s="242"/>
      <c r="O85" s="5"/>
      <c r="P85" s="242"/>
      <c r="Q85" s="242"/>
      <c r="R85" s="242"/>
      <c r="S85" s="242"/>
      <c r="V85" s="243"/>
      <c r="W85" s="244"/>
      <c r="X85" s="243"/>
      <c r="Z85" s="243"/>
      <c r="AA85" s="26"/>
      <c r="AC85" s="17"/>
    </row>
    <row r="86" spans="1:32" s="240" customFormat="1" ht="12" hidden="1">
      <c r="E86" s="241"/>
      <c r="F86" s="20">
        <v>66</v>
      </c>
      <c r="G86" s="242"/>
      <c r="H86" s="242"/>
      <c r="I86" s="242"/>
      <c r="J86" s="242"/>
      <c r="K86" s="242"/>
      <c r="L86" s="242"/>
      <c r="M86" s="5"/>
      <c r="N86" s="242"/>
      <c r="O86" s="5"/>
      <c r="P86" s="242"/>
      <c r="Q86" s="242"/>
      <c r="R86" s="242"/>
      <c r="S86" s="242"/>
      <c r="V86" s="243"/>
      <c r="W86" s="244"/>
      <c r="X86" s="243"/>
      <c r="Z86" s="243"/>
      <c r="AA86" s="26"/>
      <c r="AC86" s="17"/>
    </row>
    <row r="87" spans="1:32" s="240" customFormat="1" ht="12" hidden="1">
      <c r="E87" s="241"/>
      <c r="F87" s="30">
        <v>67</v>
      </c>
      <c r="G87" s="242"/>
      <c r="H87" s="242"/>
      <c r="I87" s="242"/>
      <c r="J87" s="242"/>
      <c r="K87" s="242"/>
      <c r="L87" s="242"/>
      <c r="M87" s="5"/>
      <c r="N87" s="242"/>
      <c r="O87" s="5"/>
      <c r="P87" s="242"/>
      <c r="Q87" s="242"/>
      <c r="R87" s="242"/>
      <c r="S87" s="242"/>
      <c r="V87" s="243"/>
      <c r="W87" s="244"/>
      <c r="X87" s="243"/>
      <c r="Z87" s="243"/>
      <c r="AA87" s="26"/>
      <c r="AC87" s="17"/>
    </row>
    <row r="88" spans="1:32" s="240" customFormat="1" ht="12" hidden="1">
      <c r="E88" s="241"/>
      <c r="F88" s="30">
        <v>68</v>
      </c>
      <c r="G88" s="242"/>
      <c r="H88" s="242"/>
      <c r="I88" s="242"/>
      <c r="J88" s="242"/>
      <c r="K88" s="242"/>
      <c r="L88" s="242"/>
      <c r="M88" s="5"/>
      <c r="N88" s="242"/>
      <c r="O88" s="5"/>
      <c r="P88" s="242"/>
      <c r="Q88" s="242"/>
      <c r="R88" s="242"/>
      <c r="S88" s="242"/>
      <c r="V88" s="243"/>
      <c r="W88" s="244"/>
      <c r="X88" s="243"/>
      <c r="Z88" s="243"/>
      <c r="AA88" s="26"/>
      <c r="AC88" s="17"/>
    </row>
    <row r="89" spans="1:32" s="240" customFormat="1" ht="12" hidden="1">
      <c r="E89" s="241"/>
      <c r="F89" s="30">
        <v>69</v>
      </c>
      <c r="G89" s="242"/>
      <c r="H89" s="242"/>
      <c r="I89" s="242"/>
      <c r="J89" s="242"/>
      <c r="K89" s="242"/>
      <c r="L89" s="242"/>
      <c r="M89" s="5"/>
      <c r="N89" s="242"/>
      <c r="O89" s="5"/>
      <c r="P89" s="242"/>
      <c r="Q89" s="242"/>
      <c r="R89" s="242"/>
      <c r="S89" s="242"/>
      <c r="V89" s="243"/>
      <c r="W89" s="244"/>
      <c r="X89" s="243"/>
      <c r="Z89" s="243"/>
      <c r="AA89" s="26"/>
      <c r="AC89" s="17"/>
    </row>
    <row r="90" spans="1:32" s="240" customFormat="1" ht="12" hidden="1">
      <c r="E90" s="241"/>
      <c r="F90" s="20">
        <v>70</v>
      </c>
      <c r="G90" s="242"/>
      <c r="H90" s="242"/>
      <c r="I90" s="242"/>
      <c r="J90" s="242"/>
      <c r="K90" s="242"/>
      <c r="L90" s="242"/>
      <c r="M90" s="5"/>
      <c r="N90" s="242"/>
      <c r="O90" s="5"/>
      <c r="P90" s="242"/>
      <c r="Q90" s="242"/>
      <c r="R90" s="242"/>
      <c r="S90" s="242"/>
      <c r="V90" s="243"/>
      <c r="W90" s="244"/>
      <c r="X90" s="243"/>
      <c r="Z90" s="243"/>
      <c r="AA90" s="26"/>
      <c r="AC90" s="17"/>
    </row>
    <row r="91" spans="1:32" s="240" customFormat="1" ht="12" hidden="1">
      <c r="E91" s="241"/>
      <c r="F91" s="30">
        <v>71</v>
      </c>
      <c r="G91" s="242"/>
      <c r="H91" s="242"/>
      <c r="I91" s="242"/>
      <c r="J91" s="242"/>
      <c r="K91" s="242"/>
      <c r="L91" s="242"/>
      <c r="M91" s="5"/>
      <c r="N91" s="242"/>
      <c r="O91" s="5"/>
      <c r="P91" s="242"/>
      <c r="Q91" s="242"/>
      <c r="R91" s="242"/>
      <c r="S91" s="242"/>
      <c r="V91" s="243"/>
      <c r="W91" s="244"/>
      <c r="X91" s="243"/>
      <c r="Z91" s="243"/>
      <c r="AA91" s="26"/>
      <c r="AC91" s="17"/>
    </row>
    <row r="92" spans="1:32" s="240" customFormat="1" ht="12" hidden="1">
      <c r="E92" s="241"/>
      <c r="F92" s="30">
        <v>72</v>
      </c>
      <c r="G92" s="242"/>
      <c r="H92" s="242"/>
      <c r="I92" s="242"/>
      <c r="J92" s="242"/>
      <c r="K92" s="242"/>
      <c r="L92" s="242"/>
      <c r="M92" s="5"/>
      <c r="N92" s="242"/>
      <c r="O92" s="5"/>
      <c r="P92" s="242"/>
      <c r="Q92" s="242"/>
      <c r="R92" s="242"/>
      <c r="S92" s="242"/>
      <c r="V92" s="243"/>
      <c r="W92" s="244"/>
      <c r="X92" s="243"/>
      <c r="Z92" s="243"/>
      <c r="AA92" s="26"/>
      <c r="AC92" s="17"/>
    </row>
    <row r="93" spans="1:32" s="240" customFormat="1" ht="12" hidden="1">
      <c r="E93" s="241"/>
      <c r="F93" s="20">
        <v>73</v>
      </c>
      <c r="G93" s="242"/>
      <c r="H93" s="242"/>
      <c r="I93" s="242"/>
      <c r="J93" s="242"/>
      <c r="K93" s="242"/>
      <c r="L93" s="242"/>
      <c r="M93" s="5"/>
      <c r="N93" s="242"/>
      <c r="O93" s="5"/>
      <c r="P93" s="242"/>
      <c r="Q93" s="242"/>
      <c r="R93" s="242"/>
      <c r="S93" s="242"/>
      <c r="V93" s="243"/>
      <c r="W93" s="244"/>
      <c r="X93" s="243"/>
      <c r="Z93" s="243"/>
      <c r="AA93" s="26"/>
      <c r="AC93" s="17"/>
    </row>
    <row r="94" spans="1:32" s="240" customFormat="1" ht="12" hidden="1">
      <c r="E94" s="241"/>
      <c r="F94" s="30">
        <v>74</v>
      </c>
      <c r="G94" s="242"/>
      <c r="H94" s="242"/>
      <c r="I94" s="242"/>
      <c r="J94" s="242"/>
      <c r="K94" s="242"/>
      <c r="L94" s="242"/>
      <c r="M94" s="5"/>
      <c r="N94" s="242"/>
      <c r="O94" s="5"/>
      <c r="P94" s="242"/>
      <c r="Q94" s="242"/>
      <c r="R94" s="242"/>
      <c r="S94" s="242"/>
      <c r="V94" s="243"/>
      <c r="W94" s="244"/>
      <c r="X94" s="243"/>
      <c r="Z94" s="243"/>
      <c r="AA94" s="26"/>
      <c r="AC94" s="17"/>
    </row>
    <row r="95" spans="1:32" s="240" customFormat="1" ht="12" hidden="1">
      <c r="E95" s="241"/>
      <c r="F95" s="30">
        <v>75</v>
      </c>
      <c r="G95" s="242"/>
      <c r="H95" s="242"/>
      <c r="I95" s="242"/>
      <c r="J95" s="242"/>
      <c r="K95" s="242"/>
      <c r="L95" s="242"/>
      <c r="M95" s="5"/>
      <c r="N95" s="242"/>
      <c r="O95" s="5"/>
      <c r="P95" s="242"/>
      <c r="Q95" s="242"/>
      <c r="R95" s="242"/>
      <c r="S95" s="242"/>
      <c r="V95" s="243"/>
      <c r="W95" s="244"/>
      <c r="X95" s="243"/>
      <c r="Z95" s="243"/>
      <c r="AA95" s="26"/>
      <c r="AC95" s="17"/>
    </row>
    <row r="96" spans="1:32" s="240" customFormat="1" ht="12" hidden="1">
      <c r="E96" s="241"/>
      <c r="F96" s="30">
        <v>76</v>
      </c>
      <c r="G96" s="242"/>
      <c r="H96" s="242"/>
      <c r="I96" s="242"/>
      <c r="J96" s="242"/>
      <c r="K96" s="242"/>
      <c r="L96" s="242"/>
      <c r="M96" s="5"/>
      <c r="N96" s="242"/>
      <c r="O96" s="5"/>
      <c r="P96" s="242"/>
      <c r="Q96" s="242"/>
      <c r="R96" s="242"/>
      <c r="S96" s="242"/>
      <c r="V96" s="243"/>
      <c r="W96" s="244"/>
      <c r="X96" s="243"/>
      <c r="Z96" s="243"/>
      <c r="AA96" s="26"/>
      <c r="AC96" s="17"/>
    </row>
    <row r="97" spans="1:32" s="240" customFormat="1" ht="12" hidden="1">
      <c r="E97" s="241"/>
      <c r="F97" s="20">
        <v>77</v>
      </c>
      <c r="G97" s="242"/>
      <c r="H97" s="242"/>
      <c r="I97" s="242"/>
      <c r="J97" s="242"/>
      <c r="K97" s="242"/>
      <c r="L97" s="242"/>
      <c r="M97" s="5"/>
      <c r="N97" s="242"/>
      <c r="O97" s="5"/>
      <c r="P97" s="242"/>
      <c r="Q97" s="242"/>
      <c r="R97" s="242"/>
      <c r="S97" s="242"/>
      <c r="V97" s="243"/>
      <c r="W97" s="244"/>
      <c r="X97" s="243"/>
      <c r="Z97" s="243"/>
      <c r="AA97" s="26"/>
      <c r="AC97" s="17"/>
    </row>
    <row r="98" spans="1:32" s="240" customFormat="1" ht="12" hidden="1">
      <c r="E98" s="241"/>
      <c r="F98" s="30">
        <v>78</v>
      </c>
      <c r="G98" s="242"/>
      <c r="H98" s="242"/>
      <c r="I98" s="242"/>
      <c r="J98" s="242"/>
      <c r="K98" s="242"/>
      <c r="L98" s="242"/>
      <c r="M98" s="5"/>
      <c r="N98" s="242"/>
      <c r="O98" s="5"/>
      <c r="P98" s="242"/>
      <c r="Q98" s="242"/>
      <c r="R98" s="242"/>
      <c r="S98" s="242"/>
      <c r="V98" s="243"/>
      <c r="W98" s="244"/>
      <c r="X98" s="243"/>
      <c r="Z98" s="243"/>
      <c r="AA98" s="26"/>
      <c r="AC98" s="17"/>
    </row>
    <row r="99" spans="1:32" s="240" customFormat="1" ht="12" hidden="1">
      <c r="E99" s="241"/>
      <c r="F99" s="30">
        <v>79</v>
      </c>
      <c r="G99" s="242"/>
      <c r="H99" s="242"/>
      <c r="I99" s="242"/>
      <c r="J99" s="242"/>
      <c r="K99" s="242"/>
      <c r="L99" s="242"/>
      <c r="M99" s="5"/>
      <c r="N99" s="242"/>
      <c r="O99" s="5"/>
      <c r="P99" s="242"/>
      <c r="Q99" s="242"/>
      <c r="R99" s="242"/>
      <c r="S99" s="242"/>
      <c r="V99" s="243"/>
      <c r="W99" s="244"/>
      <c r="X99" s="243"/>
      <c r="Z99" s="243"/>
      <c r="AA99" s="26"/>
      <c r="AC99" s="17"/>
    </row>
    <row r="100" spans="1:32" s="240" customFormat="1" ht="12" hidden="1">
      <c r="E100" s="241"/>
      <c r="F100" s="20">
        <v>80</v>
      </c>
      <c r="G100" s="242"/>
      <c r="H100" s="242"/>
      <c r="I100" s="242"/>
      <c r="J100" s="242"/>
      <c r="K100" s="242"/>
      <c r="L100" s="242"/>
      <c r="M100" s="5"/>
      <c r="N100" s="242"/>
      <c r="O100" s="5"/>
      <c r="P100" s="242"/>
      <c r="Q100" s="242"/>
      <c r="R100" s="242"/>
      <c r="S100" s="242"/>
      <c r="V100" s="243"/>
      <c r="W100" s="244"/>
      <c r="X100" s="243"/>
      <c r="Z100" s="243"/>
      <c r="AA100" s="26"/>
      <c r="AC100" s="17"/>
    </row>
    <row r="101" spans="1:32" ht="12">
      <c r="A101" s="17"/>
      <c r="B101" s="17"/>
      <c r="C101" s="17"/>
      <c r="D101" s="17"/>
      <c r="E101" s="24"/>
      <c r="F101" s="30">
        <v>81</v>
      </c>
      <c r="G101" s="5"/>
      <c r="I101" s="5"/>
      <c r="L101" s="5"/>
      <c r="M101" s="5"/>
      <c r="N101" s="5"/>
      <c r="O101" s="5"/>
      <c r="P101" s="5"/>
      <c r="Q101" s="26"/>
      <c r="R101" s="5"/>
      <c r="S101" s="26"/>
      <c r="T101" s="5"/>
      <c r="V101" s="5"/>
      <c r="X101" s="5"/>
      <c r="Z101" s="5"/>
      <c r="AA101" s="5"/>
      <c r="AB101" s="5"/>
      <c r="AC101" s="5"/>
      <c r="AD101" s="5"/>
      <c r="AF101" s="5"/>
    </row>
    <row r="102" spans="1:32">
      <c r="A102" s="1050"/>
      <c r="B102" s="1051"/>
      <c r="C102" s="1051"/>
      <c r="D102" s="1051"/>
      <c r="E102" s="18"/>
      <c r="F102" s="30">
        <v>82</v>
      </c>
      <c r="G102" s="26"/>
      <c r="I102" s="26"/>
      <c r="L102" s="26"/>
      <c r="M102" s="26"/>
      <c r="N102" s="26"/>
      <c r="O102" s="26"/>
      <c r="P102" s="26"/>
      <c r="Q102" s="26"/>
      <c r="R102" s="26"/>
      <c r="S102" s="26"/>
      <c r="T102" s="26"/>
      <c r="V102" s="26"/>
      <c r="X102" s="26"/>
      <c r="Z102" s="26"/>
      <c r="AA102" s="26"/>
      <c r="AB102" s="26"/>
      <c r="AC102" s="26"/>
      <c r="AD102" s="26"/>
      <c r="AF102" s="26"/>
    </row>
    <row r="103" spans="1:32" ht="12">
      <c r="A103" s="27"/>
      <c r="B103" s="17"/>
      <c r="C103" s="17"/>
      <c r="D103" s="17"/>
      <c r="E103" s="17"/>
      <c r="F103" s="20">
        <v>83</v>
      </c>
      <c r="G103" s="26"/>
      <c r="I103" s="26"/>
      <c r="L103" s="26"/>
      <c r="M103" s="26"/>
      <c r="N103" s="26"/>
      <c r="O103" s="26"/>
      <c r="P103" s="26"/>
      <c r="Q103" s="26"/>
      <c r="R103" s="26"/>
      <c r="S103" s="26"/>
      <c r="T103" s="26"/>
      <c r="V103" s="26"/>
      <c r="X103" s="26"/>
      <c r="Z103" s="26"/>
      <c r="AA103" s="26"/>
      <c r="AB103" s="26"/>
      <c r="AC103" s="26"/>
      <c r="AD103" s="26"/>
      <c r="AF103" s="26"/>
    </row>
    <row r="104" spans="1:32" ht="10.5" customHeight="1">
      <c r="A104" s="13" t="str">
        <f>A17</f>
        <v>Statement of Net Position</v>
      </c>
      <c r="B104" s="13"/>
      <c r="C104" s="13"/>
      <c r="D104" s="27"/>
      <c r="E104" s="11"/>
      <c r="F104" s="30">
        <v>84</v>
      </c>
      <c r="G104" s="26"/>
      <c r="I104" s="26"/>
      <c r="L104" s="26"/>
      <c r="M104" s="26"/>
      <c r="N104" s="26"/>
      <c r="O104" s="26"/>
      <c r="P104" s="26"/>
      <c r="Q104" s="21"/>
      <c r="R104" s="26"/>
      <c r="S104" s="21"/>
      <c r="T104" s="26"/>
      <c r="V104" s="26"/>
      <c r="X104" s="26"/>
      <c r="Z104" s="26"/>
      <c r="AA104" s="26"/>
      <c r="AB104" s="26"/>
      <c r="AC104" s="26"/>
      <c r="AD104" s="26"/>
      <c r="AF104" s="26"/>
    </row>
    <row r="105" spans="1:32" ht="24.75" customHeight="1">
      <c r="A105" s="29" t="str">
        <f>A18</f>
        <v>For the Year Ended June 30, 2023</v>
      </c>
      <c r="B105" s="23"/>
      <c r="C105" s="23"/>
      <c r="D105" s="23"/>
      <c r="E105" s="35"/>
      <c r="F105" s="30">
        <v>85</v>
      </c>
      <c r="G105" s="26"/>
      <c r="I105" s="26"/>
      <c r="L105" s="26"/>
      <c r="M105" s="26"/>
      <c r="N105" s="26"/>
      <c r="O105" s="26"/>
      <c r="P105" s="26"/>
      <c r="Q105" s="26"/>
      <c r="R105" s="26"/>
      <c r="S105" s="26"/>
      <c r="T105" s="26"/>
      <c r="V105" s="26"/>
      <c r="X105" s="26"/>
      <c r="Z105" s="26"/>
      <c r="AA105" s="26"/>
      <c r="AB105" s="26"/>
      <c r="AC105" s="26"/>
      <c r="AD105" s="26"/>
      <c r="AF105" s="26"/>
    </row>
    <row r="106" spans="1:32" ht="12">
      <c r="A106" s="37"/>
      <c r="B106" s="17"/>
      <c r="C106" s="17"/>
      <c r="D106" s="17"/>
      <c r="E106" s="17"/>
      <c r="F106" s="20">
        <v>86</v>
      </c>
      <c r="G106" s="21"/>
      <c r="I106" s="21"/>
      <c r="L106" s="21"/>
      <c r="M106" s="21"/>
      <c r="N106" s="21"/>
      <c r="O106" s="21"/>
      <c r="P106" s="21"/>
      <c r="R106" s="21"/>
      <c r="T106" s="21"/>
      <c r="V106" s="21"/>
      <c r="X106" s="21"/>
      <c r="Z106" s="21"/>
      <c r="AA106" s="21"/>
      <c r="AB106" s="21"/>
      <c r="AC106" s="21"/>
      <c r="AD106" s="21"/>
      <c r="AF106" s="21"/>
    </row>
    <row r="107" spans="1:32" ht="34.799999999999997">
      <c r="A107" s="29" t="s">
        <v>50</v>
      </c>
      <c r="B107" s="23"/>
      <c r="C107" s="23"/>
      <c r="D107" s="23"/>
      <c r="E107" s="23"/>
      <c r="F107" s="30">
        <v>87</v>
      </c>
      <c r="G107" s="16" t="str">
        <f>G21</f>
        <v>DGS - Property Management</v>
      </c>
      <c r="H107" s="16"/>
      <c r="I107" s="16" t="str">
        <f>I21</f>
        <v>DGS - General Services</v>
      </c>
      <c r="J107" s="16"/>
      <c r="L107" s="16" t="str">
        <f>L21</f>
        <v>VA Information Technologies Agency</v>
      </c>
      <c r="M107" s="16"/>
      <c r="N107" s="16" t="str">
        <f>N21</f>
        <v>Secretary of Administration</v>
      </c>
      <c r="O107" s="16"/>
      <c r="P107" s="16" t="str">
        <f>P21</f>
        <v>Enterprise Applications</v>
      </c>
      <c r="Q107" s="132"/>
      <c r="R107" s="16" t="str">
        <f>R21</f>
        <v>VA Correctional Enterprises</v>
      </c>
      <c r="S107" s="16"/>
      <c r="T107" s="16" t="str">
        <f>T21</f>
        <v>Health Insurance Fund</v>
      </c>
      <c r="U107" s="16"/>
      <c r="V107" s="16" t="str">
        <f>V21</f>
        <v>DGS - Fleet Management</v>
      </c>
      <c r="W107" s="16"/>
      <c r="X107" s="16" t="str">
        <f>X21</f>
        <v>Treasury - Risk Management</v>
      </c>
      <c r="Y107" s="16"/>
      <c r="Z107" s="16" t="str">
        <f>Z21</f>
        <v>DHRM - Risk Management</v>
      </c>
      <c r="AA107" s="36"/>
      <c r="AB107" s="16" t="str">
        <f>AB21</f>
        <v>DHRM - Line of Duty</v>
      </c>
      <c r="AC107" s="36"/>
      <c r="AD107" s="16"/>
      <c r="AF107" s="16" t="str">
        <f>AF21</f>
        <v>Payroll Service Bureau</v>
      </c>
    </row>
    <row r="108" spans="1:32" ht="12">
      <c r="A108" s="17" t="s">
        <v>353</v>
      </c>
      <c r="B108" s="17"/>
      <c r="C108" s="17"/>
      <c r="D108" s="17"/>
      <c r="E108" s="17"/>
      <c r="F108" s="30">
        <v>88</v>
      </c>
      <c r="Q108" s="5"/>
      <c r="S108" s="5"/>
    </row>
    <row r="109" spans="1:32" ht="12">
      <c r="A109" s="17"/>
      <c r="B109" s="17" t="s">
        <v>589</v>
      </c>
      <c r="C109" s="17"/>
      <c r="D109" s="17"/>
      <c r="E109" s="17"/>
      <c r="F109" s="30">
        <v>89</v>
      </c>
      <c r="G109" s="31">
        <v>1562278</v>
      </c>
      <c r="I109" s="31">
        <v>5288397</v>
      </c>
      <c r="L109" s="31">
        <v>51872666</v>
      </c>
      <c r="M109" s="5"/>
      <c r="N109" s="31">
        <v>367181</v>
      </c>
      <c r="O109" s="5"/>
      <c r="P109" s="31">
        <v>3306740</v>
      </c>
      <c r="Q109" s="5"/>
      <c r="R109" s="31">
        <v>3043281</v>
      </c>
      <c r="S109" s="5"/>
      <c r="T109" s="31">
        <v>33993852</v>
      </c>
      <c r="V109" s="31">
        <v>2697767</v>
      </c>
      <c r="X109" s="31">
        <v>242430</v>
      </c>
      <c r="Z109" s="31">
        <v>1104889</v>
      </c>
      <c r="AA109" s="5"/>
      <c r="AB109" s="31">
        <v>263464</v>
      </c>
      <c r="AC109" s="5"/>
      <c r="AD109" s="31"/>
      <c r="AF109" s="31">
        <v>55</v>
      </c>
    </row>
    <row r="110" spans="1:32" ht="12">
      <c r="A110" s="17"/>
      <c r="B110" s="17" t="s">
        <v>581</v>
      </c>
      <c r="C110" s="17"/>
      <c r="D110" s="17"/>
      <c r="E110" s="17"/>
      <c r="F110" s="20">
        <v>90</v>
      </c>
      <c r="G110" s="237">
        <v>648089</v>
      </c>
      <c r="I110" s="237">
        <v>360128</v>
      </c>
      <c r="L110" s="237">
        <v>1781940</v>
      </c>
      <c r="M110" s="5"/>
      <c r="N110" s="237">
        <v>70735</v>
      </c>
      <c r="O110" s="5"/>
      <c r="P110" s="237">
        <v>117855</v>
      </c>
      <c r="Q110" s="5"/>
      <c r="R110" s="237">
        <v>713923</v>
      </c>
      <c r="S110" s="5"/>
      <c r="T110" s="31">
        <v>218941</v>
      </c>
      <c r="V110" s="237">
        <v>56427</v>
      </c>
      <c r="X110" s="237">
        <v>89505</v>
      </c>
      <c r="Z110" s="237">
        <v>80083</v>
      </c>
      <c r="AA110" s="5"/>
      <c r="AB110" s="237"/>
      <c r="AC110" s="5"/>
      <c r="AD110" s="237"/>
      <c r="AF110" s="237">
        <v>141844</v>
      </c>
    </row>
    <row r="111" spans="1:32" ht="12">
      <c r="A111" s="17"/>
      <c r="B111" s="17" t="s">
        <v>590</v>
      </c>
      <c r="C111" s="17"/>
      <c r="D111" s="17"/>
      <c r="E111" s="17"/>
      <c r="F111" s="30">
        <v>91</v>
      </c>
      <c r="G111" s="31"/>
      <c r="I111" s="31"/>
      <c r="L111" s="31"/>
      <c r="M111" s="5"/>
      <c r="N111" s="31"/>
      <c r="O111" s="5"/>
      <c r="P111" s="31"/>
      <c r="Q111" s="5"/>
      <c r="R111" s="31"/>
      <c r="S111" s="5"/>
      <c r="T111" s="31"/>
      <c r="V111" s="31"/>
      <c r="X111" s="31"/>
      <c r="Z111" s="31"/>
      <c r="AA111" s="5"/>
      <c r="AB111" s="31"/>
      <c r="AC111" s="5"/>
      <c r="AD111" s="31"/>
      <c r="AF111" s="31"/>
    </row>
    <row r="112" spans="1:32" ht="12">
      <c r="A112" s="17"/>
      <c r="B112" s="17" t="s">
        <v>258</v>
      </c>
      <c r="C112" s="17"/>
      <c r="D112" s="17"/>
      <c r="E112" s="17"/>
      <c r="F112" s="30">
        <v>92</v>
      </c>
      <c r="G112" s="31"/>
      <c r="I112" s="31"/>
      <c r="L112" s="31"/>
      <c r="M112" s="5"/>
      <c r="N112" s="31"/>
      <c r="O112" s="5"/>
      <c r="P112" s="31"/>
      <c r="Q112" s="5"/>
      <c r="R112" s="31"/>
      <c r="S112" s="5"/>
      <c r="T112" s="31"/>
      <c r="V112" s="31"/>
      <c r="X112" s="31"/>
      <c r="Z112" s="31"/>
      <c r="AA112" s="5"/>
      <c r="AB112" s="237"/>
      <c r="AC112" s="5"/>
      <c r="AD112" s="237"/>
      <c r="AF112" s="237"/>
    </row>
    <row r="113" spans="1:32" ht="12">
      <c r="A113" s="17"/>
      <c r="B113" s="33"/>
      <c r="C113" s="33" t="s">
        <v>321</v>
      </c>
      <c r="D113" s="17"/>
      <c r="E113" s="17"/>
      <c r="F113" s="20">
        <v>93</v>
      </c>
      <c r="G113" s="34">
        <f>SUM(G109:G112)</f>
        <v>2210367</v>
      </c>
      <c r="I113" s="34">
        <f>SUM(I109:I112)</f>
        <v>5648525</v>
      </c>
      <c r="L113" s="34">
        <f>SUM(L109:L112)</f>
        <v>53654606</v>
      </c>
      <c r="M113" s="5"/>
      <c r="N113" s="34">
        <f>SUM(N109:N112)</f>
        <v>437916</v>
      </c>
      <c r="O113" s="5"/>
      <c r="P113" s="34">
        <f>SUM(P109:P112)</f>
        <v>3424595</v>
      </c>
      <c r="Q113" s="5"/>
      <c r="R113" s="34">
        <f t="shared" ref="R113:AF113" si="19">SUM(R109:R112)</f>
        <v>3757204</v>
      </c>
      <c r="S113" s="5"/>
      <c r="T113" s="34">
        <f t="shared" si="19"/>
        <v>34212793</v>
      </c>
      <c r="U113" s="5"/>
      <c r="V113" s="34">
        <f t="shared" si="19"/>
        <v>2754194</v>
      </c>
      <c r="W113" s="5"/>
      <c r="X113" s="34">
        <f>SUM(X109:X112)</f>
        <v>331935</v>
      </c>
      <c r="Y113" s="5"/>
      <c r="Z113" s="34">
        <f>SUM(Z109:Z112)</f>
        <v>1184972</v>
      </c>
      <c r="AA113" s="5"/>
      <c r="AB113" s="34">
        <f t="shared" ref="AB113" si="20">SUM(AB109:AB112)</f>
        <v>263464</v>
      </c>
      <c r="AC113" s="5"/>
      <c r="AD113" s="34"/>
      <c r="AF113" s="34">
        <f t="shared" si="19"/>
        <v>141899</v>
      </c>
    </row>
    <row r="114" spans="1:32" ht="12">
      <c r="A114" s="17"/>
      <c r="B114" s="33"/>
      <c r="C114" s="33"/>
      <c r="D114" s="17"/>
      <c r="E114" s="17"/>
      <c r="F114" s="30">
        <v>94</v>
      </c>
      <c r="G114" s="5"/>
      <c r="I114" s="5"/>
      <c r="L114" s="5"/>
      <c r="M114" s="5"/>
      <c r="N114" s="5"/>
      <c r="O114" s="5"/>
      <c r="P114" s="5"/>
      <c r="Q114" s="5"/>
      <c r="R114" s="5"/>
      <c r="S114" s="5"/>
      <c r="T114" s="5"/>
      <c r="V114" s="5"/>
      <c r="X114" s="5"/>
      <c r="Z114" s="5"/>
      <c r="AA114" s="5"/>
      <c r="AB114" s="5"/>
      <c r="AC114" s="5"/>
      <c r="AD114" s="5"/>
      <c r="AF114" s="5"/>
    </row>
    <row r="115" spans="1:32" ht="12">
      <c r="A115" s="17"/>
      <c r="B115" s="17" t="s">
        <v>643</v>
      </c>
      <c r="C115" s="33"/>
      <c r="D115" s="17"/>
      <c r="E115" s="17"/>
      <c r="F115" s="30">
        <v>95</v>
      </c>
      <c r="G115" s="237">
        <v>41600</v>
      </c>
      <c r="I115" s="237">
        <v>4213406</v>
      </c>
      <c r="L115" s="237"/>
      <c r="M115" s="5"/>
      <c r="N115" s="237"/>
      <c r="O115" s="5"/>
      <c r="P115" s="237"/>
      <c r="Q115" s="5"/>
      <c r="R115" s="237"/>
      <c r="S115" s="5"/>
      <c r="T115" s="31"/>
      <c r="V115" s="237">
        <v>221046</v>
      </c>
      <c r="X115" s="237"/>
      <c r="Z115" s="237"/>
      <c r="AA115" s="5"/>
      <c r="AB115" s="237"/>
      <c r="AC115" s="5"/>
      <c r="AD115" s="237"/>
      <c r="AF115" s="237"/>
    </row>
    <row r="116" spans="1:32" ht="12">
      <c r="A116" s="17"/>
      <c r="B116" s="17" t="s">
        <v>207</v>
      </c>
      <c r="C116" s="33"/>
      <c r="D116" s="17"/>
      <c r="E116" s="17"/>
      <c r="F116" s="20">
        <v>96</v>
      </c>
      <c r="G116" s="31">
        <v>76554</v>
      </c>
      <c r="I116" s="31">
        <v>39211</v>
      </c>
      <c r="L116" s="237">
        <v>131863</v>
      </c>
      <c r="M116" s="5"/>
      <c r="N116" s="237">
        <v>4132</v>
      </c>
      <c r="O116" s="5"/>
      <c r="P116" s="31">
        <v>7929</v>
      </c>
      <c r="Q116" s="5"/>
      <c r="R116" s="237">
        <v>93253</v>
      </c>
      <c r="S116" s="5"/>
      <c r="T116" s="31"/>
      <c r="V116" s="31">
        <v>5699</v>
      </c>
      <c r="X116" s="31">
        <v>9579</v>
      </c>
      <c r="Z116" s="31">
        <v>5960</v>
      </c>
      <c r="AA116" s="5"/>
      <c r="AB116" s="31"/>
      <c r="AC116" s="5"/>
      <c r="AD116" s="31"/>
      <c r="AF116" s="31">
        <v>14388</v>
      </c>
    </row>
    <row r="117" spans="1:32" ht="12">
      <c r="A117" s="17"/>
      <c r="B117" s="33"/>
      <c r="C117" s="33" t="s">
        <v>300</v>
      </c>
      <c r="D117" s="17"/>
      <c r="E117" s="17"/>
      <c r="F117" s="30">
        <v>97</v>
      </c>
      <c r="G117" s="34">
        <f>SUM(G115:G116)</f>
        <v>118154</v>
      </c>
      <c r="I117" s="34">
        <f>SUM(I115:I116)</f>
        <v>4252617</v>
      </c>
      <c r="L117" s="34">
        <f>SUM(L115:L116)</f>
        <v>131863</v>
      </c>
      <c r="M117" s="5"/>
      <c r="N117" s="34">
        <f>SUM(N115:N116)</f>
        <v>4132</v>
      </c>
      <c r="O117" s="5"/>
      <c r="P117" s="34">
        <f>SUM(P115:P116)</f>
        <v>7929</v>
      </c>
      <c r="Q117" s="5"/>
      <c r="R117" s="34">
        <f t="shared" ref="R117:AF117" si="21">SUM(R115:R116)</f>
        <v>93253</v>
      </c>
      <c r="S117" s="5"/>
      <c r="T117" s="34">
        <f t="shared" si="21"/>
        <v>0</v>
      </c>
      <c r="U117" s="5"/>
      <c r="V117" s="34">
        <f t="shared" si="21"/>
        <v>226745</v>
      </c>
      <c r="W117" s="5"/>
      <c r="X117" s="34">
        <f>SUM(X115:X116)</f>
        <v>9579</v>
      </c>
      <c r="Y117" s="5"/>
      <c r="Z117" s="34">
        <f>SUM(Z115:Z116)</f>
        <v>5960</v>
      </c>
      <c r="AA117" s="5"/>
      <c r="AB117" s="34">
        <f t="shared" ref="AB117" si="22">SUM(AB115:AB116)</f>
        <v>0</v>
      </c>
      <c r="AC117" s="5"/>
      <c r="AD117" s="34"/>
      <c r="AF117" s="34">
        <f t="shared" si="21"/>
        <v>14388</v>
      </c>
    </row>
    <row r="118" spans="1:32" ht="12">
      <c r="A118" s="17"/>
      <c r="B118" s="33"/>
      <c r="C118" s="17"/>
      <c r="D118" s="17"/>
      <c r="E118" s="17"/>
      <c r="F118" s="30">
        <v>98</v>
      </c>
      <c r="G118" s="5"/>
      <c r="I118" s="5"/>
      <c r="L118" s="5"/>
      <c r="M118" s="5"/>
      <c r="N118" s="5"/>
      <c r="O118" s="5"/>
      <c r="P118" s="5"/>
      <c r="Q118" s="5"/>
      <c r="R118" s="5"/>
      <c r="S118" s="5"/>
      <c r="T118" s="5"/>
      <c r="V118" s="5"/>
      <c r="X118" s="5"/>
      <c r="Z118" s="5"/>
      <c r="AA118" s="5"/>
      <c r="AB118" s="5"/>
      <c r="AC118" s="5"/>
      <c r="AD118" s="5"/>
      <c r="AF118" s="5"/>
    </row>
    <row r="119" spans="1:32" ht="12">
      <c r="A119" s="17"/>
      <c r="B119" s="33" t="s">
        <v>14</v>
      </c>
      <c r="C119" s="17"/>
      <c r="D119" s="17"/>
      <c r="E119" s="17"/>
      <c r="F119" s="20">
        <v>99</v>
      </c>
      <c r="G119" s="237">
        <v>92660</v>
      </c>
      <c r="I119" s="237">
        <v>52757</v>
      </c>
      <c r="L119" s="237">
        <v>252048</v>
      </c>
      <c r="M119" s="5"/>
      <c r="N119" s="237">
        <v>8285</v>
      </c>
      <c r="O119" s="5"/>
      <c r="P119" s="237">
        <v>18327</v>
      </c>
      <c r="Q119" s="5"/>
      <c r="R119" s="237">
        <v>91420</v>
      </c>
      <c r="S119" s="5"/>
      <c r="T119" s="31">
        <v>31315</v>
      </c>
      <c r="V119" s="237">
        <v>8323</v>
      </c>
      <c r="X119" s="237">
        <v>13553</v>
      </c>
      <c r="Z119" s="237">
        <v>7709</v>
      </c>
      <c r="AA119" s="5"/>
      <c r="AB119" s="237"/>
      <c r="AC119" s="5"/>
      <c r="AD119" s="237"/>
      <c r="AF119" s="237">
        <v>19749</v>
      </c>
    </row>
    <row r="120" spans="1:32" ht="12">
      <c r="A120" s="17"/>
      <c r="B120" s="33" t="s">
        <v>642</v>
      </c>
      <c r="C120" s="17"/>
      <c r="D120" s="17"/>
      <c r="E120" s="17"/>
      <c r="F120" s="30">
        <v>100</v>
      </c>
      <c r="G120" s="31">
        <v>0</v>
      </c>
      <c r="I120" s="31"/>
      <c r="L120" s="31">
        <v>0</v>
      </c>
      <c r="M120" s="5"/>
      <c r="N120" s="31">
        <v>0</v>
      </c>
      <c r="O120" s="5"/>
      <c r="P120" s="31">
        <v>0</v>
      </c>
      <c r="Q120" s="5"/>
      <c r="R120" s="31">
        <v>0</v>
      </c>
      <c r="S120" s="5"/>
      <c r="T120" s="31">
        <v>0</v>
      </c>
      <c r="V120" s="31"/>
      <c r="X120" s="31">
        <v>0</v>
      </c>
      <c r="Z120" s="31">
        <v>0</v>
      </c>
      <c r="AA120" s="5"/>
      <c r="AB120" s="31"/>
      <c r="AC120" s="5"/>
      <c r="AD120" s="31"/>
      <c r="AF120" s="31">
        <v>9485</v>
      </c>
    </row>
    <row r="121" spans="1:32" ht="12">
      <c r="A121" s="17"/>
      <c r="B121" s="33" t="s">
        <v>644</v>
      </c>
      <c r="C121" s="17"/>
      <c r="D121" s="17"/>
      <c r="E121" s="17"/>
      <c r="F121" s="30">
        <v>101</v>
      </c>
      <c r="G121" s="31">
        <v>0</v>
      </c>
      <c r="I121" s="237"/>
      <c r="L121" s="237">
        <v>0</v>
      </c>
      <c r="M121" s="5"/>
      <c r="N121" s="237">
        <v>0</v>
      </c>
      <c r="O121" s="5"/>
      <c r="P121" s="237">
        <v>21835630</v>
      </c>
      <c r="Q121" s="5"/>
      <c r="R121" s="31">
        <v>0</v>
      </c>
      <c r="S121" s="5"/>
      <c r="T121" s="31">
        <v>0</v>
      </c>
      <c r="V121" s="31"/>
      <c r="X121" s="31">
        <v>0</v>
      </c>
      <c r="Z121" s="31">
        <v>3128462</v>
      </c>
      <c r="AA121" s="5"/>
      <c r="AB121" s="31"/>
      <c r="AC121" s="5"/>
      <c r="AD121" s="31"/>
      <c r="AF121" s="31"/>
    </row>
    <row r="122" spans="1:32" ht="12">
      <c r="A122" s="17"/>
      <c r="B122" s="33" t="s">
        <v>578</v>
      </c>
      <c r="C122" s="17"/>
      <c r="D122" s="17"/>
      <c r="E122" s="17"/>
      <c r="F122" s="20">
        <v>102</v>
      </c>
      <c r="G122" s="237">
        <v>26407721</v>
      </c>
      <c r="I122" s="31"/>
      <c r="L122" s="31">
        <v>45603217</v>
      </c>
      <c r="M122" s="5"/>
      <c r="N122" s="31">
        <v>469990</v>
      </c>
      <c r="O122" s="5"/>
      <c r="P122" s="31"/>
      <c r="Q122" s="5"/>
      <c r="R122" s="31">
        <v>2942541</v>
      </c>
      <c r="S122" s="5"/>
      <c r="T122" s="31">
        <v>0</v>
      </c>
      <c r="V122" s="31"/>
      <c r="X122" s="237">
        <v>7440201</v>
      </c>
      <c r="Z122" s="31">
        <v>29091592</v>
      </c>
      <c r="AA122" s="5"/>
      <c r="AB122" s="31"/>
      <c r="AC122" s="5"/>
      <c r="AD122" s="31"/>
      <c r="AF122" s="31"/>
    </row>
    <row r="123" spans="1:32" ht="12">
      <c r="A123" s="17"/>
      <c r="B123" s="33" t="s">
        <v>651</v>
      </c>
      <c r="C123" s="17"/>
      <c r="D123" s="17"/>
      <c r="E123" s="17"/>
      <c r="F123" s="30">
        <v>103</v>
      </c>
      <c r="G123" s="31"/>
      <c r="I123" s="31"/>
      <c r="L123" s="31"/>
      <c r="M123" s="5"/>
      <c r="N123" s="31"/>
      <c r="O123" s="5"/>
      <c r="P123" s="31"/>
      <c r="Q123" s="5"/>
      <c r="R123" s="31"/>
      <c r="S123" s="5"/>
      <c r="T123" s="31">
        <v>95188890</v>
      </c>
      <c r="V123" s="31"/>
      <c r="X123" s="31">
        <v>29431000</v>
      </c>
      <c r="Z123" s="31">
        <v>37863000</v>
      </c>
      <c r="AA123" s="5"/>
      <c r="AB123" s="31">
        <v>403902</v>
      </c>
      <c r="AC123" s="5"/>
      <c r="AD123" s="31"/>
      <c r="AF123" s="31"/>
    </row>
    <row r="124" spans="1:32" ht="12">
      <c r="A124" s="17"/>
      <c r="B124" s="33" t="s">
        <v>645</v>
      </c>
      <c r="C124" s="17"/>
      <c r="D124" s="17"/>
      <c r="E124" s="17"/>
      <c r="F124" s="30">
        <v>104</v>
      </c>
      <c r="G124" s="31"/>
      <c r="I124" s="31"/>
      <c r="L124" s="31"/>
      <c r="M124" s="5"/>
      <c r="N124" s="31"/>
      <c r="O124" s="5"/>
      <c r="P124" s="31"/>
      <c r="Q124" s="5"/>
      <c r="R124" s="31"/>
      <c r="S124" s="5"/>
      <c r="T124" s="31">
        <v>49399321</v>
      </c>
      <c r="V124" s="31"/>
      <c r="X124" s="31">
        <v>15412839</v>
      </c>
      <c r="Z124" s="31">
        <v>12748089</v>
      </c>
      <c r="AA124" s="5"/>
      <c r="AB124" s="31">
        <v>99499</v>
      </c>
      <c r="AC124" s="5"/>
      <c r="AD124" s="31"/>
      <c r="AF124" s="31"/>
    </row>
    <row r="125" spans="1:32" ht="12">
      <c r="A125" s="17"/>
      <c r="B125" s="33" t="s">
        <v>2705</v>
      </c>
      <c r="C125" s="17"/>
      <c r="D125" s="17"/>
      <c r="E125" s="17"/>
      <c r="F125" s="20">
        <v>105</v>
      </c>
      <c r="G125" s="31"/>
      <c r="I125" s="31"/>
      <c r="L125" s="31"/>
      <c r="M125" s="5"/>
      <c r="N125" s="31"/>
      <c r="O125" s="5"/>
      <c r="P125" s="31"/>
      <c r="Q125" s="5"/>
      <c r="R125" s="31"/>
      <c r="S125" s="5"/>
      <c r="T125" s="31"/>
      <c r="V125" s="31"/>
      <c r="X125" s="31"/>
      <c r="Z125" s="31"/>
      <c r="AA125" s="5"/>
      <c r="AB125" s="31"/>
      <c r="AC125" s="5"/>
      <c r="AD125" s="31"/>
      <c r="AF125" s="31"/>
    </row>
    <row r="126" spans="1:32" ht="12">
      <c r="A126" s="17"/>
      <c r="B126" s="33"/>
      <c r="C126" s="17"/>
      <c r="D126" s="17"/>
      <c r="E126" s="17"/>
      <c r="F126" s="30">
        <v>106</v>
      </c>
      <c r="G126" s="5"/>
      <c r="I126" s="5"/>
      <c r="L126" s="5"/>
      <c r="M126" s="5"/>
      <c r="N126" s="5"/>
      <c r="O126" s="5"/>
      <c r="P126" s="5"/>
      <c r="Q126" s="5"/>
      <c r="R126" s="5"/>
      <c r="S126" s="5"/>
      <c r="T126" s="5"/>
      <c r="V126" s="5"/>
      <c r="X126" s="5"/>
      <c r="Z126" s="5"/>
      <c r="AA126" s="5"/>
      <c r="AB126" s="5"/>
      <c r="AC126" s="5"/>
      <c r="AD126" s="5"/>
      <c r="AF126" s="5"/>
    </row>
    <row r="127" spans="1:32" ht="12">
      <c r="A127" s="17"/>
      <c r="B127" s="17" t="s">
        <v>646</v>
      </c>
      <c r="C127" s="17"/>
      <c r="D127" s="17"/>
      <c r="E127" s="17"/>
      <c r="F127" s="30">
        <v>107</v>
      </c>
      <c r="G127" s="31"/>
      <c r="I127" s="31"/>
      <c r="L127" s="31"/>
      <c r="M127" s="5"/>
      <c r="N127" s="31"/>
      <c r="O127" s="5"/>
      <c r="P127" s="31"/>
      <c r="Q127" s="5"/>
      <c r="R127" s="31"/>
      <c r="S127" s="5"/>
      <c r="T127" s="31"/>
      <c r="V127" s="31"/>
      <c r="X127" s="31"/>
      <c r="Z127" s="31"/>
      <c r="AA127" s="5"/>
      <c r="AB127" s="31"/>
      <c r="AC127" s="5"/>
      <c r="AD127" s="31"/>
      <c r="AF127" s="31"/>
    </row>
    <row r="128" spans="1:32" ht="12">
      <c r="A128" s="17"/>
      <c r="B128" s="17" t="s">
        <v>648</v>
      </c>
      <c r="C128" s="17"/>
      <c r="D128" s="17"/>
      <c r="E128" s="17"/>
      <c r="F128" s="20">
        <v>108</v>
      </c>
      <c r="G128" s="31"/>
      <c r="I128" s="31"/>
      <c r="L128" s="237"/>
      <c r="M128" s="5"/>
      <c r="N128" s="237"/>
      <c r="O128" s="5"/>
      <c r="P128" s="31"/>
      <c r="Q128" s="5"/>
      <c r="R128" s="31"/>
      <c r="S128" s="5"/>
      <c r="T128" s="31"/>
      <c r="V128" s="31"/>
      <c r="X128" s="31"/>
      <c r="Z128" s="31"/>
      <c r="AA128" s="5"/>
      <c r="AB128" s="31"/>
      <c r="AC128" s="5"/>
      <c r="AD128" s="31"/>
      <c r="AF128" s="31"/>
    </row>
    <row r="129" spans="1:32" ht="12">
      <c r="A129" s="17"/>
      <c r="B129" s="17" t="s">
        <v>649</v>
      </c>
      <c r="C129" s="17"/>
      <c r="D129" s="17"/>
      <c r="E129" s="17"/>
      <c r="F129" s="30">
        <v>109</v>
      </c>
      <c r="G129" s="31">
        <v>564202</v>
      </c>
      <c r="I129" s="31">
        <v>98389</v>
      </c>
      <c r="L129" s="31"/>
      <c r="M129" s="5"/>
      <c r="N129" s="31"/>
      <c r="O129" s="5"/>
      <c r="P129" s="31"/>
      <c r="Q129" s="5"/>
      <c r="R129" s="31">
        <v>-15</v>
      </c>
      <c r="S129" s="5"/>
      <c r="T129" s="31"/>
      <c r="V129" s="31"/>
      <c r="X129" s="31"/>
      <c r="Z129" s="31"/>
      <c r="AA129" s="5"/>
      <c r="AB129" s="31"/>
      <c r="AC129" s="5"/>
      <c r="AD129" s="31"/>
      <c r="AF129" s="31"/>
    </row>
    <row r="130" spans="1:32" ht="12">
      <c r="A130" s="17"/>
      <c r="B130" s="17"/>
      <c r="C130" s="33" t="s">
        <v>545</v>
      </c>
      <c r="D130" s="17"/>
      <c r="E130" s="17"/>
      <c r="F130" s="30">
        <v>110</v>
      </c>
      <c r="G130" s="34">
        <f>SUM(G127:G129)</f>
        <v>564202</v>
      </c>
      <c r="I130" s="34">
        <f>SUM(I127:I129)</f>
        <v>98389</v>
      </c>
      <c r="L130" s="34">
        <f>SUM(L127:L129)</f>
        <v>0</v>
      </c>
      <c r="M130" s="5"/>
      <c r="N130" s="34">
        <f>SUM(N127:N129)</f>
        <v>0</v>
      </c>
      <c r="O130" s="5"/>
      <c r="P130" s="34">
        <f>SUM(P127:P129)</f>
        <v>0</v>
      </c>
      <c r="Q130" s="5"/>
      <c r="R130" s="34">
        <f>SUM(R127:R129)</f>
        <v>-15</v>
      </c>
      <c r="S130" s="5"/>
      <c r="T130" s="34">
        <f>SUM(T127:T129)</f>
        <v>0</v>
      </c>
      <c r="U130" s="5"/>
      <c r="V130" s="34">
        <f>SUM(V127:V129)</f>
        <v>0</v>
      </c>
      <c r="W130" s="5"/>
      <c r="X130" s="34">
        <f>SUM(X127:X129)</f>
        <v>0</v>
      </c>
      <c r="Y130" s="5"/>
      <c r="Z130" s="34">
        <f>SUM(Z127:Z129)</f>
        <v>0</v>
      </c>
      <c r="AA130" s="5"/>
      <c r="AB130" s="34">
        <f>SUM(AB127:AB129)</f>
        <v>0</v>
      </c>
      <c r="AC130" s="5"/>
      <c r="AD130" s="34"/>
      <c r="AF130" s="34">
        <f>SUM(AF127:AF129)</f>
        <v>0</v>
      </c>
    </row>
    <row r="131" spans="1:32" ht="12">
      <c r="A131" s="17"/>
      <c r="B131" s="17"/>
      <c r="C131" s="33"/>
      <c r="D131" s="17"/>
      <c r="E131" s="17"/>
      <c r="F131" s="20">
        <v>111</v>
      </c>
      <c r="G131" s="5"/>
      <c r="I131" s="5"/>
      <c r="L131" s="5"/>
      <c r="M131" s="5"/>
      <c r="N131" s="5"/>
      <c r="O131" s="5"/>
      <c r="P131" s="5"/>
      <c r="Q131" s="5"/>
      <c r="R131" s="5"/>
      <c r="S131" s="5"/>
      <c r="T131" s="5"/>
      <c r="V131" s="5"/>
      <c r="X131" s="5"/>
      <c r="Z131" s="5"/>
      <c r="AA131" s="5"/>
      <c r="AB131" s="5"/>
      <c r="AC131" s="5"/>
      <c r="AD131" s="5"/>
      <c r="AF131" s="5"/>
    </row>
    <row r="132" spans="1:32" ht="12" hidden="1">
      <c r="A132" s="17"/>
      <c r="B132" s="17" t="s">
        <v>650</v>
      </c>
      <c r="C132" s="33"/>
      <c r="D132" s="17"/>
      <c r="E132" s="17"/>
      <c r="F132" s="30">
        <v>112</v>
      </c>
      <c r="G132" s="31"/>
      <c r="I132" s="31"/>
      <c r="L132" s="31"/>
      <c r="M132" s="5"/>
      <c r="N132" s="31"/>
      <c r="O132" s="5"/>
      <c r="P132" s="31"/>
      <c r="Q132" s="5"/>
      <c r="R132" s="31"/>
      <c r="S132" s="5"/>
      <c r="T132" s="31"/>
      <c r="V132" s="31"/>
      <c r="X132" s="31"/>
      <c r="Z132" s="31"/>
      <c r="AA132" s="5"/>
      <c r="AB132" s="31"/>
      <c r="AC132" s="5"/>
      <c r="AD132" s="31"/>
      <c r="AF132" s="31"/>
    </row>
    <row r="133" spans="1:32" ht="12" hidden="1">
      <c r="A133" s="17"/>
      <c r="B133" s="17" t="s">
        <v>616</v>
      </c>
      <c r="C133" s="33"/>
      <c r="D133" s="17"/>
      <c r="E133" s="17"/>
      <c r="F133" s="30">
        <v>113</v>
      </c>
      <c r="G133" s="31"/>
      <c r="I133" s="31"/>
      <c r="L133" s="31"/>
      <c r="M133" s="5"/>
      <c r="N133" s="31"/>
      <c r="O133" s="5"/>
      <c r="P133" s="31"/>
      <c r="Q133" s="5"/>
      <c r="R133" s="31"/>
      <c r="S133" s="5"/>
      <c r="T133" s="31"/>
      <c r="V133" s="31"/>
      <c r="X133" s="31"/>
      <c r="Z133" s="31"/>
      <c r="AA133" s="5"/>
      <c r="AB133" s="31"/>
      <c r="AC133" s="5"/>
      <c r="AD133" s="31"/>
      <c r="AF133" s="31"/>
    </row>
    <row r="134" spans="1:32" ht="12">
      <c r="A134" s="17"/>
      <c r="B134" s="17" t="s">
        <v>647</v>
      </c>
      <c r="C134" s="33"/>
      <c r="D134" s="17"/>
      <c r="E134" s="17"/>
      <c r="F134" s="20">
        <v>114</v>
      </c>
      <c r="G134" s="31">
        <v>289632</v>
      </c>
      <c r="I134" s="31">
        <v>161585</v>
      </c>
      <c r="L134" s="31">
        <v>1963815</v>
      </c>
      <c r="M134" s="5"/>
      <c r="N134" s="31"/>
      <c r="O134" s="5"/>
      <c r="P134" s="31">
        <v>149577</v>
      </c>
      <c r="Q134" s="5"/>
      <c r="R134" s="31"/>
      <c r="S134" s="5"/>
      <c r="T134" s="31">
        <v>367358</v>
      </c>
      <c r="V134" s="31">
        <v>28079</v>
      </c>
      <c r="X134" s="31">
        <v>18174</v>
      </c>
      <c r="Z134" s="31">
        <v>125387</v>
      </c>
      <c r="AA134" s="5"/>
      <c r="AB134" s="237"/>
      <c r="AC134" s="5"/>
      <c r="AD134" s="237"/>
      <c r="AF134" s="237">
        <v>109018</v>
      </c>
    </row>
    <row r="135" spans="1:32" ht="12">
      <c r="A135" s="17"/>
      <c r="B135" s="17" t="s">
        <v>3278</v>
      </c>
      <c r="C135" s="33"/>
      <c r="D135" s="17"/>
      <c r="E135" s="17"/>
      <c r="F135" s="30">
        <v>115</v>
      </c>
      <c r="G135" s="237">
        <v>16654497</v>
      </c>
      <c r="I135" s="31">
        <v>0</v>
      </c>
      <c r="L135" s="31">
        <v>14110538</v>
      </c>
      <c r="M135" s="5"/>
      <c r="N135" s="31"/>
      <c r="O135" s="5"/>
      <c r="P135" s="31"/>
      <c r="Q135" s="5"/>
      <c r="R135" s="31">
        <v>149396</v>
      </c>
      <c r="S135" s="5"/>
      <c r="T135" s="31"/>
      <c r="V135" s="31">
        <v>0</v>
      </c>
      <c r="X135" s="237"/>
      <c r="Z135" s="237"/>
      <c r="AA135" s="5"/>
      <c r="AB135" s="31"/>
      <c r="AC135" s="5"/>
      <c r="AD135" s="31"/>
      <c r="AF135" s="31"/>
    </row>
    <row r="136" spans="1:32" ht="12">
      <c r="A136" s="17"/>
      <c r="B136" s="17" t="s">
        <v>277</v>
      </c>
      <c r="C136" s="33"/>
      <c r="D136" s="17"/>
      <c r="E136" s="17"/>
      <c r="F136" s="30">
        <v>116</v>
      </c>
      <c r="G136" s="31">
        <v>1300171</v>
      </c>
      <c r="I136" s="31">
        <v>63448</v>
      </c>
      <c r="L136" s="31">
        <v>0</v>
      </c>
      <c r="M136" s="5"/>
      <c r="N136" s="31"/>
      <c r="O136" s="5"/>
      <c r="P136" s="31"/>
      <c r="Q136" s="5"/>
      <c r="R136" s="31">
        <v>0</v>
      </c>
      <c r="S136" s="5"/>
      <c r="T136" s="31"/>
      <c r="V136" s="31">
        <v>4365758</v>
      </c>
      <c r="X136" s="31"/>
      <c r="Z136" s="31"/>
      <c r="AA136" s="5"/>
      <c r="AB136" s="31"/>
      <c r="AC136" s="5"/>
      <c r="AD136" s="31"/>
      <c r="AF136" s="31"/>
    </row>
    <row r="137" spans="1:32" ht="12">
      <c r="A137" s="17"/>
      <c r="B137" s="17" t="s">
        <v>3270</v>
      </c>
      <c r="C137" s="33"/>
      <c r="D137" s="17"/>
      <c r="E137" s="17"/>
      <c r="F137" s="20">
        <v>117</v>
      </c>
      <c r="G137" s="31">
        <v>0</v>
      </c>
      <c r="I137" s="31"/>
      <c r="L137" s="31">
        <v>0</v>
      </c>
      <c r="M137" s="5"/>
      <c r="N137" s="31"/>
      <c r="O137" s="5"/>
      <c r="P137" s="31"/>
      <c r="Q137" s="5"/>
      <c r="R137" s="31">
        <v>0</v>
      </c>
      <c r="S137" s="5"/>
      <c r="T137" s="31"/>
      <c r="V137" s="31"/>
      <c r="X137" s="31"/>
      <c r="Z137" s="31"/>
      <c r="AA137" s="5"/>
      <c r="AB137" s="31"/>
      <c r="AC137" s="5"/>
      <c r="AD137" s="31"/>
      <c r="AF137" s="31"/>
    </row>
    <row r="138" spans="1:32" ht="12">
      <c r="A138" s="17"/>
      <c r="B138" s="17" t="s">
        <v>3279</v>
      </c>
      <c r="C138" s="33"/>
      <c r="D138" s="17"/>
      <c r="E138" s="17"/>
      <c r="F138" s="30">
        <v>118</v>
      </c>
      <c r="G138" s="31">
        <v>454253</v>
      </c>
      <c r="I138" s="31"/>
      <c r="L138" s="31">
        <v>31498553</v>
      </c>
      <c r="M138" s="5"/>
      <c r="N138" s="31"/>
      <c r="O138" s="5"/>
      <c r="P138" s="31"/>
      <c r="Q138" s="5"/>
      <c r="R138" s="31">
        <v>39082</v>
      </c>
      <c r="S138" s="5"/>
      <c r="T138" s="31"/>
      <c r="V138" s="31"/>
      <c r="X138" s="31"/>
      <c r="Z138" s="31"/>
      <c r="AA138" s="5"/>
      <c r="AB138" s="31"/>
      <c r="AC138" s="5"/>
      <c r="AD138" s="31"/>
      <c r="AF138" s="31"/>
    </row>
    <row r="139" spans="1:32" ht="12">
      <c r="A139" s="17"/>
      <c r="B139" s="17" t="s">
        <v>278</v>
      </c>
      <c r="C139" s="33"/>
      <c r="D139" s="17"/>
      <c r="E139" s="17"/>
      <c r="F139" s="30">
        <v>119</v>
      </c>
      <c r="G139" s="31"/>
      <c r="I139" s="31"/>
      <c r="L139" s="31"/>
      <c r="M139" s="5"/>
      <c r="N139" s="31"/>
      <c r="O139" s="5"/>
      <c r="P139" s="31"/>
      <c r="Q139" s="5"/>
      <c r="R139" s="31"/>
      <c r="S139" s="5"/>
      <c r="T139" s="31"/>
      <c r="V139" s="31"/>
      <c r="X139" s="31"/>
      <c r="Z139" s="31"/>
      <c r="AA139" s="5"/>
      <c r="AB139" s="31"/>
      <c r="AC139" s="5"/>
      <c r="AD139" s="31"/>
      <c r="AF139" s="31"/>
    </row>
    <row r="140" spans="1:32" ht="12">
      <c r="A140" s="17"/>
      <c r="B140" s="17" t="s">
        <v>82</v>
      </c>
      <c r="C140" s="33"/>
      <c r="D140" s="17"/>
      <c r="E140" s="17"/>
      <c r="F140" s="20">
        <v>120</v>
      </c>
      <c r="G140" s="31"/>
      <c r="I140" s="31"/>
      <c r="L140" s="31"/>
      <c r="M140" s="5"/>
      <c r="N140" s="31"/>
      <c r="O140" s="5"/>
      <c r="P140" s="31"/>
      <c r="Q140" s="5"/>
      <c r="R140" s="31"/>
      <c r="S140" s="5"/>
      <c r="T140" s="31"/>
      <c r="V140" s="31"/>
      <c r="X140" s="31"/>
      <c r="Z140" s="31"/>
      <c r="AA140" s="5"/>
      <c r="AB140" s="31"/>
      <c r="AC140" s="5"/>
      <c r="AD140" s="31"/>
      <c r="AF140" s="31"/>
    </row>
    <row r="141" spans="1:32" ht="12">
      <c r="A141" s="17"/>
      <c r="B141" s="17"/>
      <c r="C141" s="33" t="s">
        <v>81</v>
      </c>
      <c r="D141" s="17"/>
      <c r="E141" s="17"/>
      <c r="F141" s="30">
        <v>121</v>
      </c>
      <c r="G141" s="34">
        <f>SUM(G134:G140)</f>
        <v>18698553</v>
      </c>
      <c r="I141" s="34">
        <f>SUM(I134:I140)</f>
        <v>225033</v>
      </c>
      <c r="L141" s="34">
        <f>SUM(L134:L140)</f>
        <v>47572906</v>
      </c>
      <c r="M141" s="5"/>
      <c r="N141" s="34">
        <f>SUM(N134:N140)</f>
        <v>0</v>
      </c>
      <c r="O141" s="5"/>
      <c r="P141" s="34">
        <f>SUM(P134:P140)</f>
        <v>149577</v>
      </c>
      <c r="Q141" s="5"/>
      <c r="R141" s="34">
        <f>SUM(R134:R140)</f>
        <v>188478</v>
      </c>
      <c r="S141" s="5"/>
      <c r="T141" s="34">
        <f>SUM(T134:T140)</f>
        <v>367358</v>
      </c>
      <c r="U141" s="5"/>
      <c r="V141" s="34">
        <f>SUM(V134:V140)</f>
        <v>4393837</v>
      </c>
      <c r="W141" s="5"/>
      <c r="X141" s="34">
        <f>SUM(X134:X140)</f>
        <v>18174</v>
      </c>
      <c r="Y141" s="5"/>
      <c r="Z141" s="34">
        <f>SUM(Z134:Z140)</f>
        <v>125387</v>
      </c>
      <c r="AA141" s="5"/>
      <c r="AB141" s="34">
        <f>SUM(AB134:AB140)</f>
        <v>0</v>
      </c>
      <c r="AC141" s="5"/>
      <c r="AD141" s="34"/>
      <c r="AF141" s="34">
        <f>SUM(AF134:AF140)</f>
        <v>109018</v>
      </c>
    </row>
    <row r="142" spans="1:32" ht="12">
      <c r="A142" s="17"/>
      <c r="B142" s="17"/>
      <c r="C142" s="17"/>
      <c r="D142" s="17"/>
      <c r="E142" s="17"/>
      <c r="F142" s="30">
        <v>122</v>
      </c>
      <c r="G142" s="5"/>
      <c r="I142" s="5"/>
      <c r="L142" s="5"/>
      <c r="M142" s="5"/>
      <c r="N142" s="5"/>
      <c r="O142" s="5"/>
      <c r="P142" s="5"/>
      <c r="Q142" s="5"/>
      <c r="R142" s="5"/>
      <c r="S142" s="5"/>
      <c r="T142" s="5"/>
      <c r="V142" s="5"/>
      <c r="X142" s="5"/>
      <c r="Z142" s="5"/>
      <c r="AA142" s="5"/>
      <c r="AB142" s="5"/>
      <c r="AC142" s="5"/>
      <c r="AD142" s="5"/>
      <c r="AF142" s="5"/>
    </row>
    <row r="143" spans="1:32" ht="12">
      <c r="A143" s="17"/>
      <c r="B143" s="17"/>
      <c r="C143" s="17"/>
      <c r="D143" s="33" t="s">
        <v>279</v>
      </c>
      <c r="E143" s="17"/>
      <c r="F143" s="20">
        <v>123</v>
      </c>
      <c r="G143" s="34">
        <f>G141+G130+SUM(G119:G125)+G117+G113</f>
        <v>48091657</v>
      </c>
      <c r="I143" s="34">
        <f>I141+I130+SUM(I119:I125)+I117+I113</f>
        <v>10277321</v>
      </c>
      <c r="L143" s="34">
        <f>L141+L130+SUM(L119:L125)+L117+L113</f>
        <v>147214640</v>
      </c>
      <c r="M143" s="5"/>
      <c r="N143" s="34">
        <f>N141+N130+SUM(N119:N125)+N117+N113</f>
        <v>920323</v>
      </c>
      <c r="O143" s="5"/>
      <c r="P143" s="34">
        <f>P141+P130+SUM(P119:P125)+P117+P113</f>
        <v>25436058</v>
      </c>
      <c r="Q143" s="5"/>
      <c r="R143" s="34">
        <f>R141+R130+SUM(R119:R125)+R117+R113</f>
        <v>7072881</v>
      </c>
      <c r="S143" s="5"/>
      <c r="T143" s="34">
        <f>T141+T130+SUM(T119:T125)+T117+T113</f>
        <v>179199677</v>
      </c>
      <c r="U143" s="5"/>
      <c r="V143" s="34">
        <f>V141+V130+SUM(V119:V125)+V117+V113</f>
        <v>7383099</v>
      </c>
      <c r="W143" s="5"/>
      <c r="X143" s="34">
        <f>X141+X130+SUM(X119:X125)+X117+X113</f>
        <v>52657281</v>
      </c>
      <c r="Y143" s="5"/>
      <c r="Z143" s="34">
        <f>Z141+Z130+SUM(Z119:Z125)+Z117+Z113</f>
        <v>84155171</v>
      </c>
      <c r="AA143" s="5"/>
      <c r="AB143" s="34">
        <f>AB141+AB130+SUM(AB119:AB125)+AB117+AB113</f>
        <v>766865</v>
      </c>
      <c r="AC143" s="5"/>
      <c r="AD143" s="34"/>
      <c r="AF143" s="34">
        <f>AF141+AF130+SUM(AF119:AF125)+AF117+AF113</f>
        <v>294539</v>
      </c>
    </row>
    <row r="144" spans="1:32" ht="12">
      <c r="A144" s="17"/>
      <c r="B144" s="17"/>
      <c r="C144" s="17"/>
      <c r="D144" s="17"/>
      <c r="E144" s="17"/>
      <c r="F144" s="30">
        <v>124</v>
      </c>
      <c r="G144" s="5"/>
      <c r="I144" s="5"/>
      <c r="L144" s="5"/>
      <c r="M144" s="5"/>
      <c r="N144" s="5"/>
      <c r="O144" s="5"/>
      <c r="P144" s="5"/>
      <c r="Q144" s="5"/>
      <c r="R144" s="5"/>
      <c r="S144" s="5"/>
      <c r="T144" s="5"/>
      <c r="V144" s="5"/>
      <c r="X144" s="5"/>
      <c r="Z144" s="5"/>
      <c r="AA144" s="5"/>
      <c r="AB144" s="5"/>
      <c r="AC144" s="5"/>
      <c r="AD144" s="5"/>
      <c r="AF144" s="5"/>
    </row>
    <row r="145" spans="1:32" ht="12">
      <c r="A145" s="17" t="s">
        <v>560</v>
      </c>
      <c r="B145" s="17"/>
      <c r="C145" s="17"/>
      <c r="D145" s="17"/>
      <c r="E145" s="17"/>
      <c r="F145" s="30">
        <v>125</v>
      </c>
      <c r="G145" s="5"/>
      <c r="I145" s="5"/>
      <c r="L145" s="5"/>
      <c r="M145" s="5"/>
      <c r="N145" s="5"/>
      <c r="O145" s="5"/>
      <c r="P145" s="5"/>
      <c r="Q145" s="5"/>
      <c r="R145" s="5"/>
      <c r="S145" s="5"/>
      <c r="T145" s="5"/>
      <c r="V145" s="5"/>
      <c r="X145" s="5"/>
      <c r="Z145" s="5"/>
      <c r="AA145" s="5"/>
      <c r="AB145" s="5"/>
      <c r="AC145" s="5"/>
      <c r="AD145" s="5"/>
      <c r="AF145" s="5"/>
    </row>
    <row r="146" spans="1:32" ht="12">
      <c r="A146" s="17"/>
      <c r="B146" s="33" t="s">
        <v>644</v>
      </c>
      <c r="C146" s="17"/>
      <c r="D146" s="17"/>
      <c r="E146" s="17"/>
      <c r="F146" s="20">
        <v>126</v>
      </c>
      <c r="G146" s="31"/>
      <c r="I146" s="237"/>
      <c r="L146" s="31"/>
      <c r="M146" s="5"/>
      <c r="N146" s="31"/>
      <c r="O146" s="5"/>
      <c r="P146" s="237">
        <v>135714542</v>
      </c>
      <c r="Q146" s="5"/>
      <c r="R146" s="31"/>
      <c r="S146" s="5"/>
      <c r="T146" s="31"/>
      <c r="V146" s="31"/>
      <c r="X146" s="31"/>
      <c r="Z146" s="31">
        <v>11499441</v>
      </c>
      <c r="AA146" s="5"/>
      <c r="AB146" s="31"/>
      <c r="AC146" s="5"/>
      <c r="AD146" s="31"/>
      <c r="AF146" s="31"/>
    </row>
    <row r="147" spans="1:32" ht="12">
      <c r="A147" s="17"/>
      <c r="B147" s="33" t="s">
        <v>651</v>
      </c>
      <c r="C147" s="17"/>
      <c r="D147" s="17"/>
      <c r="E147" s="17"/>
      <c r="F147" s="30">
        <v>127</v>
      </c>
      <c r="G147" s="31"/>
      <c r="I147" s="31"/>
      <c r="L147" s="31"/>
      <c r="M147" s="5"/>
      <c r="N147" s="31"/>
      <c r="O147" s="5"/>
      <c r="P147" s="31"/>
      <c r="R147" s="31"/>
      <c r="T147" s="31"/>
      <c r="V147" s="31"/>
      <c r="X147" s="31">
        <v>42727000</v>
      </c>
      <c r="Z147" s="31">
        <v>283555000</v>
      </c>
      <c r="AA147" s="5"/>
      <c r="AB147" s="31"/>
      <c r="AC147" s="5"/>
      <c r="AD147" s="31"/>
      <c r="AF147" s="31"/>
    </row>
    <row r="148" spans="1:32" ht="12">
      <c r="A148" s="17"/>
      <c r="B148" s="33" t="s">
        <v>643</v>
      </c>
      <c r="C148" s="17"/>
      <c r="D148" s="17"/>
      <c r="E148" s="17"/>
      <c r="F148" s="30">
        <v>128</v>
      </c>
      <c r="G148" s="31"/>
      <c r="I148" s="31"/>
      <c r="L148" s="31"/>
      <c r="M148" s="5"/>
      <c r="N148" s="31"/>
      <c r="O148" s="5"/>
      <c r="P148" s="31"/>
      <c r="Q148" s="5"/>
      <c r="R148" s="31"/>
      <c r="S148" s="5"/>
      <c r="T148" s="31"/>
      <c r="V148" s="31"/>
      <c r="X148" s="31"/>
      <c r="Z148" s="31"/>
      <c r="AA148" s="5"/>
      <c r="AB148" s="31"/>
      <c r="AC148" s="5"/>
      <c r="AD148" s="31"/>
      <c r="AF148" s="31"/>
    </row>
    <row r="149" spans="1:32" ht="12">
      <c r="A149" s="17"/>
      <c r="B149" s="33" t="s">
        <v>2705</v>
      </c>
      <c r="C149" s="17"/>
      <c r="D149" s="17"/>
      <c r="E149" s="17"/>
      <c r="F149" s="20">
        <v>129</v>
      </c>
      <c r="G149" s="31"/>
      <c r="I149" s="31"/>
      <c r="L149" s="31"/>
      <c r="M149" s="5"/>
      <c r="N149" s="31"/>
      <c r="O149" s="5"/>
      <c r="P149" s="31"/>
      <c r="Q149" s="5"/>
      <c r="R149" s="31"/>
      <c r="S149" s="5"/>
      <c r="T149" s="31"/>
      <c r="V149" s="31"/>
      <c r="X149" s="31"/>
      <c r="Z149" s="31"/>
      <c r="AA149" s="5"/>
      <c r="AB149" s="31"/>
      <c r="AC149" s="5"/>
      <c r="AD149" s="31"/>
      <c r="AF149" s="31"/>
    </row>
    <row r="150" spans="1:32" ht="12">
      <c r="A150" s="17"/>
      <c r="B150" s="33"/>
      <c r="C150" s="17"/>
      <c r="D150" s="17"/>
      <c r="E150" s="17"/>
      <c r="F150" s="30">
        <v>130</v>
      </c>
      <c r="G150" s="5"/>
      <c r="I150" s="5"/>
      <c r="L150" s="5"/>
      <c r="M150" s="5"/>
      <c r="N150" s="5"/>
      <c r="O150" s="5"/>
      <c r="P150" s="5"/>
      <c r="Q150" s="5"/>
      <c r="R150" s="5"/>
      <c r="S150" s="5"/>
      <c r="T150" s="5"/>
      <c r="V150" s="5"/>
      <c r="X150" s="5"/>
      <c r="Z150" s="5"/>
      <c r="AA150" s="5"/>
      <c r="AB150" s="5"/>
      <c r="AC150" s="5"/>
      <c r="AD150" s="5"/>
      <c r="AF150" s="5"/>
    </row>
    <row r="151" spans="1:32" ht="12">
      <c r="A151" s="17"/>
      <c r="B151" s="17" t="s">
        <v>646</v>
      </c>
      <c r="C151" s="17"/>
      <c r="D151" s="17"/>
      <c r="E151" s="17"/>
      <c r="F151" s="30">
        <v>131</v>
      </c>
      <c r="G151" s="31"/>
      <c r="I151" s="31"/>
      <c r="L151" s="31"/>
      <c r="M151" s="5"/>
      <c r="N151" s="31"/>
      <c r="O151" s="5"/>
      <c r="P151" s="31"/>
      <c r="Q151" s="5"/>
      <c r="R151" s="31"/>
      <c r="S151" s="5"/>
      <c r="T151" s="31"/>
      <c r="V151" s="31"/>
      <c r="X151" s="31"/>
      <c r="Z151" s="31"/>
      <c r="AA151" s="5"/>
      <c r="AB151" s="31"/>
      <c r="AC151" s="5"/>
      <c r="AD151" s="31"/>
      <c r="AF151" s="31"/>
    </row>
    <row r="152" spans="1:32" ht="12">
      <c r="A152" s="17"/>
      <c r="B152" s="17" t="s">
        <v>648</v>
      </c>
      <c r="C152" s="17"/>
      <c r="D152" s="17"/>
      <c r="E152" s="17"/>
      <c r="F152" s="20">
        <v>132</v>
      </c>
      <c r="G152" s="31"/>
      <c r="I152" s="31"/>
      <c r="L152" s="31"/>
      <c r="M152" s="5"/>
      <c r="N152" s="31"/>
      <c r="O152" s="5"/>
      <c r="P152" s="31"/>
      <c r="Q152" s="5"/>
      <c r="R152" s="31"/>
      <c r="S152" s="5"/>
      <c r="T152" s="31"/>
      <c r="V152" s="31"/>
      <c r="X152" s="31"/>
      <c r="Z152" s="31"/>
      <c r="AA152" s="5"/>
      <c r="AB152" s="31"/>
      <c r="AC152" s="5"/>
      <c r="AD152" s="31"/>
      <c r="AF152" s="31"/>
    </row>
    <row r="153" spans="1:32" ht="12">
      <c r="A153" s="17"/>
      <c r="B153" s="17" t="s">
        <v>649</v>
      </c>
      <c r="C153" s="17"/>
      <c r="D153" s="17"/>
      <c r="E153" s="17"/>
      <c r="F153" s="30">
        <v>133</v>
      </c>
      <c r="G153" s="31"/>
      <c r="I153" s="31"/>
      <c r="L153" s="31"/>
      <c r="M153" s="5"/>
      <c r="N153" s="31"/>
      <c r="O153" s="5"/>
      <c r="P153" s="31"/>
      <c r="Q153" s="5"/>
      <c r="R153" s="31"/>
      <c r="S153" s="5"/>
      <c r="T153" s="31"/>
      <c r="V153" s="31"/>
      <c r="X153" s="31"/>
      <c r="Z153" s="31"/>
      <c r="AA153" s="5"/>
      <c r="AB153" s="31"/>
      <c r="AC153" s="5"/>
      <c r="AD153" s="31"/>
      <c r="AF153" s="31"/>
    </row>
    <row r="154" spans="1:32" ht="12">
      <c r="A154" s="17"/>
      <c r="B154" s="17"/>
      <c r="C154" s="33" t="s">
        <v>551</v>
      </c>
      <c r="D154" s="17"/>
      <c r="E154" s="17"/>
      <c r="F154" s="30">
        <v>134</v>
      </c>
      <c r="G154" s="34">
        <f>SUM(G151:G153)</f>
        <v>0</v>
      </c>
      <c r="I154" s="34">
        <f>SUM(I151:I153)</f>
        <v>0</v>
      </c>
      <c r="L154" s="34">
        <f>SUM(L151:L153)</f>
        <v>0</v>
      </c>
      <c r="M154" s="5"/>
      <c r="N154" s="34">
        <f>SUM(N151:N153)</f>
        <v>0</v>
      </c>
      <c r="O154" s="5"/>
      <c r="P154" s="34">
        <f>SUM(P151:P153)</f>
        <v>0</v>
      </c>
      <c r="Q154" s="5"/>
      <c r="R154" s="34">
        <f>SUM(R151:R153)</f>
        <v>0</v>
      </c>
      <c r="S154" s="5"/>
      <c r="T154" s="34">
        <f>SUM(T151:T153)</f>
        <v>0</v>
      </c>
      <c r="U154" s="5"/>
      <c r="V154" s="34">
        <f>SUM(V151:V153)</f>
        <v>0</v>
      </c>
      <c r="W154" s="5"/>
      <c r="X154" s="34">
        <f>SUM(X151:X153)</f>
        <v>0</v>
      </c>
      <c r="Y154" s="5"/>
      <c r="Z154" s="34">
        <f>SUM(Z151:Z153)</f>
        <v>0</v>
      </c>
      <c r="AA154" s="5"/>
      <c r="AB154" s="34">
        <f>SUM(AB151:AB153)</f>
        <v>0</v>
      </c>
      <c r="AC154" s="5"/>
      <c r="AD154" s="34"/>
      <c r="AF154" s="34">
        <f>SUM(AF151:AF153)</f>
        <v>0</v>
      </c>
    </row>
    <row r="155" spans="1:32" ht="12">
      <c r="A155" s="33"/>
      <c r="B155" s="17"/>
      <c r="C155" s="17"/>
      <c r="D155" s="17"/>
      <c r="E155" s="17"/>
      <c r="F155" s="20">
        <v>135</v>
      </c>
      <c r="G155" s="5"/>
      <c r="I155" s="5"/>
      <c r="L155" s="5"/>
      <c r="M155" s="5"/>
      <c r="N155" s="5"/>
      <c r="O155" s="5"/>
      <c r="P155" s="5"/>
      <c r="Q155" s="5"/>
      <c r="R155" s="5"/>
      <c r="S155" s="5"/>
      <c r="T155" s="5"/>
      <c r="V155" s="5"/>
      <c r="X155" s="5"/>
      <c r="Z155" s="5"/>
      <c r="AA155" s="5"/>
      <c r="AB155" s="5"/>
      <c r="AC155" s="5"/>
      <c r="AD155" s="5"/>
      <c r="AF155" s="5"/>
    </row>
    <row r="156" spans="1:32" ht="12" hidden="1">
      <c r="A156" s="17"/>
      <c r="B156" s="17" t="s">
        <v>650</v>
      </c>
      <c r="C156" s="17"/>
      <c r="D156" s="17"/>
      <c r="E156" s="17"/>
      <c r="F156" s="30">
        <v>136</v>
      </c>
      <c r="G156" s="31"/>
      <c r="I156" s="31"/>
      <c r="L156" s="31"/>
      <c r="M156" s="5"/>
      <c r="N156" s="31"/>
      <c r="O156" s="5"/>
      <c r="P156" s="31"/>
      <c r="Q156" s="5"/>
      <c r="R156" s="31"/>
      <c r="S156" s="5"/>
      <c r="T156" s="31"/>
      <c r="V156" s="31"/>
      <c r="X156" s="31"/>
      <c r="Z156" s="31"/>
      <c r="AA156" s="5"/>
      <c r="AB156" s="31"/>
      <c r="AC156" s="5"/>
      <c r="AD156" s="31"/>
      <c r="AF156" s="31"/>
    </row>
    <row r="157" spans="1:32" ht="12" hidden="1">
      <c r="A157" s="17"/>
      <c r="B157" s="17" t="s">
        <v>616</v>
      </c>
      <c r="C157" s="17"/>
      <c r="D157" s="17"/>
      <c r="E157" s="17"/>
      <c r="F157" s="30">
        <v>137</v>
      </c>
      <c r="G157" s="31"/>
      <c r="I157" s="31"/>
      <c r="L157" s="31"/>
      <c r="M157" s="5"/>
      <c r="N157" s="31"/>
      <c r="O157" s="5"/>
      <c r="P157" s="31"/>
      <c r="Q157" s="5"/>
      <c r="R157" s="31"/>
      <c r="S157" s="5"/>
      <c r="T157" s="31"/>
      <c r="V157" s="31"/>
      <c r="X157" s="31"/>
      <c r="Z157" s="31"/>
      <c r="AA157" s="5"/>
      <c r="AB157" s="31"/>
      <c r="AC157" s="5"/>
      <c r="AD157" s="31"/>
      <c r="AF157" s="31"/>
    </row>
    <row r="158" spans="1:32" ht="12">
      <c r="A158" s="17"/>
      <c r="B158" s="17" t="s">
        <v>647</v>
      </c>
      <c r="C158" s="17"/>
      <c r="D158" s="17"/>
      <c r="E158" s="17"/>
      <c r="F158" s="20">
        <v>138</v>
      </c>
      <c r="G158" s="31">
        <v>867435</v>
      </c>
      <c r="I158" s="31">
        <v>380363</v>
      </c>
      <c r="L158" s="31">
        <v>722579</v>
      </c>
      <c r="M158" s="5"/>
      <c r="N158" s="31">
        <v>51524</v>
      </c>
      <c r="O158" s="5"/>
      <c r="P158" s="31">
        <v>143816</v>
      </c>
      <c r="Q158" s="5"/>
      <c r="R158" s="31">
        <v>956156</v>
      </c>
      <c r="S158" s="5"/>
      <c r="T158" s="31"/>
      <c r="V158" s="31">
        <v>76785</v>
      </c>
      <c r="X158" s="31">
        <v>114916</v>
      </c>
      <c r="Z158" s="31"/>
      <c r="AA158" s="5"/>
      <c r="AB158" s="237"/>
      <c r="AC158" s="5"/>
      <c r="AD158" s="237"/>
      <c r="AF158" s="237">
        <v>101744</v>
      </c>
    </row>
    <row r="159" spans="1:32" ht="12">
      <c r="A159" s="17"/>
      <c r="B159" s="17" t="s">
        <v>3278</v>
      </c>
      <c r="C159" s="17"/>
      <c r="D159" s="17"/>
      <c r="E159" s="17"/>
      <c r="F159" s="30">
        <v>139</v>
      </c>
      <c r="G159" s="237">
        <v>307358365</v>
      </c>
      <c r="I159" s="31">
        <v>0</v>
      </c>
      <c r="L159" s="31">
        <v>18235871</v>
      </c>
      <c r="M159" s="5"/>
      <c r="N159" s="31"/>
      <c r="O159" s="5"/>
      <c r="P159" s="31"/>
      <c r="Q159" s="5"/>
      <c r="R159" s="31">
        <v>340815</v>
      </c>
      <c r="S159" s="5"/>
      <c r="T159" s="31"/>
      <c r="V159" s="31">
        <v>0</v>
      </c>
      <c r="X159" s="237"/>
      <c r="Z159" s="237"/>
      <c r="AA159" s="5"/>
      <c r="AB159" s="31"/>
      <c r="AC159" s="5"/>
      <c r="AD159" s="31"/>
      <c r="AF159" s="31"/>
    </row>
    <row r="160" spans="1:32" ht="12">
      <c r="A160" s="17"/>
      <c r="B160" s="17" t="s">
        <v>277</v>
      </c>
      <c r="C160" s="17"/>
      <c r="D160" s="17"/>
      <c r="E160" s="17"/>
      <c r="F160" s="30">
        <v>140</v>
      </c>
      <c r="G160" s="31">
        <v>5368830</v>
      </c>
      <c r="I160" s="31">
        <v>1097994</v>
      </c>
      <c r="L160" s="31">
        <v>0</v>
      </c>
      <c r="M160" s="5"/>
      <c r="N160" s="31"/>
      <c r="O160" s="5"/>
      <c r="P160" s="31"/>
      <c r="Q160" s="5"/>
      <c r="R160" s="31">
        <v>0</v>
      </c>
      <c r="S160" s="5"/>
      <c r="T160" s="31"/>
      <c r="V160" s="31">
        <v>14497451</v>
      </c>
      <c r="X160" s="31"/>
      <c r="Z160" s="31"/>
      <c r="AA160" s="5"/>
      <c r="AB160" s="31"/>
      <c r="AC160" s="5"/>
      <c r="AD160" s="31"/>
      <c r="AF160" s="31"/>
    </row>
    <row r="161" spans="1:32" ht="12">
      <c r="A161" s="17"/>
      <c r="B161" s="17" t="s">
        <v>3270</v>
      </c>
      <c r="C161" s="17"/>
      <c r="D161" s="17"/>
      <c r="E161" s="17"/>
      <c r="F161" s="20">
        <v>141</v>
      </c>
      <c r="G161" s="31">
        <v>0</v>
      </c>
      <c r="I161" s="31"/>
      <c r="L161" s="31">
        <v>0</v>
      </c>
      <c r="M161" s="5"/>
      <c r="N161" s="31"/>
      <c r="O161" s="5"/>
      <c r="P161" s="31"/>
      <c r="Q161" s="5"/>
      <c r="R161" s="31">
        <v>0</v>
      </c>
      <c r="S161" s="5"/>
      <c r="T161" s="31"/>
      <c r="V161" s="31"/>
      <c r="X161" s="31"/>
      <c r="Z161" s="31"/>
      <c r="AA161" s="5"/>
      <c r="AB161" s="31"/>
      <c r="AC161" s="5"/>
      <c r="AD161" s="31"/>
      <c r="AF161" s="31"/>
    </row>
    <row r="162" spans="1:32" ht="12">
      <c r="A162" s="17"/>
      <c r="B162" s="17" t="s">
        <v>3279</v>
      </c>
      <c r="C162" s="17"/>
      <c r="D162" s="17"/>
      <c r="E162" s="17"/>
      <c r="F162" s="30">
        <v>142</v>
      </c>
      <c r="G162" s="31">
        <v>474962</v>
      </c>
      <c r="I162" s="31"/>
      <c r="L162" s="31">
        <v>7473316</v>
      </c>
      <c r="M162" s="5"/>
      <c r="N162" s="31"/>
      <c r="O162" s="5"/>
      <c r="P162" s="31"/>
      <c r="Q162" s="5"/>
      <c r="R162" s="31">
        <v>127043</v>
      </c>
      <c r="S162" s="5"/>
      <c r="T162" s="31"/>
      <c r="V162" s="31"/>
      <c r="X162" s="31"/>
      <c r="Z162" s="31"/>
      <c r="AA162" s="5"/>
      <c r="AB162" s="31"/>
      <c r="AC162" s="5"/>
      <c r="AD162" s="31"/>
      <c r="AF162" s="31"/>
    </row>
    <row r="163" spans="1:32" ht="12">
      <c r="A163" s="17"/>
      <c r="B163" s="17" t="s">
        <v>278</v>
      </c>
      <c r="C163" s="17"/>
      <c r="D163" s="17"/>
      <c r="E163" s="17"/>
      <c r="F163" s="30">
        <v>143</v>
      </c>
      <c r="G163" s="31"/>
      <c r="I163" s="31"/>
      <c r="L163" s="31"/>
      <c r="M163" s="5"/>
      <c r="N163" s="31"/>
      <c r="O163" s="5"/>
      <c r="P163" s="31"/>
      <c r="Q163" s="5"/>
      <c r="R163" s="31"/>
      <c r="S163" s="5"/>
      <c r="T163" s="31"/>
      <c r="V163" s="31"/>
      <c r="X163" s="31"/>
      <c r="Z163" s="31"/>
      <c r="AA163" s="5"/>
      <c r="AB163" s="31"/>
      <c r="AC163" s="5"/>
      <c r="AD163" s="31"/>
      <c r="AF163" s="31"/>
    </row>
    <row r="164" spans="1:32" ht="12">
      <c r="A164" s="17"/>
      <c r="B164" s="17" t="s">
        <v>82</v>
      </c>
      <c r="C164" s="17"/>
      <c r="D164" s="17"/>
      <c r="E164" s="17"/>
      <c r="F164" s="20">
        <v>144</v>
      </c>
      <c r="G164" s="31"/>
      <c r="I164" s="31"/>
      <c r="L164" s="31"/>
      <c r="M164" s="5"/>
      <c r="N164" s="31"/>
      <c r="O164" s="5"/>
      <c r="P164" s="31"/>
      <c r="Q164" s="5"/>
      <c r="R164" s="31"/>
      <c r="S164" s="5"/>
      <c r="T164" s="31"/>
      <c r="V164" s="31"/>
      <c r="X164" s="31"/>
      <c r="Z164" s="31"/>
      <c r="AA164" s="5"/>
      <c r="AB164" s="31"/>
      <c r="AC164" s="5"/>
      <c r="AD164" s="31"/>
      <c r="AF164" s="31"/>
    </row>
    <row r="165" spans="1:32" ht="12">
      <c r="A165" s="17"/>
      <c r="B165" s="17" t="s">
        <v>618</v>
      </c>
      <c r="C165" s="17"/>
      <c r="D165" s="17"/>
      <c r="E165" s="17"/>
      <c r="F165" s="30">
        <v>145</v>
      </c>
      <c r="G165" s="88">
        <v>0</v>
      </c>
      <c r="I165" s="88">
        <v>0</v>
      </c>
      <c r="L165" s="88">
        <v>0</v>
      </c>
      <c r="M165" s="5"/>
      <c r="N165" s="88">
        <v>0</v>
      </c>
      <c r="O165" s="5"/>
      <c r="P165" s="88">
        <v>0</v>
      </c>
      <c r="Q165" s="5"/>
      <c r="R165" s="88">
        <v>0</v>
      </c>
      <c r="S165" s="5"/>
      <c r="T165" s="88">
        <v>0</v>
      </c>
      <c r="V165" s="88">
        <v>0</v>
      </c>
      <c r="X165" s="88">
        <v>0</v>
      </c>
      <c r="Z165" s="88">
        <v>0</v>
      </c>
      <c r="AA165" s="5"/>
      <c r="AB165" s="88">
        <v>0</v>
      </c>
      <c r="AC165" s="5"/>
      <c r="AD165" s="88"/>
      <c r="AF165" s="88">
        <v>0</v>
      </c>
    </row>
    <row r="166" spans="1:32" ht="12">
      <c r="A166" s="17"/>
      <c r="B166" s="17" t="s">
        <v>274</v>
      </c>
      <c r="C166" s="17"/>
      <c r="D166" s="17"/>
      <c r="E166" s="17"/>
      <c r="F166" s="30">
        <v>146</v>
      </c>
      <c r="G166" s="88">
        <v>0</v>
      </c>
      <c r="I166" s="88">
        <v>0</v>
      </c>
      <c r="L166" s="88">
        <v>0</v>
      </c>
      <c r="M166" s="5"/>
      <c r="N166" s="88">
        <v>0</v>
      </c>
      <c r="O166" s="5"/>
      <c r="P166" s="88">
        <v>0</v>
      </c>
      <c r="Q166" s="5"/>
      <c r="R166" s="88">
        <v>0</v>
      </c>
      <c r="S166" s="5"/>
      <c r="T166" s="88">
        <v>0</v>
      </c>
      <c r="V166" s="88">
        <v>0</v>
      </c>
      <c r="X166" s="88">
        <v>0</v>
      </c>
      <c r="Z166" s="88">
        <v>0</v>
      </c>
      <c r="AA166" s="5"/>
      <c r="AB166" s="88">
        <v>0</v>
      </c>
      <c r="AC166" s="5"/>
      <c r="AD166" s="88"/>
      <c r="AF166" s="88">
        <v>0</v>
      </c>
    </row>
    <row r="167" spans="1:32" ht="12">
      <c r="A167" s="17"/>
      <c r="B167" s="17"/>
      <c r="C167" s="33" t="s">
        <v>83</v>
      </c>
      <c r="D167" s="17"/>
      <c r="E167" s="17"/>
      <c r="F167" s="20">
        <v>147</v>
      </c>
      <c r="G167" s="34">
        <f>SUM(G158:G166)</f>
        <v>314069592</v>
      </c>
      <c r="I167" s="34">
        <f>SUM(I158:I166)</f>
        <v>1478357</v>
      </c>
      <c r="L167" s="34">
        <f>SUM(L158:L166)</f>
        <v>26431766</v>
      </c>
      <c r="M167" s="5"/>
      <c r="N167" s="34">
        <f>SUM(N158:N166)</f>
        <v>51524</v>
      </c>
      <c r="O167" s="5"/>
      <c r="P167" s="34">
        <f>SUM(P158:P166)</f>
        <v>143816</v>
      </c>
      <c r="Q167" s="5"/>
      <c r="R167" s="34">
        <f>SUM(R158:R166)</f>
        <v>1424014</v>
      </c>
      <c r="S167" s="5"/>
      <c r="T167" s="34">
        <f>SUM(T158:T166)</f>
        <v>0</v>
      </c>
      <c r="U167" s="5"/>
      <c r="V167" s="34">
        <f>SUM(V158:V166)</f>
        <v>14574236</v>
      </c>
      <c r="W167" s="5"/>
      <c r="X167" s="34">
        <f>SUM(X158:X166)</f>
        <v>114916</v>
      </c>
      <c r="Y167" s="5"/>
      <c r="Z167" s="34">
        <f>SUM(Z158:Z166)</f>
        <v>0</v>
      </c>
      <c r="AA167" s="5"/>
      <c r="AB167" s="34">
        <f>SUM(AB158:AB166)</f>
        <v>0</v>
      </c>
      <c r="AC167" s="5"/>
      <c r="AD167" s="34"/>
      <c r="AF167" s="34">
        <f>SUM(AF158:AF166)</f>
        <v>101744</v>
      </c>
    </row>
    <row r="168" spans="1:32" ht="12">
      <c r="A168" s="17"/>
      <c r="B168" s="17"/>
      <c r="C168" s="17"/>
      <c r="D168" s="17"/>
      <c r="E168" s="17"/>
      <c r="F168" s="30">
        <v>148</v>
      </c>
      <c r="G168" s="5"/>
      <c r="I168" s="5"/>
      <c r="L168" s="5"/>
      <c r="M168" s="5"/>
      <c r="N168" s="5"/>
      <c r="O168" s="5"/>
      <c r="P168" s="5"/>
      <c r="Q168" s="5"/>
      <c r="R168" s="5"/>
      <c r="S168" s="5"/>
      <c r="T168" s="5"/>
      <c r="V168" s="5"/>
      <c r="X168" s="5"/>
      <c r="Z168" s="5"/>
      <c r="AA168" s="5"/>
      <c r="AB168" s="5"/>
      <c r="AC168" s="5"/>
      <c r="AD168" s="5"/>
      <c r="AF168" s="5"/>
    </row>
    <row r="169" spans="1:32" ht="12">
      <c r="A169" s="17"/>
      <c r="B169" s="17"/>
      <c r="C169" s="17"/>
      <c r="D169" s="33" t="s">
        <v>224</v>
      </c>
      <c r="E169" s="17"/>
      <c r="F169" s="30">
        <v>149</v>
      </c>
      <c r="G169" s="34">
        <f>SUM(G146:G149)+G154+G167</f>
        <v>314069592</v>
      </c>
      <c r="I169" s="34">
        <f>SUM(I146:I149)+I154+I167</f>
        <v>1478357</v>
      </c>
      <c r="L169" s="34">
        <f>SUM(L146:L149)+L154+L167</f>
        <v>26431766</v>
      </c>
      <c r="M169" s="5"/>
      <c r="N169" s="34">
        <f>SUM(N146:N149)+N154+N167</f>
        <v>51524</v>
      </c>
      <c r="O169" s="5"/>
      <c r="P169" s="34">
        <f>SUM(P146:P149)+P154+P167</f>
        <v>135858358</v>
      </c>
      <c r="Q169" s="5"/>
      <c r="R169" s="34">
        <f>SUM(R146:R149)+R154+R167</f>
        <v>1424014</v>
      </c>
      <c r="S169" s="5"/>
      <c r="T169" s="34">
        <f>SUM(T146:T149)+T154+T167</f>
        <v>0</v>
      </c>
      <c r="U169" s="5"/>
      <c r="V169" s="34">
        <f>SUM(V146:V149)+V154+V167</f>
        <v>14574236</v>
      </c>
      <c r="W169" s="5"/>
      <c r="X169" s="34">
        <f>SUM(X146:X149)+X154+X167</f>
        <v>42841916</v>
      </c>
      <c r="Y169" s="5"/>
      <c r="Z169" s="34">
        <f>SUM(Z146:Z149)+Z154+Z167</f>
        <v>295054441</v>
      </c>
      <c r="AA169" s="5"/>
      <c r="AB169" s="34">
        <f>SUM(AB146:AB149)+AB154+AB167</f>
        <v>0</v>
      </c>
      <c r="AC169" s="5"/>
      <c r="AD169" s="34"/>
      <c r="AF169" s="34">
        <f>SUM(AF146:AF149)+AF154+AF167</f>
        <v>101744</v>
      </c>
    </row>
    <row r="170" spans="1:32" ht="12">
      <c r="A170" s="17"/>
      <c r="B170" s="17"/>
      <c r="C170" s="17"/>
      <c r="D170" s="33"/>
      <c r="E170" s="17"/>
      <c r="F170" s="20">
        <v>150</v>
      </c>
      <c r="G170" s="5"/>
      <c r="I170" s="5"/>
      <c r="L170" s="5"/>
      <c r="M170" s="5"/>
      <c r="N170" s="5"/>
      <c r="O170" s="5"/>
      <c r="P170" s="5"/>
      <c r="Q170" s="5"/>
      <c r="R170" s="5"/>
      <c r="S170" s="5"/>
      <c r="T170" s="5"/>
      <c r="V170" s="5"/>
      <c r="X170" s="5"/>
      <c r="Z170" s="5"/>
      <c r="AA170" s="5"/>
      <c r="AB170" s="5"/>
      <c r="AC170" s="5"/>
      <c r="AD170" s="5"/>
      <c r="AF170" s="5"/>
    </row>
    <row r="171" spans="1:32" ht="12">
      <c r="A171" s="17"/>
      <c r="B171" s="17"/>
      <c r="C171" s="17"/>
      <c r="D171" s="17"/>
      <c r="E171" s="33" t="s">
        <v>280</v>
      </c>
      <c r="F171" s="30">
        <v>151</v>
      </c>
      <c r="G171" s="34">
        <f>G169+G143</f>
        <v>362161249</v>
      </c>
      <c r="I171" s="34">
        <f>I169+I143</f>
        <v>11755678</v>
      </c>
      <c r="L171" s="34">
        <f>L169+L143</f>
        <v>173646406</v>
      </c>
      <c r="M171" s="5"/>
      <c r="N171" s="34">
        <f>N169+N143</f>
        <v>971847</v>
      </c>
      <c r="O171" s="5"/>
      <c r="P171" s="34">
        <f>P169+P143</f>
        <v>161294416</v>
      </c>
      <c r="Q171" s="5"/>
      <c r="R171" s="34">
        <f>R169+R143</f>
        <v>8496895</v>
      </c>
      <c r="S171" s="5"/>
      <c r="T171" s="34">
        <f>T169+T143</f>
        <v>179199677</v>
      </c>
      <c r="U171" s="5"/>
      <c r="V171" s="34">
        <f>V169+V143</f>
        <v>21957335</v>
      </c>
      <c r="W171" s="5"/>
      <c r="X171" s="34">
        <f>X169+X143</f>
        <v>95499197</v>
      </c>
      <c r="Y171" s="5"/>
      <c r="Z171" s="34">
        <f>Z169+Z143</f>
        <v>379209612</v>
      </c>
      <c r="AA171" s="5"/>
      <c r="AB171" s="34">
        <f>AB169+AB143</f>
        <v>766865</v>
      </c>
      <c r="AC171" s="5"/>
      <c r="AD171" s="34"/>
      <c r="AF171" s="34">
        <f>AF169+AF143</f>
        <v>396283</v>
      </c>
    </row>
    <row r="172" spans="1:32">
      <c r="A172" s="11"/>
      <c r="B172" s="11"/>
      <c r="C172" s="11"/>
      <c r="D172" s="11"/>
      <c r="E172" s="11"/>
      <c r="F172" s="30">
        <v>152</v>
      </c>
      <c r="H172" s="5"/>
      <c r="I172" s="5"/>
      <c r="J172" s="5"/>
      <c r="K172" s="5"/>
      <c r="L172" s="5"/>
      <c r="M172" s="5"/>
      <c r="N172" s="5"/>
      <c r="O172" s="5"/>
      <c r="P172" s="5"/>
      <c r="Q172" s="5"/>
      <c r="R172" s="5"/>
      <c r="S172" s="5"/>
      <c r="V172" s="26"/>
      <c r="W172" s="231"/>
    </row>
    <row r="173" spans="1:32" ht="12">
      <c r="A173" s="17"/>
      <c r="B173" s="33" t="s">
        <v>710</v>
      </c>
      <c r="C173" s="17"/>
      <c r="D173" s="17"/>
      <c r="E173" s="17"/>
      <c r="F173" s="20">
        <v>153</v>
      </c>
      <c r="G173" s="250"/>
      <c r="H173" s="5"/>
      <c r="I173" s="250"/>
      <c r="J173" s="5"/>
      <c r="K173" s="5"/>
      <c r="L173" s="250"/>
      <c r="M173" s="5"/>
      <c r="N173" s="250"/>
      <c r="O173" s="5"/>
      <c r="P173" s="250"/>
      <c r="Q173" s="5"/>
      <c r="R173" s="250"/>
      <c r="S173" s="5"/>
      <c r="T173" s="250"/>
      <c r="V173" s="250"/>
      <c r="W173" s="231"/>
      <c r="X173" s="250"/>
      <c r="Z173" s="250"/>
      <c r="AA173" s="249"/>
      <c r="AB173" s="250"/>
      <c r="AC173" s="249"/>
      <c r="AD173" s="250"/>
      <c r="AF173" s="250"/>
    </row>
    <row r="174" spans="1:32" ht="12">
      <c r="A174" s="17"/>
      <c r="B174" s="17"/>
      <c r="C174" s="17"/>
      <c r="D174" s="17"/>
      <c r="E174" s="17"/>
      <c r="F174" s="30">
        <v>154</v>
      </c>
      <c r="G174" s="5"/>
      <c r="H174" s="5"/>
      <c r="I174" s="5"/>
      <c r="J174" s="5"/>
      <c r="K174" s="5"/>
      <c r="L174" s="5"/>
      <c r="M174" s="5"/>
      <c r="N174" s="5"/>
      <c r="O174" s="5"/>
      <c r="P174" s="5"/>
      <c r="Q174" s="5"/>
      <c r="R174" s="5"/>
      <c r="S174" s="5"/>
      <c r="T174" s="5"/>
      <c r="V174" s="5"/>
      <c r="W174" s="231"/>
      <c r="X174" s="5"/>
      <c r="Z174" s="5"/>
      <c r="AA174" s="5"/>
      <c r="AB174" s="5"/>
      <c r="AC174" s="5"/>
      <c r="AD174" s="5"/>
      <c r="AF174" s="5"/>
    </row>
    <row r="175" spans="1:32" ht="12">
      <c r="A175" s="17"/>
      <c r="B175" s="17"/>
      <c r="C175" s="17"/>
      <c r="D175" s="17"/>
      <c r="E175" s="24" t="s">
        <v>711</v>
      </c>
      <c r="F175" s="30"/>
      <c r="G175" s="34">
        <f>SUM(G171+G173)</f>
        <v>362161249</v>
      </c>
      <c r="H175" s="5"/>
      <c r="I175" s="34">
        <f>SUM(I171+I173)</f>
        <v>11755678</v>
      </c>
      <c r="J175" s="5"/>
      <c r="K175" s="5"/>
      <c r="L175" s="34">
        <f>SUM(L171+L173)</f>
        <v>173646406</v>
      </c>
      <c r="M175" s="5"/>
      <c r="N175" s="34">
        <f>SUM(N171+N173)</f>
        <v>971847</v>
      </c>
      <c r="O175" s="5"/>
      <c r="P175" s="34">
        <f>SUM(P171+P173)</f>
        <v>161294416</v>
      </c>
      <c r="Q175" s="5"/>
      <c r="R175" s="34">
        <f>SUM(R171+R173)</f>
        <v>8496895</v>
      </c>
      <c r="S175" s="5"/>
      <c r="T175" s="34">
        <f>SUM(T171+T173)</f>
        <v>179199677</v>
      </c>
      <c r="V175" s="34">
        <f>SUM(V171+V173)</f>
        <v>21957335</v>
      </c>
      <c r="W175" s="231"/>
      <c r="X175" s="34">
        <f>SUM(X171+X173)</f>
        <v>95499197</v>
      </c>
      <c r="Z175" s="34">
        <f>SUM(Z171+Z173)</f>
        <v>379209612</v>
      </c>
      <c r="AA175" s="5"/>
      <c r="AB175" s="34">
        <f>SUM(AB171+AB173)</f>
        <v>766865</v>
      </c>
      <c r="AC175" s="5"/>
      <c r="AD175" s="34"/>
      <c r="AF175" s="34">
        <f>SUM(AF171+AF173)</f>
        <v>396283</v>
      </c>
    </row>
    <row r="176" spans="1:32" ht="12" hidden="1">
      <c r="A176" s="17"/>
      <c r="B176" s="17"/>
      <c r="C176" s="17"/>
      <c r="D176" s="17"/>
      <c r="E176" s="24"/>
      <c r="F176" s="20">
        <v>152</v>
      </c>
      <c r="G176" s="5"/>
      <c r="H176" s="5"/>
      <c r="I176" s="5"/>
      <c r="J176" s="5"/>
      <c r="K176" s="5"/>
      <c r="L176" s="5"/>
      <c r="M176" s="5"/>
      <c r="N176" s="5"/>
      <c r="O176" s="5"/>
      <c r="P176" s="5"/>
      <c r="Q176" s="5"/>
      <c r="R176" s="5"/>
      <c r="S176" s="5"/>
      <c r="V176" s="26"/>
      <c r="W176" s="231"/>
      <c r="X176" s="5"/>
      <c r="Z176" s="5"/>
      <c r="AA176" s="5"/>
    </row>
    <row r="177" spans="1:32" s="240" customFormat="1" ht="12" hidden="1">
      <c r="E177" s="241"/>
      <c r="F177" s="30">
        <v>153</v>
      </c>
      <c r="G177" s="242"/>
      <c r="H177" s="242"/>
      <c r="I177" s="242"/>
      <c r="J177" s="242"/>
      <c r="K177" s="242"/>
      <c r="L177" s="242"/>
      <c r="M177" s="5"/>
      <c r="N177" s="242"/>
      <c r="O177" s="5"/>
      <c r="P177" s="242"/>
      <c r="Q177" s="242"/>
      <c r="R177" s="242"/>
      <c r="S177" s="242"/>
      <c r="V177" s="243"/>
      <c r="W177" s="244"/>
      <c r="X177" s="242"/>
      <c r="Z177" s="242"/>
      <c r="AA177" s="5"/>
      <c r="AC177" s="17"/>
    </row>
    <row r="178" spans="1:32" s="240" customFormat="1" ht="12" hidden="1">
      <c r="E178" s="241"/>
      <c r="F178" s="20">
        <v>154</v>
      </c>
      <c r="G178" s="242"/>
      <c r="H178" s="242"/>
      <c r="I178" s="242"/>
      <c r="J178" s="242"/>
      <c r="K178" s="242"/>
      <c r="L178" s="242"/>
      <c r="M178" s="5"/>
      <c r="N178" s="242"/>
      <c r="O178" s="5"/>
      <c r="P178" s="242"/>
      <c r="Q178" s="242"/>
      <c r="R178" s="242"/>
      <c r="S178" s="242"/>
      <c r="V178" s="243"/>
      <c r="W178" s="244"/>
      <c r="X178" s="242"/>
      <c r="Z178" s="242"/>
      <c r="AA178" s="5"/>
      <c r="AC178" s="17"/>
    </row>
    <row r="179" spans="1:32" s="240" customFormat="1" ht="12" hidden="1">
      <c r="E179" s="241"/>
      <c r="F179" s="30">
        <v>155</v>
      </c>
      <c r="G179" s="242"/>
      <c r="H179" s="242"/>
      <c r="I179" s="242"/>
      <c r="J179" s="242"/>
      <c r="K179" s="242"/>
      <c r="L179" s="242"/>
      <c r="M179" s="5"/>
      <c r="N179" s="242"/>
      <c r="O179" s="5"/>
      <c r="P179" s="242"/>
      <c r="Q179" s="242"/>
      <c r="R179" s="242"/>
      <c r="S179" s="242"/>
      <c r="V179" s="243"/>
      <c r="W179" s="244"/>
      <c r="X179" s="242"/>
      <c r="Z179" s="242"/>
      <c r="AA179" s="5"/>
      <c r="AC179" s="17"/>
    </row>
    <row r="180" spans="1:32" s="240" customFormat="1" ht="12" hidden="1">
      <c r="E180" s="241"/>
      <c r="F180" s="30">
        <v>156</v>
      </c>
      <c r="G180" s="242"/>
      <c r="H180" s="242"/>
      <c r="I180" s="242"/>
      <c r="J180" s="242"/>
      <c r="K180" s="242"/>
      <c r="L180" s="242"/>
      <c r="M180" s="5"/>
      <c r="N180" s="242"/>
      <c r="O180" s="5"/>
      <c r="P180" s="242"/>
      <c r="Q180" s="242"/>
      <c r="R180" s="242"/>
      <c r="S180" s="242"/>
      <c r="V180" s="243"/>
      <c r="W180" s="244"/>
      <c r="X180" s="242"/>
      <c r="Z180" s="242"/>
      <c r="AA180" s="5"/>
      <c r="AC180" s="17"/>
    </row>
    <row r="181" spans="1:32" s="240" customFormat="1" ht="12" hidden="1">
      <c r="E181" s="241"/>
      <c r="F181" s="20">
        <v>157</v>
      </c>
      <c r="G181" s="242"/>
      <c r="H181" s="242"/>
      <c r="I181" s="242"/>
      <c r="J181" s="242"/>
      <c r="K181" s="242"/>
      <c r="L181" s="242"/>
      <c r="M181" s="5"/>
      <c r="N181" s="242"/>
      <c r="O181" s="5"/>
      <c r="P181" s="242"/>
      <c r="Q181" s="242"/>
      <c r="R181" s="242"/>
      <c r="S181" s="242"/>
      <c r="V181" s="243"/>
      <c r="W181" s="244"/>
      <c r="X181" s="242"/>
      <c r="Z181" s="242"/>
      <c r="AA181" s="5"/>
      <c r="AC181" s="17"/>
    </row>
    <row r="182" spans="1:32" s="240" customFormat="1" ht="12" hidden="1">
      <c r="E182" s="241"/>
      <c r="F182" s="30">
        <v>158</v>
      </c>
      <c r="G182" s="242"/>
      <c r="H182" s="242"/>
      <c r="I182" s="242"/>
      <c r="J182" s="242"/>
      <c r="K182" s="242"/>
      <c r="L182" s="242"/>
      <c r="M182" s="5"/>
      <c r="N182" s="242"/>
      <c r="O182" s="5"/>
      <c r="P182" s="242"/>
      <c r="Q182" s="242"/>
      <c r="R182" s="242"/>
      <c r="S182" s="242"/>
      <c r="V182" s="243"/>
      <c r="W182" s="244"/>
      <c r="X182" s="242"/>
      <c r="Z182" s="242"/>
      <c r="AA182" s="5"/>
      <c r="AC182" s="17"/>
    </row>
    <row r="183" spans="1:32" s="240" customFormat="1" ht="12" hidden="1">
      <c r="E183" s="241"/>
      <c r="F183" s="20">
        <v>159</v>
      </c>
      <c r="G183" s="242"/>
      <c r="H183" s="242"/>
      <c r="I183" s="242"/>
      <c r="J183" s="242"/>
      <c r="K183" s="242"/>
      <c r="L183" s="242"/>
      <c r="M183" s="5"/>
      <c r="N183" s="242"/>
      <c r="O183" s="5"/>
      <c r="P183" s="242"/>
      <c r="Q183" s="242"/>
      <c r="R183" s="242"/>
      <c r="S183" s="242"/>
      <c r="V183" s="243"/>
      <c r="W183" s="244"/>
      <c r="X183" s="242"/>
      <c r="Z183" s="242"/>
      <c r="AA183" s="5"/>
      <c r="AC183" s="17"/>
    </row>
    <row r="184" spans="1:32" s="240" customFormat="1" ht="12" hidden="1">
      <c r="E184" s="241"/>
      <c r="F184" s="30">
        <v>160</v>
      </c>
      <c r="G184" s="242"/>
      <c r="H184" s="242"/>
      <c r="I184" s="242"/>
      <c r="J184" s="242"/>
      <c r="K184" s="242"/>
      <c r="L184" s="242"/>
      <c r="M184" s="5"/>
      <c r="N184" s="242"/>
      <c r="O184" s="5"/>
      <c r="P184" s="242"/>
      <c r="Q184" s="242"/>
      <c r="R184" s="242"/>
      <c r="S184" s="242"/>
      <c r="V184" s="243"/>
      <c r="W184" s="244"/>
      <c r="X184" s="242"/>
      <c r="Z184" s="242"/>
      <c r="AA184" s="5"/>
      <c r="AC184" s="17"/>
    </row>
    <row r="185" spans="1:32" s="240" customFormat="1" ht="12" hidden="1">
      <c r="E185" s="241"/>
      <c r="F185" s="30">
        <v>161</v>
      </c>
      <c r="G185" s="242"/>
      <c r="H185" s="242"/>
      <c r="I185" s="242"/>
      <c r="J185" s="242"/>
      <c r="K185" s="242"/>
      <c r="L185" s="242"/>
      <c r="M185" s="5"/>
      <c r="N185" s="242"/>
      <c r="O185" s="5"/>
      <c r="P185" s="242"/>
      <c r="Q185" s="242"/>
      <c r="R185" s="242"/>
      <c r="S185" s="242"/>
      <c r="V185" s="243"/>
      <c r="W185" s="244"/>
      <c r="X185" s="242"/>
      <c r="Z185" s="242"/>
      <c r="AA185" s="5"/>
      <c r="AC185" s="17"/>
    </row>
    <row r="186" spans="1:32" s="240" customFormat="1" ht="12" hidden="1">
      <c r="E186" s="241"/>
      <c r="F186" s="20">
        <v>162</v>
      </c>
      <c r="G186" s="242"/>
      <c r="H186" s="242"/>
      <c r="I186" s="242"/>
      <c r="J186" s="242"/>
      <c r="K186" s="242"/>
      <c r="L186" s="242"/>
      <c r="M186" s="5"/>
      <c r="N186" s="242"/>
      <c r="O186" s="5"/>
      <c r="P186" s="242"/>
      <c r="Q186" s="242"/>
      <c r="R186" s="242"/>
      <c r="S186" s="242"/>
      <c r="V186" s="243"/>
      <c r="W186" s="244"/>
      <c r="X186" s="242"/>
      <c r="Z186" s="242"/>
      <c r="AA186" s="5"/>
      <c r="AC186" s="17"/>
    </row>
    <row r="187" spans="1:32" s="240" customFormat="1" ht="12" hidden="1">
      <c r="E187" s="241"/>
      <c r="F187" s="30">
        <v>163</v>
      </c>
      <c r="G187" s="242"/>
      <c r="H187" s="242"/>
      <c r="I187" s="242"/>
      <c r="J187" s="242"/>
      <c r="K187" s="242"/>
      <c r="L187" s="242"/>
      <c r="M187" s="5"/>
      <c r="N187" s="242"/>
      <c r="O187" s="5"/>
      <c r="P187" s="242"/>
      <c r="Q187" s="242"/>
      <c r="R187" s="242"/>
      <c r="S187" s="242"/>
      <c r="V187" s="243"/>
      <c r="W187" s="244"/>
      <c r="X187" s="242"/>
      <c r="Z187" s="242"/>
      <c r="AA187" s="5"/>
      <c r="AC187" s="17"/>
    </row>
    <row r="188" spans="1:32" s="240" customFormat="1" ht="12" hidden="1">
      <c r="E188" s="241"/>
      <c r="F188" s="20">
        <v>164</v>
      </c>
      <c r="G188" s="242"/>
      <c r="H188" s="242"/>
      <c r="I188" s="242"/>
      <c r="J188" s="242"/>
      <c r="K188" s="242"/>
      <c r="L188" s="242"/>
      <c r="M188" s="5"/>
      <c r="N188" s="242"/>
      <c r="O188" s="5"/>
      <c r="P188" s="242"/>
      <c r="Q188" s="242"/>
      <c r="R188" s="242"/>
      <c r="S188" s="242"/>
      <c r="V188" s="243"/>
      <c r="W188" s="244"/>
      <c r="X188" s="242"/>
      <c r="Z188" s="242"/>
      <c r="AA188" s="5"/>
      <c r="AC188" s="17"/>
    </row>
    <row r="189" spans="1:32" s="240" customFormat="1" ht="12" hidden="1">
      <c r="E189" s="241"/>
      <c r="F189" s="30">
        <v>165</v>
      </c>
      <c r="G189" s="242"/>
      <c r="H189" s="242"/>
      <c r="I189" s="242"/>
      <c r="J189" s="242"/>
      <c r="K189" s="242"/>
      <c r="L189" s="242"/>
      <c r="M189" s="5"/>
      <c r="N189" s="242"/>
      <c r="O189" s="5"/>
      <c r="P189" s="242"/>
      <c r="Q189" s="242"/>
      <c r="R189" s="242"/>
      <c r="S189" s="242"/>
      <c r="V189" s="243"/>
      <c r="W189" s="244"/>
      <c r="X189" s="242"/>
      <c r="Z189" s="242"/>
      <c r="AA189" s="5"/>
      <c r="AC189" s="17"/>
    </row>
    <row r="190" spans="1:32" s="240" customFormat="1" ht="12" hidden="1">
      <c r="E190" s="241"/>
      <c r="F190" s="30">
        <v>166</v>
      </c>
      <c r="G190" s="242"/>
      <c r="H190" s="242"/>
      <c r="I190" s="242"/>
      <c r="J190" s="242"/>
      <c r="K190" s="242"/>
      <c r="L190" s="242"/>
      <c r="M190" s="5"/>
      <c r="N190" s="242"/>
      <c r="O190" s="5"/>
      <c r="P190" s="242"/>
      <c r="Q190" s="242"/>
      <c r="R190" s="242"/>
      <c r="S190" s="242"/>
      <c r="V190" s="243"/>
      <c r="W190" s="244"/>
      <c r="X190" s="242"/>
      <c r="Z190" s="242"/>
      <c r="AA190" s="5"/>
      <c r="AC190" s="17"/>
    </row>
    <row r="191" spans="1:32" s="240" customFormat="1" ht="12" hidden="1">
      <c r="E191" s="241"/>
      <c r="F191" s="20">
        <v>167</v>
      </c>
      <c r="G191" s="242"/>
      <c r="H191" s="242"/>
      <c r="I191" s="242"/>
      <c r="J191" s="242"/>
      <c r="K191" s="242"/>
      <c r="L191" s="242"/>
      <c r="M191" s="5"/>
      <c r="N191" s="242"/>
      <c r="O191" s="5"/>
      <c r="P191" s="242"/>
      <c r="Q191" s="242"/>
      <c r="R191" s="242"/>
      <c r="S191" s="242"/>
      <c r="V191" s="243"/>
      <c r="W191" s="244"/>
      <c r="X191" s="242"/>
      <c r="Z191" s="242"/>
      <c r="AA191" s="5"/>
      <c r="AC191" s="17"/>
    </row>
    <row r="192" spans="1:32" ht="12">
      <c r="A192" s="17"/>
      <c r="B192" s="17"/>
      <c r="C192" s="17"/>
      <c r="D192" s="17"/>
      <c r="E192" s="17"/>
      <c r="F192" s="30">
        <v>172</v>
      </c>
      <c r="G192" s="5"/>
      <c r="I192" s="5"/>
      <c r="L192" s="5"/>
      <c r="M192" s="5"/>
      <c r="N192" s="5"/>
      <c r="O192" s="5"/>
      <c r="P192" s="5"/>
      <c r="Q192" s="5"/>
      <c r="R192" s="5"/>
      <c r="S192" s="5"/>
      <c r="T192" s="5"/>
      <c r="V192" s="5"/>
      <c r="X192" s="5"/>
      <c r="Z192" s="5"/>
      <c r="AA192" s="5"/>
      <c r="AB192" s="5"/>
      <c r="AC192" s="5"/>
      <c r="AD192" s="5"/>
      <c r="AF192" s="5"/>
    </row>
    <row r="193" spans="1:32" ht="12">
      <c r="A193" s="27" t="s">
        <v>718</v>
      </c>
      <c r="B193" s="17"/>
      <c r="C193" s="17"/>
      <c r="D193" s="17"/>
      <c r="E193" s="17"/>
      <c r="F193" s="30">
        <v>173</v>
      </c>
      <c r="G193" s="5"/>
      <c r="I193" s="5"/>
      <c r="L193" s="5"/>
      <c r="M193" s="5"/>
      <c r="N193" s="5"/>
      <c r="O193" s="5"/>
      <c r="P193" s="5"/>
      <c r="Q193" s="5"/>
      <c r="R193" s="5"/>
      <c r="S193" s="5"/>
      <c r="T193" s="5"/>
      <c r="V193" s="5"/>
      <c r="X193" s="5"/>
      <c r="Z193" s="5"/>
      <c r="AA193" s="5"/>
      <c r="AB193" s="5"/>
      <c r="AC193" s="5"/>
      <c r="AD193" s="5"/>
      <c r="AF193" s="5"/>
    </row>
    <row r="194" spans="1:32" ht="12">
      <c r="A194" s="33" t="s">
        <v>226</v>
      </c>
      <c r="B194" s="33"/>
      <c r="C194" s="17"/>
      <c r="D194" s="17"/>
      <c r="E194" s="17"/>
      <c r="F194" s="30">
        <v>174</v>
      </c>
      <c r="G194" s="237">
        <v>-23586237</v>
      </c>
      <c r="I194" s="31">
        <v>1151004</v>
      </c>
      <c r="L194" s="31">
        <v>9168949</v>
      </c>
      <c r="M194" s="5"/>
      <c r="N194" s="31"/>
      <c r="O194" s="5"/>
      <c r="P194" s="31">
        <v>118807745</v>
      </c>
      <c r="Q194" s="5"/>
      <c r="R194" s="31">
        <v>6717513</v>
      </c>
      <c r="S194" s="5"/>
      <c r="T194" s="31"/>
      <c r="V194" s="31">
        <v>14008701</v>
      </c>
      <c r="X194" s="237">
        <v>80921</v>
      </c>
      <c r="Z194" s="237"/>
      <c r="AA194" s="5"/>
      <c r="AB194" s="31"/>
      <c r="AC194" s="5"/>
      <c r="AD194" s="31"/>
      <c r="AF194" s="31">
        <v>58430</v>
      </c>
    </row>
    <row r="195" spans="1:32" ht="12">
      <c r="A195" s="33" t="s">
        <v>474</v>
      </c>
      <c r="B195" s="17"/>
      <c r="C195" s="17"/>
      <c r="D195" s="17"/>
      <c r="E195" s="133"/>
      <c r="F195" s="20">
        <v>175</v>
      </c>
      <c r="G195" s="31">
        <v>0</v>
      </c>
      <c r="I195" s="31">
        <v>0</v>
      </c>
      <c r="L195" s="31">
        <v>0</v>
      </c>
      <c r="M195" s="5"/>
      <c r="N195" s="31"/>
      <c r="O195" s="5"/>
      <c r="P195" s="31">
        <v>0</v>
      </c>
      <c r="Q195" s="5"/>
      <c r="R195" s="31">
        <v>0</v>
      </c>
      <c r="S195" s="5"/>
      <c r="T195" s="31"/>
      <c r="V195" s="31">
        <v>0</v>
      </c>
      <c r="X195" s="31">
        <v>0</v>
      </c>
      <c r="Z195" s="31"/>
      <c r="AA195" s="5"/>
      <c r="AB195" s="31"/>
      <c r="AC195" s="5"/>
      <c r="AD195" s="31"/>
      <c r="AF195" s="31">
        <v>0</v>
      </c>
    </row>
    <row r="196" spans="1:32" ht="12">
      <c r="A196" s="33" t="s">
        <v>474</v>
      </c>
      <c r="B196" s="17"/>
      <c r="C196" s="17"/>
      <c r="D196" s="17"/>
      <c r="E196" s="133"/>
      <c r="F196" s="30">
        <v>176</v>
      </c>
      <c r="G196" s="31">
        <v>0</v>
      </c>
      <c r="I196" s="31">
        <v>0</v>
      </c>
      <c r="L196" s="31">
        <v>0</v>
      </c>
      <c r="M196" s="5"/>
      <c r="N196" s="31"/>
      <c r="O196" s="5"/>
      <c r="P196" s="31">
        <v>0</v>
      </c>
      <c r="Q196" s="5"/>
      <c r="R196" s="31">
        <v>0</v>
      </c>
      <c r="S196" s="5"/>
      <c r="T196" s="31"/>
      <c r="V196" s="31">
        <v>0</v>
      </c>
      <c r="X196" s="31">
        <v>0</v>
      </c>
      <c r="Z196" s="31"/>
      <c r="AA196" s="5"/>
      <c r="AB196" s="31"/>
      <c r="AC196" s="5"/>
      <c r="AD196" s="31"/>
      <c r="AF196" s="31">
        <v>0</v>
      </c>
    </row>
    <row r="197" spans="1:32" ht="12">
      <c r="A197" s="33" t="s">
        <v>474</v>
      </c>
      <c r="B197" s="17"/>
      <c r="C197" s="17"/>
      <c r="D197" s="17"/>
      <c r="E197" s="133"/>
      <c r="F197" s="30">
        <v>177</v>
      </c>
      <c r="G197" s="31">
        <v>0</v>
      </c>
      <c r="I197" s="31">
        <v>0</v>
      </c>
      <c r="L197" s="31">
        <v>0</v>
      </c>
      <c r="M197" s="5"/>
      <c r="N197" s="31"/>
      <c r="O197" s="5"/>
      <c r="P197" s="31">
        <v>0</v>
      </c>
      <c r="Q197" s="5"/>
      <c r="R197" s="31">
        <v>0</v>
      </c>
      <c r="S197" s="5"/>
      <c r="T197" s="31"/>
      <c r="V197" s="31">
        <v>0</v>
      </c>
      <c r="X197" s="31">
        <v>0</v>
      </c>
      <c r="Z197" s="31"/>
      <c r="AA197" s="5"/>
      <c r="AB197" s="31"/>
      <c r="AC197" s="5"/>
      <c r="AD197" s="31"/>
      <c r="AF197" s="31">
        <v>0</v>
      </c>
    </row>
    <row r="198" spans="1:32" ht="12">
      <c r="A198" s="33" t="s">
        <v>474</v>
      </c>
      <c r="B198" s="17"/>
      <c r="C198" s="17"/>
      <c r="D198" s="17"/>
      <c r="E198" s="133"/>
      <c r="F198" s="20">
        <v>178</v>
      </c>
      <c r="G198" s="31">
        <v>0</v>
      </c>
      <c r="I198" s="31">
        <v>0</v>
      </c>
      <c r="L198" s="31">
        <v>0</v>
      </c>
      <c r="M198" s="5"/>
      <c r="N198" s="31"/>
      <c r="O198" s="5"/>
      <c r="P198" s="31">
        <v>0</v>
      </c>
      <c r="Q198" s="5"/>
      <c r="R198" s="31">
        <v>0</v>
      </c>
      <c r="S198" s="5"/>
      <c r="T198" s="31"/>
      <c r="V198" s="31">
        <v>0</v>
      </c>
      <c r="X198" s="31">
        <v>0</v>
      </c>
      <c r="Z198" s="31"/>
      <c r="AA198" s="5"/>
      <c r="AB198" s="31"/>
      <c r="AC198" s="5"/>
      <c r="AD198" s="31"/>
      <c r="AF198" s="31">
        <v>0</v>
      </c>
    </row>
    <row r="199" spans="1:32" ht="12">
      <c r="A199" s="33" t="s">
        <v>281</v>
      </c>
      <c r="B199" s="17"/>
      <c r="C199" s="17"/>
      <c r="D199" s="17"/>
      <c r="E199" s="17"/>
      <c r="F199" s="30">
        <v>179</v>
      </c>
      <c r="G199" s="237">
        <v>-369424</v>
      </c>
      <c r="I199" s="237">
        <v>13156985</v>
      </c>
      <c r="L199" s="31">
        <v>66503058</v>
      </c>
      <c r="M199" s="5"/>
      <c r="N199" s="31">
        <v>3068791</v>
      </c>
      <c r="O199" s="5"/>
      <c r="P199" s="31">
        <v>-140162918</v>
      </c>
      <c r="Q199" s="5"/>
      <c r="R199" s="31">
        <v>21214461</v>
      </c>
      <c r="S199" s="5"/>
      <c r="T199" s="31">
        <v>435349495</v>
      </c>
      <c r="V199" s="237">
        <v>13387719</v>
      </c>
      <c r="X199" s="237">
        <v>75416728</v>
      </c>
      <c r="Z199" s="237">
        <v>-235882155</v>
      </c>
      <c r="AA199" s="5"/>
      <c r="AB199" s="31">
        <v>455263</v>
      </c>
      <c r="AC199" s="5"/>
      <c r="AD199" s="31"/>
      <c r="AF199" s="31">
        <v>242432</v>
      </c>
    </row>
    <row r="200" spans="1:32" ht="12.6" thickBot="1">
      <c r="A200" s="17"/>
      <c r="B200" s="17"/>
      <c r="C200" s="17"/>
      <c r="D200" s="17"/>
      <c r="E200" s="33" t="s">
        <v>713</v>
      </c>
      <c r="F200" s="30">
        <v>180</v>
      </c>
      <c r="G200" s="38">
        <f>SUM(G194:G199)</f>
        <v>-23955661</v>
      </c>
      <c r="I200" s="38">
        <f>SUM(I194:I199)</f>
        <v>14307989</v>
      </c>
      <c r="L200" s="38">
        <f>SUM(L194:L199)</f>
        <v>75672007</v>
      </c>
      <c r="M200" s="5"/>
      <c r="N200" s="38">
        <f>SUM(N194:N199)</f>
        <v>3068791</v>
      </c>
      <c r="O200" s="5"/>
      <c r="P200" s="38">
        <f>SUM(P194:P199)</f>
        <v>-21355173</v>
      </c>
      <c r="Q200" s="5"/>
      <c r="R200" s="38">
        <f t="shared" ref="R200:AF200" si="23">SUM(R194:R199)</f>
        <v>27931974</v>
      </c>
      <c r="S200" s="5"/>
      <c r="T200" s="38">
        <f t="shared" si="23"/>
        <v>435349495</v>
      </c>
      <c r="U200" s="5"/>
      <c r="V200" s="38">
        <f t="shared" si="23"/>
        <v>27396420</v>
      </c>
      <c r="W200" s="5"/>
      <c r="X200" s="38">
        <f>SUM(X194:X199)</f>
        <v>75497649</v>
      </c>
      <c r="Y200" s="5"/>
      <c r="Z200" s="38">
        <f>SUM(Z194:Z199)</f>
        <v>-235882155</v>
      </c>
      <c r="AA200" s="5"/>
      <c r="AB200" s="38">
        <f t="shared" ref="AB200" si="24">SUM(AB194:AB199)</f>
        <v>455263</v>
      </c>
      <c r="AC200" s="5"/>
      <c r="AD200" s="38"/>
      <c r="AF200" s="38">
        <f t="shared" si="23"/>
        <v>300862</v>
      </c>
    </row>
    <row r="201" spans="1:32" ht="12.6" thickTop="1">
      <c r="A201" s="531" t="s">
        <v>3452</v>
      </c>
      <c r="B201" s="17"/>
      <c r="C201" s="17"/>
      <c r="D201" s="17"/>
      <c r="E201" s="33"/>
      <c r="F201" s="20">
        <v>181</v>
      </c>
      <c r="G201" s="530">
        <f>(G84-G175)-G200</f>
        <v>0</v>
      </c>
      <c r="I201" s="530">
        <f>(I84-I175)-I200</f>
        <v>0</v>
      </c>
      <c r="L201" s="530">
        <f>(L84-L175)-L200</f>
        <v>0</v>
      </c>
      <c r="M201" s="5"/>
      <c r="N201" s="530">
        <f>(N84-N175)-N200</f>
        <v>0</v>
      </c>
      <c r="O201" s="5"/>
      <c r="P201" s="530">
        <f>(P84-P175)-P200</f>
        <v>0</v>
      </c>
      <c r="R201" s="530">
        <f>(R84-R175)-R200</f>
        <v>0</v>
      </c>
      <c r="T201" s="530">
        <f>(T84-T175)-T200</f>
        <v>0</v>
      </c>
      <c r="V201" s="530">
        <f>(V84-V175)-V200</f>
        <v>0</v>
      </c>
      <c r="X201" s="530">
        <f>(X84-X175)-X200</f>
        <v>0</v>
      </c>
      <c r="Z201" s="530">
        <f>(Z84-Z175)-Z200</f>
        <v>0</v>
      </c>
      <c r="AA201" s="5"/>
      <c r="AB201" s="530">
        <f>(AB84-AB175)-AB200</f>
        <v>0</v>
      </c>
      <c r="AC201" s="5"/>
      <c r="AD201" s="530"/>
      <c r="AF201" s="530">
        <f>(AF84-AF175)-AF200</f>
        <v>0</v>
      </c>
    </row>
    <row r="202" spans="1:32" ht="12">
      <c r="A202" s="17"/>
      <c r="B202" s="17"/>
      <c r="C202" s="17"/>
      <c r="D202" s="17"/>
      <c r="E202" s="33"/>
      <c r="F202" s="30">
        <v>182</v>
      </c>
      <c r="G202" s="5"/>
      <c r="I202" s="5"/>
      <c r="L202" s="5"/>
      <c r="M202" s="5"/>
      <c r="N202" s="5"/>
      <c r="O202" s="5"/>
      <c r="P202" s="5"/>
      <c r="R202" s="5"/>
      <c r="T202" s="5"/>
      <c r="V202" s="5"/>
      <c r="X202" s="5"/>
      <c r="Z202" s="5"/>
      <c r="AA202" s="5"/>
      <c r="AB202" s="5"/>
      <c r="AC202" s="5"/>
      <c r="AD202" s="5"/>
      <c r="AF202" s="5"/>
    </row>
    <row r="203" spans="1:32">
      <c r="A203" s="1050"/>
      <c r="B203" s="1051"/>
      <c r="C203" s="1051"/>
      <c r="D203" s="1051"/>
      <c r="E203" s="18"/>
      <c r="F203" s="30">
        <v>183</v>
      </c>
    </row>
    <row r="204" spans="1:32" ht="12">
      <c r="A204" s="27"/>
      <c r="B204" s="17"/>
      <c r="C204" s="17"/>
      <c r="D204" s="17"/>
      <c r="E204" s="17"/>
      <c r="F204" s="20">
        <v>184</v>
      </c>
    </row>
    <row r="205" spans="1:32" ht="15" customHeight="1">
      <c r="A205" s="13" t="s">
        <v>719</v>
      </c>
      <c r="B205" s="13"/>
      <c r="C205" s="13"/>
      <c r="D205" s="27"/>
      <c r="E205" s="11"/>
      <c r="F205" s="30">
        <v>185</v>
      </c>
      <c r="Q205" s="21"/>
      <c r="S205" s="21"/>
    </row>
    <row r="206" spans="1:32" ht="24.75" customHeight="1">
      <c r="A206" s="29" t="str">
        <f>A105</f>
        <v>For the Year Ended June 30, 2023</v>
      </c>
      <c r="B206" s="23"/>
      <c r="C206" s="23"/>
      <c r="D206" s="23"/>
      <c r="E206" s="35"/>
      <c r="F206" s="30">
        <v>186</v>
      </c>
      <c r="Q206" s="28"/>
      <c r="S206" s="28"/>
    </row>
    <row r="207" spans="1:32" ht="12" customHeight="1">
      <c r="A207" s="27"/>
      <c r="B207" s="17"/>
      <c r="C207" s="17"/>
      <c r="D207" s="17"/>
      <c r="E207" s="17"/>
      <c r="F207" s="20">
        <v>187</v>
      </c>
      <c r="G207" s="21"/>
      <c r="I207" s="21"/>
      <c r="L207" s="21"/>
      <c r="M207" s="21"/>
      <c r="N207" s="21"/>
      <c r="O207" s="21"/>
      <c r="P207" s="21"/>
      <c r="R207" s="21"/>
      <c r="T207" s="21"/>
      <c r="V207" s="21"/>
      <c r="X207" s="21"/>
      <c r="Z207" s="21"/>
      <c r="AA207" s="21"/>
      <c r="AB207" s="21"/>
      <c r="AC207" s="21"/>
      <c r="AD207" s="21"/>
      <c r="AF207" s="21"/>
    </row>
    <row r="208" spans="1:32" ht="53.25" customHeight="1">
      <c r="A208" s="39" t="s">
        <v>282</v>
      </c>
      <c r="B208" s="23"/>
      <c r="C208" s="23"/>
      <c r="D208" s="23"/>
      <c r="E208" s="23"/>
      <c r="F208" s="30">
        <v>188</v>
      </c>
      <c r="G208" s="100" t="str">
        <f>G21</f>
        <v>DGS - Property Management</v>
      </c>
      <c r="H208" s="16"/>
      <c r="I208" s="100" t="str">
        <f>I21</f>
        <v>DGS - General Services</v>
      </c>
      <c r="J208" s="16"/>
      <c r="L208" s="100" t="str">
        <f>L21</f>
        <v>VA Information Technologies Agency</v>
      </c>
      <c r="M208" s="100"/>
      <c r="N208" s="100" t="str">
        <f>N21</f>
        <v>Secretary of Administration</v>
      </c>
      <c r="O208" s="100"/>
      <c r="P208" s="100" t="str">
        <f>P21</f>
        <v>Enterprise Applications</v>
      </c>
      <c r="Q208" s="132"/>
      <c r="R208" s="100" t="str">
        <f>R21</f>
        <v>VA Correctional Enterprises</v>
      </c>
      <c r="S208" s="16"/>
      <c r="T208" s="100" t="str">
        <f>T21</f>
        <v>Health Insurance Fund</v>
      </c>
      <c r="U208" s="16"/>
      <c r="V208" s="100" t="str">
        <f>V21</f>
        <v>DGS - Fleet Management</v>
      </c>
      <c r="W208" s="16"/>
      <c r="X208" s="100" t="str">
        <f>X21</f>
        <v>Treasury - Risk Management</v>
      </c>
      <c r="Y208" s="16"/>
      <c r="Z208" s="100" t="str">
        <f>Z21</f>
        <v>DHRM - Risk Management</v>
      </c>
      <c r="AA208" s="76"/>
      <c r="AB208" s="100" t="str">
        <f>AB21</f>
        <v>DHRM - Line of Duty</v>
      </c>
      <c r="AC208" s="76"/>
      <c r="AD208" s="100"/>
      <c r="AF208" s="100" t="str">
        <f>AF21</f>
        <v>Payroll Service Bureau</v>
      </c>
    </row>
    <row r="209" spans="1:32" ht="12">
      <c r="A209" s="18"/>
      <c r="B209" s="17"/>
      <c r="C209" s="17"/>
      <c r="D209" s="17"/>
      <c r="E209" s="17"/>
      <c r="F209" s="30">
        <v>189</v>
      </c>
      <c r="G209" s="27"/>
      <c r="I209" s="27"/>
      <c r="L209" s="27"/>
      <c r="M209" s="27"/>
      <c r="N209" s="27"/>
      <c r="O209" s="27"/>
      <c r="P209" s="27"/>
      <c r="Q209" s="5"/>
      <c r="R209" s="27"/>
      <c r="S209" s="5"/>
      <c r="T209" s="27"/>
      <c r="V209" s="27"/>
      <c r="X209" s="27"/>
      <c r="Z209" s="27"/>
      <c r="AA209" s="27"/>
      <c r="AB209" s="27"/>
      <c r="AC209" s="27"/>
      <c r="AD209" s="27"/>
      <c r="AF209" s="27"/>
    </row>
    <row r="210" spans="1:32" ht="12">
      <c r="A210" s="17"/>
      <c r="B210" s="24" t="s">
        <v>283</v>
      </c>
      <c r="C210" s="17"/>
      <c r="D210" s="17"/>
      <c r="E210" s="17"/>
      <c r="F210" s="20">
        <v>190</v>
      </c>
      <c r="G210" s="237">
        <v>123846338</v>
      </c>
      <c r="I210" s="31">
        <v>60738816</v>
      </c>
      <c r="L210" s="31">
        <v>388264454</v>
      </c>
      <c r="M210" s="5"/>
      <c r="N210" s="31">
        <v>5139010</v>
      </c>
      <c r="O210" s="5"/>
      <c r="P210" s="31">
        <v>64078039</v>
      </c>
      <c r="Q210" s="5"/>
      <c r="R210" s="31">
        <v>54319089</v>
      </c>
      <c r="S210" s="5"/>
      <c r="T210" s="31">
        <v>1658052594</v>
      </c>
      <c r="V210" s="31">
        <v>20229707</v>
      </c>
      <c r="X210" s="237">
        <v>34669226</v>
      </c>
      <c r="Z210" s="237">
        <v>71673515</v>
      </c>
      <c r="AA210" s="5"/>
      <c r="AB210" s="237">
        <v>8827151</v>
      </c>
      <c r="AC210" s="5"/>
      <c r="AD210" s="237"/>
      <c r="AF210" s="237">
        <v>3464713</v>
      </c>
    </row>
    <row r="211" spans="1:32" ht="12">
      <c r="A211" s="17"/>
      <c r="B211" s="24" t="s">
        <v>284</v>
      </c>
      <c r="C211" s="17"/>
      <c r="D211" s="17"/>
      <c r="E211" s="17"/>
      <c r="F211" s="30">
        <v>191</v>
      </c>
      <c r="G211" s="31">
        <v>0</v>
      </c>
      <c r="I211" s="31"/>
      <c r="L211" s="31"/>
      <c r="M211" s="5"/>
      <c r="N211" s="31"/>
      <c r="O211" s="5"/>
      <c r="P211" s="31"/>
      <c r="Q211" s="5"/>
      <c r="R211" s="31"/>
      <c r="S211" s="5"/>
      <c r="T211" s="31"/>
      <c r="V211" s="31"/>
      <c r="X211" s="31"/>
      <c r="Z211" s="31"/>
      <c r="AA211" s="5"/>
      <c r="AB211" s="31"/>
      <c r="AC211" s="5"/>
      <c r="AD211" s="31"/>
      <c r="AF211" s="31"/>
    </row>
    <row r="212" spans="1:32" ht="12">
      <c r="A212" s="17"/>
      <c r="B212" s="40"/>
      <c r="C212" s="17"/>
      <c r="D212" s="17"/>
      <c r="E212" s="17"/>
      <c r="F212" s="30">
        <v>192</v>
      </c>
      <c r="G212" s="5"/>
      <c r="I212" s="5"/>
      <c r="L212" s="5"/>
      <c r="M212" s="5"/>
      <c r="N212" s="5"/>
      <c r="O212" s="5"/>
      <c r="P212" s="5"/>
      <c r="Q212" s="5"/>
      <c r="R212" s="5"/>
      <c r="S212" s="5"/>
      <c r="T212" s="5"/>
      <c r="V212" s="5"/>
      <c r="X212" s="5"/>
      <c r="Z212" s="5"/>
      <c r="AA212" s="5"/>
      <c r="AB212" s="5"/>
      <c r="AC212" s="5"/>
      <c r="AD212" s="5"/>
      <c r="AF212" s="5"/>
    </row>
    <row r="213" spans="1:32" ht="12">
      <c r="A213" s="17"/>
      <c r="B213" s="17" t="s">
        <v>619</v>
      </c>
      <c r="C213" s="17"/>
      <c r="D213" s="17"/>
      <c r="E213" s="17"/>
      <c r="F213" s="20">
        <v>193</v>
      </c>
      <c r="G213" s="31"/>
      <c r="I213" s="31"/>
      <c r="L213" s="31"/>
      <c r="M213" s="5"/>
      <c r="N213" s="31"/>
      <c r="O213" s="5"/>
      <c r="P213" s="31"/>
      <c r="Q213" s="5"/>
      <c r="R213" s="31"/>
      <c r="S213" s="5"/>
      <c r="T213" s="31"/>
      <c r="V213" s="31"/>
      <c r="X213" s="31"/>
      <c r="Z213" s="31"/>
      <c r="AA213" s="5"/>
      <c r="AB213" s="31"/>
      <c r="AC213" s="5"/>
      <c r="AD213" s="31"/>
      <c r="AF213" s="31"/>
    </row>
    <row r="214" spans="1:32" ht="12">
      <c r="A214" s="17"/>
      <c r="B214" s="40" t="s">
        <v>285</v>
      </c>
      <c r="C214" s="17"/>
      <c r="D214" s="17"/>
      <c r="E214" s="17"/>
      <c r="F214" s="30">
        <v>194</v>
      </c>
      <c r="G214" s="31"/>
      <c r="I214" s="31"/>
      <c r="L214" s="31"/>
      <c r="M214" s="5"/>
      <c r="N214" s="31"/>
      <c r="O214" s="5"/>
      <c r="P214" s="31"/>
      <c r="Q214" s="5"/>
      <c r="R214" s="31"/>
      <c r="S214" s="5"/>
      <c r="T214" s="31"/>
      <c r="V214" s="31"/>
      <c r="X214" s="31"/>
      <c r="Z214" s="31"/>
      <c r="AA214" s="5"/>
      <c r="AB214" s="31"/>
      <c r="AC214" s="5"/>
      <c r="AD214" s="31"/>
      <c r="AF214" s="31"/>
    </row>
    <row r="215" spans="1:32" ht="12">
      <c r="A215" s="17"/>
      <c r="B215" s="40" t="s">
        <v>620</v>
      </c>
      <c r="C215" s="17"/>
      <c r="D215" s="17"/>
      <c r="E215" s="17"/>
      <c r="F215" s="30">
        <v>195</v>
      </c>
      <c r="G215" s="31"/>
      <c r="I215" s="31"/>
      <c r="L215" s="31"/>
      <c r="M215" s="5"/>
      <c r="N215" s="31"/>
      <c r="O215" s="5"/>
      <c r="P215" s="31"/>
      <c r="Q215" s="5"/>
      <c r="R215" s="31"/>
      <c r="S215" s="5"/>
      <c r="T215" s="31"/>
      <c r="V215" s="31"/>
      <c r="X215" s="31"/>
      <c r="Z215" s="31"/>
      <c r="AA215" s="5"/>
      <c r="AB215" s="31"/>
      <c r="AC215" s="5"/>
      <c r="AD215" s="31"/>
      <c r="AF215" s="31"/>
    </row>
    <row r="216" spans="1:32" ht="12">
      <c r="A216" s="17"/>
      <c r="B216" s="40" t="s">
        <v>286</v>
      </c>
      <c r="C216" s="17"/>
      <c r="D216" s="17"/>
      <c r="E216" s="17"/>
      <c r="F216" s="20">
        <v>196</v>
      </c>
      <c r="G216" s="237"/>
      <c r="I216" s="31"/>
      <c r="L216" s="31"/>
      <c r="M216" s="5"/>
      <c r="N216" s="31"/>
      <c r="O216" s="5"/>
      <c r="P216" s="31"/>
      <c r="Q216" s="5"/>
      <c r="R216" s="31"/>
      <c r="S216" s="5"/>
      <c r="T216" s="31"/>
      <c r="V216" s="31"/>
      <c r="X216" s="237">
        <v>8771</v>
      </c>
      <c r="Z216" s="237">
        <v>77760000</v>
      </c>
      <c r="AA216" s="5"/>
      <c r="AB216" s="237"/>
      <c r="AC216" s="5"/>
      <c r="AD216" s="237"/>
      <c r="AF216" s="237">
        <v>14830</v>
      </c>
    </row>
    <row r="217" spans="1:32" ht="12">
      <c r="A217" s="17"/>
      <c r="B217" s="40"/>
      <c r="C217" s="33" t="s">
        <v>287</v>
      </c>
      <c r="D217" s="17"/>
      <c r="E217" s="17"/>
      <c r="F217" s="30">
        <v>197</v>
      </c>
      <c r="G217" s="34">
        <f>SUM(G213:G216)</f>
        <v>0</v>
      </c>
      <c r="I217" s="34">
        <f>SUM(I213:I216)</f>
        <v>0</v>
      </c>
      <c r="L217" s="34">
        <f>SUM(L213:L216)</f>
        <v>0</v>
      </c>
      <c r="M217" s="5"/>
      <c r="N217" s="34">
        <f>SUM(N213:N216)</f>
        <v>0</v>
      </c>
      <c r="O217" s="5"/>
      <c r="P217" s="34">
        <f>SUM(P213:P216)</f>
        <v>0</v>
      </c>
      <c r="Q217" s="5"/>
      <c r="R217" s="34">
        <f t="shared" ref="R217:AF217" si="25">SUM(R213:R216)</f>
        <v>0</v>
      </c>
      <c r="S217" s="5"/>
      <c r="T217" s="34">
        <f t="shared" si="25"/>
        <v>0</v>
      </c>
      <c r="U217" s="5"/>
      <c r="V217" s="34">
        <f t="shared" si="25"/>
        <v>0</v>
      </c>
      <c r="W217" s="5"/>
      <c r="X217" s="34">
        <f>SUM(X213:X216)</f>
        <v>8771</v>
      </c>
      <c r="Y217" s="5"/>
      <c r="Z217" s="34">
        <f>SUM(Z213:Z216)</f>
        <v>77760000</v>
      </c>
      <c r="AA217" s="5"/>
      <c r="AB217" s="34">
        <f t="shared" ref="AB217" si="26">SUM(AB213:AB216)</f>
        <v>0</v>
      </c>
      <c r="AC217" s="5"/>
      <c r="AD217" s="34"/>
      <c r="AF217" s="34">
        <f t="shared" si="25"/>
        <v>14830</v>
      </c>
    </row>
    <row r="218" spans="1:32" ht="12">
      <c r="A218" s="17"/>
      <c r="B218" s="40"/>
      <c r="C218" s="17"/>
      <c r="D218" s="17"/>
      <c r="E218" s="17"/>
      <c r="F218" s="30">
        <v>198</v>
      </c>
      <c r="G218" s="5"/>
      <c r="I218" s="5"/>
      <c r="L218" s="5"/>
      <c r="M218" s="5"/>
      <c r="N218" s="5"/>
      <c r="O218" s="5"/>
      <c r="P218" s="5"/>
      <c r="Q218" s="5"/>
      <c r="R218" s="5"/>
      <c r="S218" s="5"/>
      <c r="T218" s="5"/>
      <c r="V218" s="5"/>
      <c r="X218" s="5"/>
      <c r="Z218" s="5"/>
      <c r="AA218" s="5"/>
      <c r="AB218" s="5"/>
      <c r="AC218" s="5"/>
      <c r="AD218" s="5"/>
      <c r="AF218" s="5"/>
    </row>
    <row r="219" spans="1:32" ht="12">
      <c r="A219" s="17"/>
      <c r="B219" s="17"/>
      <c r="C219" s="24" t="s">
        <v>288</v>
      </c>
      <c r="D219" s="17"/>
      <c r="E219" s="17"/>
      <c r="F219" s="20">
        <v>199</v>
      </c>
      <c r="G219" s="34">
        <f>G210+G211+G217</f>
        <v>123846338</v>
      </c>
      <c r="I219" s="34">
        <f>I210+I211+I217</f>
        <v>60738816</v>
      </c>
      <c r="L219" s="34">
        <f>L210+L211+L217</f>
        <v>388264454</v>
      </c>
      <c r="M219" s="5"/>
      <c r="N219" s="34">
        <f>N210+N211+N217</f>
        <v>5139010</v>
      </c>
      <c r="O219" s="5"/>
      <c r="P219" s="34">
        <f>P210+P211+P217</f>
        <v>64078039</v>
      </c>
      <c r="Q219" s="5"/>
      <c r="R219" s="34">
        <f t="shared" ref="R219:V219" si="27">R210+R211+R217</f>
        <v>54319089</v>
      </c>
      <c r="S219" s="5"/>
      <c r="T219" s="34">
        <f t="shared" si="27"/>
        <v>1658052594</v>
      </c>
      <c r="U219" s="5"/>
      <c r="V219" s="34">
        <f t="shared" si="27"/>
        <v>20229707</v>
      </c>
      <c r="W219" s="5"/>
      <c r="X219" s="34">
        <f>X210+X211+X217</f>
        <v>34677997</v>
      </c>
      <c r="Y219" s="5"/>
      <c r="Z219" s="34">
        <f>Z210+Z211+Z217</f>
        <v>149433515</v>
      </c>
      <c r="AA219" s="5"/>
      <c r="AB219" s="34">
        <f>AB210+AB211+AB217</f>
        <v>8827151</v>
      </c>
      <c r="AC219" s="5"/>
      <c r="AD219" s="34"/>
      <c r="AF219" s="34">
        <f>AF210+AF211+AF217</f>
        <v>3479543</v>
      </c>
    </row>
    <row r="220" spans="1:32" ht="12">
      <c r="A220" s="17"/>
      <c r="B220" s="17"/>
      <c r="C220" s="17"/>
      <c r="D220" s="17"/>
      <c r="E220" s="17"/>
      <c r="F220" s="30">
        <v>200</v>
      </c>
      <c r="G220" s="5"/>
      <c r="I220" s="5"/>
      <c r="L220" s="5"/>
      <c r="M220" s="5"/>
      <c r="N220" s="5"/>
      <c r="O220" s="5"/>
      <c r="P220" s="5"/>
      <c r="Q220" s="5"/>
      <c r="R220" s="5"/>
      <c r="S220" s="5"/>
      <c r="T220" s="5"/>
      <c r="V220" s="5"/>
      <c r="X220" s="5"/>
      <c r="Z220" s="5"/>
      <c r="AA220" s="5"/>
      <c r="AB220" s="5"/>
      <c r="AC220" s="5"/>
      <c r="AD220" s="5"/>
      <c r="AF220" s="5"/>
    </row>
    <row r="221" spans="1:32" ht="12">
      <c r="A221" s="18" t="s">
        <v>289</v>
      </c>
      <c r="B221" s="17"/>
      <c r="C221" s="17"/>
      <c r="D221" s="17"/>
      <c r="E221" s="17"/>
      <c r="F221" s="30">
        <v>201</v>
      </c>
      <c r="G221" s="5"/>
      <c r="I221" s="5"/>
      <c r="L221" s="5"/>
      <c r="M221" s="5"/>
      <c r="N221" s="5"/>
      <c r="O221" s="5"/>
      <c r="P221" s="5"/>
      <c r="Q221" s="5"/>
      <c r="R221" s="5"/>
      <c r="S221" s="5"/>
      <c r="T221" s="5"/>
      <c r="V221" s="5"/>
      <c r="X221" s="5"/>
      <c r="Z221" s="5"/>
      <c r="AA221" s="5"/>
      <c r="AB221" s="5"/>
      <c r="AC221" s="5"/>
      <c r="AD221" s="5"/>
      <c r="AF221" s="5"/>
    </row>
    <row r="222" spans="1:32" ht="12">
      <c r="A222" s="17"/>
      <c r="B222" s="24" t="s">
        <v>524</v>
      </c>
      <c r="C222" s="17"/>
      <c r="D222" s="17"/>
      <c r="E222" s="17"/>
      <c r="F222" s="20">
        <v>202</v>
      </c>
      <c r="G222" s="31"/>
      <c r="I222" s="31">
        <v>43646704</v>
      </c>
      <c r="L222" s="31"/>
      <c r="M222" s="5"/>
      <c r="N222" s="31"/>
      <c r="O222" s="5"/>
      <c r="P222" s="31"/>
      <c r="Q222" s="5"/>
      <c r="R222" s="31">
        <v>38671569</v>
      </c>
      <c r="S222" s="5"/>
      <c r="T222" s="31"/>
      <c r="V222" s="31"/>
      <c r="X222" s="31"/>
      <c r="Z222" s="31"/>
      <c r="AA222" s="5"/>
      <c r="AB222" s="31"/>
      <c r="AC222" s="5"/>
      <c r="AD222" s="31"/>
      <c r="AF222" s="31"/>
    </row>
    <row r="223" spans="1:32" ht="12">
      <c r="A223" s="17"/>
      <c r="B223" s="40"/>
      <c r="C223" s="17"/>
      <c r="D223" s="17"/>
      <c r="E223" s="17"/>
      <c r="F223" s="30">
        <v>203</v>
      </c>
      <c r="G223" s="5"/>
      <c r="I223" s="5"/>
      <c r="L223" s="5"/>
      <c r="M223" s="5"/>
      <c r="N223" s="5"/>
      <c r="O223" s="5"/>
      <c r="P223" s="5"/>
      <c r="Q223" s="5"/>
      <c r="R223" s="5"/>
      <c r="S223" s="5"/>
      <c r="T223" s="5"/>
      <c r="V223" s="5"/>
      <c r="X223" s="5"/>
      <c r="Z223" s="5"/>
      <c r="AA223" s="5"/>
      <c r="AB223" s="5"/>
      <c r="AC223" s="5"/>
      <c r="AD223" s="5"/>
      <c r="AF223" s="5"/>
    </row>
    <row r="224" spans="1:32" ht="12">
      <c r="A224" s="17"/>
      <c r="B224" s="40" t="s">
        <v>525</v>
      </c>
      <c r="C224" s="17"/>
      <c r="D224" s="17"/>
      <c r="E224" s="17"/>
      <c r="F224" s="30">
        <v>204</v>
      </c>
      <c r="G224" s="31">
        <v>0</v>
      </c>
      <c r="I224" s="31"/>
      <c r="L224" s="31"/>
      <c r="M224" s="5"/>
      <c r="N224" s="31"/>
      <c r="O224" s="5"/>
      <c r="P224" s="31"/>
      <c r="Q224" s="5"/>
      <c r="R224" s="31"/>
      <c r="S224" s="5"/>
      <c r="T224" s="31">
        <v>1615730329</v>
      </c>
      <c r="V224" s="31"/>
      <c r="X224" s="31">
        <v>31826792</v>
      </c>
      <c r="Z224" s="31">
        <v>40117053</v>
      </c>
      <c r="AA224" s="5"/>
      <c r="AB224" s="31">
        <v>9087948</v>
      </c>
      <c r="AC224" s="5"/>
      <c r="AD224" s="31"/>
      <c r="AF224" s="31"/>
    </row>
    <row r="225" spans="1:32" ht="12" hidden="1">
      <c r="A225" s="17"/>
      <c r="B225" s="40" t="s">
        <v>640</v>
      </c>
      <c r="C225" s="17"/>
      <c r="D225" s="17"/>
      <c r="E225" s="17"/>
      <c r="F225" s="20">
        <v>205</v>
      </c>
      <c r="G225" s="32"/>
      <c r="I225" s="32"/>
      <c r="L225" s="32"/>
      <c r="M225" s="5"/>
      <c r="N225" s="32"/>
      <c r="O225" s="5"/>
      <c r="P225" s="32"/>
      <c r="Q225" s="5"/>
      <c r="R225" s="32"/>
      <c r="S225" s="5"/>
      <c r="T225" s="32"/>
      <c r="V225" s="32"/>
      <c r="X225" s="32"/>
      <c r="Z225" s="32"/>
      <c r="AA225" s="5"/>
      <c r="AB225" s="32"/>
      <c r="AC225" s="5"/>
      <c r="AD225" s="32"/>
      <c r="AF225" s="32"/>
    </row>
    <row r="226" spans="1:32" ht="12.75" customHeight="1">
      <c r="A226" s="17"/>
      <c r="B226" s="40"/>
      <c r="C226" s="33" t="s">
        <v>227</v>
      </c>
      <c r="D226" s="17"/>
      <c r="E226" s="17"/>
      <c r="F226" s="30">
        <v>206</v>
      </c>
      <c r="G226" s="34">
        <f>G224</f>
        <v>0</v>
      </c>
      <c r="I226" s="34">
        <f>SUM(I224:I225)</f>
        <v>0</v>
      </c>
      <c r="L226" s="34">
        <f>SUM(L224:L225)</f>
        <v>0</v>
      </c>
      <c r="M226" s="5"/>
      <c r="N226" s="34">
        <f>SUM(N224:N225)</f>
        <v>0</v>
      </c>
      <c r="O226" s="5"/>
      <c r="P226" s="34">
        <f>SUM(P224:P225)</f>
        <v>0</v>
      </c>
      <c r="Q226" s="5"/>
      <c r="R226" s="34">
        <f t="shared" ref="R226:AF226" si="28">SUM(R224:R225)</f>
        <v>0</v>
      </c>
      <c r="S226" s="5"/>
      <c r="T226" s="34">
        <f t="shared" si="28"/>
        <v>1615730329</v>
      </c>
      <c r="U226" s="5"/>
      <c r="V226" s="34">
        <f t="shared" si="28"/>
        <v>0</v>
      </c>
      <c r="W226" s="5"/>
      <c r="X226" s="34">
        <f>X224</f>
        <v>31826792</v>
      </c>
      <c r="Y226" s="5"/>
      <c r="Z226" s="34">
        <f>Z224</f>
        <v>40117053</v>
      </c>
      <c r="AA226" s="5"/>
      <c r="AB226" s="34">
        <f t="shared" ref="AB226" si="29">SUM(AB224:AB225)</f>
        <v>9087948</v>
      </c>
      <c r="AC226" s="5"/>
      <c r="AD226" s="34"/>
      <c r="AF226" s="34">
        <f t="shared" si="28"/>
        <v>0</v>
      </c>
    </row>
    <row r="227" spans="1:32" ht="12">
      <c r="A227" s="17"/>
      <c r="B227" s="40"/>
      <c r="C227" s="17"/>
      <c r="D227" s="17"/>
      <c r="E227" s="17"/>
      <c r="F227" s="30">
        <v>207</v>
      </c>
      <c r="G227" s="5"/>
      <c r="I227" s="5"/>
      <c r="L227" s="5"/>
      <c r="M227" s="5"/>
      <c r="N227" s="5"/>
      <c r="O227" s="5"/>
      <c r="P227" s="5"/>
      <c r="Q227" s="5"/>
      <c r="R227" s="5"/>
      <c r="S227" s="5"/>
      <c r="T227" s="5"/>
      <c r="V227" s="5"/>
      <c r="X227" s="5"/>
      <c r="Z227" s="5"/>
      <c r="AA227" s="5"/>
      <c r="AB227" s="5"/>
      <c r="AC227" s="5"/>
      <c r="AD227" s="5"/>
      <c r="AF227" s="5"/>
    </row>
    <row r="228" spans="1:32" ht="12" hidden="1">
      <c r="A228" s="17"/>
      <c r="B228" s="24" t="s">
        <v>621</v>
      </c>
      <c r="C228" s="17"/>
      <c r="D228" s="17"/>
      <c r="E228" s="17"/>
      <c r="F228" s="20">
        <v>208</v>
      </c>
      <c r="G228" s="31"/>
      <c r="I228" s="31"/>
      <c r="L228" s="31"/>
      <c r="M228" s="5"/>
      <c r="N228" s="31"/>
      <c r="O228" s="5"/>
      <c r="P228" s="31"/>
      <c r="Q228" s="5"/>
      <c r="R228" s="31"/>
      <c r="S228" s="5"/>
      <c r="T228" s="31"/>
      <c r="V228" s="31"/>
      <c r="X228" s="31"/>
      <c r="Z228" s="31"/>
      <c r="AA228" s="5"/>
      <c r="AB228" s="31"/>
      <c r="AC228" s="5"/>
      <c r="AD228" s="31"/>
      <c r="AF228" s="31"/>
    </row>
    <row r="229" spans="1:32" ht="12">
      <c r="A229" s="17"/>
      <c r="B229" s="24" t="s">
        <v>641</v>
      </c>
      <c r="C229" s="17"/>
      <c r="D229" s="17"/>
      <c r="E229" s="17"/>
      <c r="F229" s="30">
        <v>209</v>
      </c>
      <c r="G229" s="237">
        <v>13089695</v>
      </c>
      <c r="I229" s="237">
        <v>7027021</v>
      </c>
      <c r="L229" s="31">
        <v>30763643</v>
      </c>
      <c r="M229" s="5"/>
      <c r="N229" s="31">
        <v>1251313</v>
      </c>
      <c r="O229" s="5"/>
      <c r="P229" s="31">
        <v>3045316</v>
      </c>
      <c r="Q229" s="5"/>
      <c r="R229" s="31">
        <v>7643957</v>
      </c>
      <c r="S229" s="5"/>
      <c r="T229" s="31">
        <v>4557847</v>
      </c>
      <c r="V229" s="237">
        <v>1190724</v>
      </c>
      <c r="X229" s="237">
        <v>1742850</v>
      </c>
      <c r="Z229" s="237">
        <v>1184960</v>
      </c>
      <c r="AA229" s="5"/>
      <c r="AB229" s="237"/>
      <c r="AC229" s="5"/>
      <c r="AD229" s="237"/>
      <c r="AF229" s="237">
        <v>3025979</v>
      </c>
    </row>
    <row r="230" spans="1:32" ht="12">
      <c r="A230" s="17"/>
      <c r="B230" s="24" t="s">
        <v>180</v>
      </c>
      <c r="C230" s="17"/>
      <c r="D230" s="17"/>
      <c r="E230" s="17"/>
      <c r="F230" s="30">
        <v>210</v>
      </c>
      <c r="G230" s="31">
        <v>18610414</v>
      </c>
      <c r="I230" s="31">
        <v>4420548</v>
      </c>
      <c r="L230" s="31">
        <v>278595213</v>
      </c>
      <c r="M230" s="5"/>
      <c r="N230" s="31">
        <v>2782097</v>
      </c>
      <c r="O230" s="5"/>
      <c r="P230" s="31">
        <v>33787641</v>
      </c>
      <c r="Q230" s="5"/>
      <c r="R230" s="31">
        <v>2322064</v>
      </c>
      <c r="S230" s="5"/>
      <c r="T230" s="31">
        <v>78257478</v>
      </c>
      <c r="V230" s="237">
        <v>5239996</v>
      </c>
      <c r="X230" s="31">
        <v>147335</v>
      </c>
      <c r="Z230" s="31">
        <v>15024398</v>
      </c>
      <c r="AA230" s="5"/>
      <c r="AB230" s="31">
        <v>372378</v>
      </c>
      <c r="AC230" s="5"/>
      <c r="AD230" s="31"/>
      <c r="AF230" s="31">
        <v>114013</v>
      </c>
    </row>
    <row r="231" spans="1:32" ht="12">
      <c r="A231" s="17"/>
      <c r="B231" s="24" t="s">
        <v>181</v>
      </c>
      <c r="C231" s="17"/>
      <c r="D231" s="17"/>
      <c r="E231" s="17"/>
      <c r="F231" s="20">
        <v>211</v>
      </c>
      <c r="G231" s="31">
        <v>2515967</v>
      </c>
      <c r="I231" s="31">
        <v>451262</v>
      </c>
      <c r="L231" s="31">
        <v>63736</v>
      </c>
      <c r="M231" s="5"/>
      <c r="N231" s="31"/>
      <c r="O231" s="5"/>
      <c r="P231" s="31">
        <v>2281</v>
      </c>
      <c r="Q231" s="5"/>
      <c r="R231" s="31">
        <v>909264</v>
      </c>
      <c r="S231" s="5"/>
      <c r="T231" s="31">
        <v>1482446</v>
      </c>
      <c r="V231" s="31">
        <v>4216887</v>
      </c>
      <c r="X231" s="31">
        <v>3522</v>
      </c>
      <c r="Z231" s="31"/>
      <c r="AA231" s="5"/>
      <c r="AB231" s="31"/>
      <c r="AC231" s="5"/>
      <c r="AD231" s="31"/>
      <c r="AF231" s="31">
        <v>970</v>
      </c>
    </row>
    <row r="232" spans="1:32" ht="12">
      <c r="A232" s="17"/>
      <c r="B232" s="24"/>
      <c r="C232" s="17"/>
      <c r="D232" s="17"/>
      <c r="E232" s="17"/>
      <c r="F232" s="30">
        <v>212</v>
      </c>
      <c r="G232" s="5"/>
      <c r="I232" s="5"/>
      <c r="L232" s="5"/>
      <c r="M232" s="5"/>
      <c r="N232" s="5"/>
      <c r="O232" s="5"/>
      <c r="P232" s="5"/>
      <c r="Q232" s="5"/>
      <c r="R232" s="5"/>
      <c r="S232" s="5"/>
      <c r="T232" s="5"/>
      <c r="V232" s="5"/>
      <c r="X232" s="5"/>
      <c r="Z232" s="5"/>
      <c r="AA232" s="5"/>
      <c r="AB232" s="5"/>
      <c r="AC232" s="5"/>
      <c r="AD232" s="5"/>
      <c r="AF232" s="5"/>
    </row>
    <row r="233" spans="1:32" ht="12">
      <c r="A233" s="17"/>
      <c r="B233" s="40" t="s">
        <v>182</v>
      </c>
      <c r="C233" s="17"/>
      <c r="D233" s="17"/>
      <c r="E233" s="17"/>
      <c r="F233" s="30">
        <v>213</v>
      </c>
      <c r="G233" s="237">
        <v>516792</v>
      </c>
      <c r="I233" s="31">
        <v>320000</v>
      </c>
      <c r="L233" s="31">
        <v>493749</v>
      </c>
      <c r="M233" s="5"/>
      <c r="N233" s="31"/>
      <c r="O233" s="5"/>
      <c r="P233" s="31">
        <v>15679106</v>
      </c>
      <c r="Q233" s="5"/>
      <c r="R233" s="31">
        <v>623777</v>
      </c>
      <c r="S233" s="5"/>
      <c r="T233" s="31"/>
      <c r="V233" s="31">
        <v>8651606</v>
      </c>
      <c r="X233" s="237">
        <v>20729</v>
      </c>
      <c r="Z233" s="237"/>
      <c r="AA233" s="5"/>
      <c r="AB233" s="31"/>
      <c r="AC233" s="5"/>
      <c r="AD233" s="31"/>
      <c r="AF233" s="31">
        <v>4212</v>
      </c>
    </row>
    <row r="234" spans="1:32" ht="12">
      <c r="A234" s="17"/>
      <c r="B234" s="40" t="s">
        <v>183</v>
      </c>
      <c r="C234" s="17"/>
      <c r="D234" s="17"/>
      <c r="E234" s="17"/>
      <c r="F234" s="20">
        <v>214</v>
      </c>
      <c r="G234" s="31">
        <v>27825490</v>
      </c>
      <c r="I234" s="31"/>
      <c r="L234" s="31">
        <v>42893226</v>
      </c>
      <c r="M234" s="5"/>
      <c r="N234" s="31"/>
      <c r="O234" s="5"/>
      <c r="P234" s="31"/>
      <c r="Q234" s="5"/>
      <c r="R234" s="31">
        <v>180464</v>
      </c>
      <c r="S234" s="5"/>
      <c r="T234" s="31"/>
      <c r="V234" s="31"/>
      <c r="X234" s="31"/>
      <c r="Z234" s="31"/>
      <c r="AA234" s="5"/>
      <c r="AB234" s="31"/>
      <c r="AC234" s="5"/>
      <c r="AD234" s="31"/>
      <c r="AF234" s="31"/>
    </row>
    <row r="235" spans="1:32" ht="12">
      <c r="A235" s="17"/>
      <c r="B235" s="40"/>
      <c r="C235" s="33" t="s">
        <v>228</v>
      </c>
      <c r="D235" s="17"/>
      <c r="E235" s="17"/>
      <c r="F235" s="30">
        <v>215</v>
      </c>
      <c r="G235" s="34">
        <f>SUM(G233:G234)</f>
        <v>28342282</v>
      </c>
      <c r="I235" s="34">
        <f>SUM(I233:I234)</f>
        <v>320000</v>
      </c>
      <c r="L235" s="34">
        <f>SUM(L233:L234)</f>
        <v>43386975</v>
      </c>
      <c r="M235" s="5"/>
      <c r="N235" s="34">
        <f>SUM(N233:N234)</f>
        <v>0</v>
      </c>
      <c r="O235" s="5"/>
      <c r="P235" s="34">
        <f>SUM(P233:P234)</f>
        <v>15679106</v>
      </c>
      <c r="Q235" s="5"/>
      <c r="R235" s="34">
        <f t="shared" ref="R235:AF235" si="30">SUM(R233:R234)</f>
        <v>804241</v>
      </c>
      <c r="S235" s="5"/>
      <c r="T235" s="34">
        <f t="shared" si="30"/>
        <v>0</v>
      </c>
      <c r="U235" s="5"/>
      <c r="V235" s="34">
        <f t="shared" si="30"/>
        <v>8651606</v>
      </c>
      <c r="W235" s="5"/>
      <c r="X235" s="34">
        <f>SUM(X233:X234)</f>
        <v>20729</v>
      </c>
      <c r="Y235" s="5"/>
      <c r="Z235" s="34">
        <f>SUM(Z233:Z234)</f>
        <v>0</v>
      </c>
      <c r="AA235" s="5"/>
      <c r="AB235" s="34">
        <f t="shared" ref="AB235" si="31">SUM(AB233:AB234)</f>
        <v>0</v>
      </c>
      <c r="AC235" s="5"/>
      <c r="AD235" s="34"/>
      <c r="AF235" s="34">
        <f t="shared" si="30"/>
        <v>4212</v>
      </c>
    </row>
    <row r="236" spans="1:32" ht="12">
      <c r="A236" s="17"/>
      <c r="B236" s="40"/>
      <c r="C236" s="33"/>
      <c r="D236" s="17"/>
      <c r="E236" s="17"/>
      <c r="F236" s="30">
        <v>216</v>
      </c>
      <c r="G236" s="5"/>
      <c r="I236" s="5"/>
      <c r="L236" s="5"/>
      <c r="M236" s="5"/>
      <c r="N236" s="5"/>
      <c r="O236" s="5"/>
      <c r="P236" s="5"/>
      <c r="Q236" s="5"/>
      <c r="R236" s="5"/>
      <c r="S236" s="5"/>
      <c r="T236" s="5"/>
      <c r="V236" s="5"/>
      <c r="X236" s="5"/>
      <c r="Z236" s="5"/>
      <c r="AA236" s="5"/>
      <c r="AB236" s="5"/>
      <c r="AC236" s="5"/>
      <c r="AD236" s="5"/>
      <c r="AF236" s="5"/>
    </row>
    <row r="237" spans="1:32" ht="12">
      <c r="A237" s="17"/>
      <c r="B237" s="24" t="s">
        <v>184</v>
      </c>
      <c r="C237" s="17"/>
      <c r="D237" s="17"/>
      <c r="E237" s="17"/>
      <c r="F237" s="20">
        <v>217</v>
      </c>
      <c r="G237" s="237">
        <v>46374912</v>
      </c>
      <c r="I237" s="31">
        <v>1242157</v>
      </c>
      <c r="L237" s="31">
        <v>53257361</v>
      </c>
      <c r="M237" s="5"/>
      <c r="N237" s="31"/>
      <c r="O237" s="5"/>
      <c r="P237" s="31">
        <v>650218</v>
      </c>
      <c r="Q237" s="5"/>
      <c r="R237" s="31">
        <v>347573</v>
      </c>
      <c r="S237" s="5"/>
      <c r="T237" s="31"/>
      <c r="V237" s="31">
        <v>995481</v>
      </c>
      <c r="X237" s="237">
        <v>150942</v>
      </c>
      <c r="Z237" s="237">
        <v>1923393</v>
      </c>
      <c r="AA237" s="5"/>
      <c r="AB237" s="31"/>
      <c r="AC237" s="5"/>
      <c r="AD237" s="31"/>
      <c r="AF237" s="31">
        <v>149422</v>
      </c>
    </row>
    <row r="238" spans="1:32" ht="12">
      <c r="A238" s="17"/>
      <c r="B238" s="24" t="s">
        <v>290</v>
      </c>
      <c r="C238" s="17"/>
      <c r="D238" s="17"/>
      <c r="E238" s="17"/>
      <c r="F238" s="30">
        <v>218</v>
      </c>
      <c r="G238" s="31"/>
      <c r="I238" s="31"/>
      <c r="L238" s="31"/>
      <c r="M238" s="5"/>
      <c r="N238" s="31"/>
      <c r="O238" s="5"/>
      <c r="P238" s="31">
        <v>1001</v>
      </c>
      <c r="R238" s="31"/>
      <c r="T238" s="31"/>
      <c r="V238" s="31"/>
      <c r="X238" s="31"/>
      <c r="Z238" s="31"/>
      <c r="AA238" s="5"/>
      <c r="AB238" s="31"/>
      <c r="AC238" s="5"/>
      <c r="AD238" s="31"/>
      <c r="AF238" s="31"/>
    </row>
    <row r="239" spans="1:32" ht="12" hidden="1">
      <c r="A239" s="17"/>
      <c r="B239" s="24" t="s">
        <v>243</v>
      </c>
      <c r="C239" s="17"/>
      <c r="D239" s="17"/>
      <c r="E239" s="17"/>
      <c r="F239" s="30">
        <v>219</v>
      </c>
      <c r="G239" s="31"/>
      <c r="I239" s="31"/>
      <c r="L239" s="31"/>
      <c r="M239" s="5"/>
      <c r="N239" s="31"/>
      <c r="O239" s="5"/>
      <c r="P239" s="31"/>
      <c r="Q239" s="5"/>
      <c r="R239" s="31"/>
      <c r="S239" s="5"/>
      <c r="T239" s="31"/>
      <c r="V239" s="31"/>
      <c r="X239" s="31"/>
      <c r="Z239" s="31"/>
      <c r="AA239" s="5"/>
      <c r="AB239" s="31"/>
      <c r="AC239" s="5"/>
      <c r="AD239" s="31"/>
      <c r="AF239" s="31"/>
    </row>
    <row r="240" spans="1:32" ht="12">
      <c r="A240" s="17"/>
      <c r="B240" s="17"/>
      <c r="C240" s="17"/>
      <c r="D240" s="17"/>
      <c r="E240" s="17"/>
      <c r="F240" s="20">
        <v>220</v>
      </c>
      <c r="G240" s="5"/>
      <c r="I240" s="5"/>
      <c r="L240" s="5"/>
      <c r="M240" s="5"/>
      <c r="N240" s="5"/>
      <c r="O240" s="5"/>
      <c r="P240" s="5"/>
      <c r="Q240" s="5"/>
      <c r="R240" s="5"/>
      <c r="S240" s="5"/>
      <c r="T240" s="5"/>
      <c r="V240" s="5"/>
      <c r="X240" s="5"/>
      <c r="Z240" s="5"/>
      <c r="AA240" s="5"/>
      <c r="AB240" s="5"/>
      <c r="AC240" s="5"/>
      <c r="AD240" s="5"/>
      <c r="AF240" s="5"/>
    </row>
    <row r="241" spans="1:32" ht="12">
      <c r="A241" s="17"/>
      <c r="B241" s="40" t="s">
        <v>622</v>
      </c>
      <c r="C241" s="17"/>
      <c r="D241" s="17"/>
      <c r="E241" s="17"/>
      <c r="F241" s="30">
        <v>221</v>
      </c>
      <c r="G241" s="31">
        <v>1772514</v>
      </c>
      <c r="I241" s="31"/>
      <c r="L241" s="31"/>
      <c r="M241" s="5"/>
      <c r="N241" s="31"/>
      <c r="O241" s="5"/>
      <c r="P241" s="31"/>
      <c r="Q241" s="5"/>
      <c r="R241" s="31"/>
      <c r="S241" s="5"/>
      <c r="T241" s="31"/>
      <c r="V241" s="31"/>
      <c r="X241" s="31"/>
      <c r="Z241" s="31"/>
      <c r="AA241" s="5"/>
      <c r="AB241" s="31"/>
      <c r="AC241" s="5"/>
      <c r="AD241" s="31"/>
      <c r="AF241" s="31"/>
    </row>
    <row r="242" spans="1:32" ht="12">
      <c r="A242" s="17"/>
      <c r="B242" s="40" t="s">
        <v>365</v>
      </c>
      <c r="C242" s="17"/>
      <c r="D242" s="17"/>
      <c r="E242" s="17"/>
      <c r="F242" s="30">
        <v>222</v>
      </c>
      <c r="G242" s="31">
        <v>274496</v>
      </c>
      <c r="I242" s="31">
        <v>316507</v>
      </c>
      <c r="L242" s="31">
        <v>1965092</v>
      </c>
      <c r="M242" s="5"/>
      <c r="N242" s="31"/>
      <c r="O242" s="5"/>
      <c r="P242" s="31">
        <v>21790</v>
      </c>
      <c r="Q242" s="5"/>
      <c r="R242" s="31">
        <v>42804</v>
      </c>
      <c r="S242" s="5"/>
      <c r="T242" s="31"/>
      <c r="V242" s="31">
        <v>39515</v>
      </c>
      <c r="X242" s="31">
        <v>4090</v>
      </c>
      <c r="Z242" s="31"/>
      <c r="AA242" s="5"/>
      <c r="AB242" s="31"/>
      <c r="AC242" s="5"/>
      <c r="AD242" s="31"/>
      <c r="AF242" s="31">
        <v>4696</v>
      </c>
    </row>
    <row r="243" spans="1:32" ht="12">
      <c r="A243" s="17"/>
      <c r="B243" s="40" t="s">
        <v>286</v>
      </c>
      <c r="C243" s="17"/>
      <c r="D243" s="17"/>
      <c r="E243" s="17"/>
      <c r="F243" s="20">
        <v>223</v>
      </c>
      <c r="G243" s="31">
        <v>25773</v>
      </c>
      <c r="I243" s="31"/>
      <c r="L243" s="31"/>
      <c r="M243" s="5"/>
      <c r="N243" s="31"/>
      <c r="O243" s="5"/>
      <c r="P243" s="31"/>
      <c r="Q243" s="5"/>
      <c r="R243" s="31">
        <v>0</v>
      </c>
      <c r="S243" s="5"/>
      <c r="T243" s="31"/>
      <c r="V243" s="31">
        <v>801938</v>
      </c>
      <c r="X243" s="31">
        <v>21956065</v>
      </c>
      <c r="Z243" s="31"/>
      <c r="AA243" s="5"/>
      <c r="AB243" s="237"/>
      <c r="AC243" s="5"/>
      <c r="AD243" s="237"/>
      <c r="AF243" s="237"/>
    </row>
    <row r="244" spans="1:32" ht="12">
      <c r="A244" s="17"/>
      <c r="B244" s="40"/>
      <c r="C244" s="33" t="s">
        <v>229</v>
      </c>
      <c r="D244" s="17"/>
      <c r="E244" s="17"/>
      <c r="F244" s="30">
        <v>224</v>
      </c>
      <c r="G244" s="34">
        <f>SUM(G241:G243)</f>
        <v>2072783</v>
      </c>
      <c r="I244" s="34">
        <f>SUM(I241:I243)</f>
        <v>316507</v>
      </c>
      <c r="L244" s="34">
        <f>SUM(L241:L243)</f>
        <v>1965092</v>
      </c>
      <c r="M244" s="5"/>
      <c r="N244" s="34">
        <f>SUM(N241:N243)</f>
        <v>0</v>
      </c>
      <c r="O244" s="5"/>
      <c r="P244" s="34">
        <f>SUM(P241:P243)</f>
        <v>21790</v>
      </c>
      <c r="Q244" s="5"/>
      <c r="R244" s="34">
        <f t="shared" ref="R244:AF244" si="32">SUM(R241:R243)</f>
        <v>42804</v>
      </c>
      <c r="S244" s="5"/>
      <c r="T244" s="34">
        <f t="shared" si="32"/>
        <v>0</v>
      </c>
      <c r="U244" s="5"/>
      <c r="V244" s="34">
        <f t="shared" si="32"/>
        <v>841453</v>
      </c>
      <c r="W244" s="5"/>
      <c r="X244" s="34">
        <f>SUM(X241:X243)</f>
        <v>21960155</v>
      </c>
      <c r="Y244" s="5"/>
      <c r="Z244" s="34">
        <f>SUM(Z241:Z243)</f>
        <v>0</v>
      </c>
      <c r="AA244" s="5"/>
      <c r="AB244" s="34">
        <f t="shared" ref="AB244" si="33">SUM(AB241:AB243)</f>
        <v>0</v>
      </c>
      <c r="AC244" s="5"/>
      <c r="AD244" s="34"/>
      <c r="AF244" s="34">
        <f t="shared" si="32"/>
        <v>4696</v>
      </c>
    </row>
    <row r="245" spans="1:32" ht="12">
      <c r="A245" s="17"/>
      <c r="B245" s="40"/>
      <c r="C245" s="17"/>
      <c r="D245" s="17"/>
      <c r="E245" s="17"/>
      <c r="F245" s="30">
        <v>225</v>
      </c>
      <c r="G245" s="5"/>
      <c r="I245" s="5"/>
      <c r="L245" s="5"/>
      <c r="M245" s="5"/>
      <c r="N245" s="5"/>
      <c r="O245" s="5"/>
      <c r="P245" s="5"/>
      <c r="Q245" s="5"/>
      <c r="R245" s="5"/>
      <c r="S245" s="5"/>
      <c r="T245" s="5"/>
      <c r="V245" s="5"/>
      <c r="X245" s="5"/>
      <c r="Z245" s="5"/>
      <c r="AA245" s="5"/>
      <c r="AB245" s="5"/>
      <c r="AC245" s="5"/>
      <c r="AD245" s="5"/>
      <c r="AF245" s="5"/>
    </row>
    <row r="246" spans="1:32" ht="12">
      <c r="A246" s="17"/>
      <c r="B246" s="17"/>
      <c r="C246" s="24" t="s">
        <v>185</v>
      </c>
      <c r="D246" s="17"/>
      <c r="E246" s="17"/>
      <c r="F246" s="20">
        <v>226</v>
      </c>
      <c r="G246" s="34">
        <f>G244+G238+G237+G235+SUM(G229:G231)+G226+G222</f>
        <v>111006053</v>
      </c>
      <c r="I246" s="34">
        <f>I244+I238+I237+I235+SUM(I229:I231)+I226+I222</f>
        <v>57424199</v>
      </c>
      <c r="L246" s="34">
        <f>L244+L238+L237+L235+SUM(L229:L231)+L226+L222</f>
        <v>408032020</v>
      </c>
      <c r="M246" s="5"/>
      <c r="N246" s="34">
        <f>N244+N238+N237+N235+SUM(N229:N231)+N226+N222</f>
        <v>4033410</v>
      </c>
      <c r="O246" s="5"/>
      <c r="P246" s="34">
        <f>P244+P238+P237+P235+SUM(P229:P231)+P226+P222</f>
        <v>53187353</v>
      </c>
      <c r="Q246" s="5"/>
      <c r="R246" s="34">
        <f t="shared" ref="R246:V246" si="34">R244+R238+R237+R235+SUM(R229:R231)+R226+R222</f>
        <v>50741472</v>
      </c>
      <c r="S246" s="5"/>
      <c r="T246" s="34">
        <f t="shared" si="34"/>
        <v>1700028100</v>
      </c>
      <c r="U246" s="5"/>
      <c r="V246" s="34">
        <f t="shared" si="34"/>
        <v>21136147</v>
      </c>
      <c r="W246" s="5"/>
      <c r="X246" s="34">
        <f>X244+X238+X237+X235+SUM(X229:X231)+X226+X222</f>
        <v>55852325</v>
      </c>
      <c r="Y246" s="5"/>
      <c r="Z246" s="34">
        <f>Z244+Z238+Z237+Z235+SUM(Z229:Z231)+Z226+Z222</f>
        <v>58249804</v>
      </c>
      <c r="AA246" s="5"/>
      <c r="AB246" s="34">
        <f>AB244+AB238+AB237+AB235+SUM(AB229:AB231)+AB226+AB222</f>
        <v>9460326</v>
      </c>
      <c r="AC246" s="5"/>
      <c r="AD246" s="34"/>
      <c r="AF246" s="34">
        <f>AF244+AF238+AF237+AF235+SUM(AF229:AF231)+AF226+AF222</f>
        <v>3299292</v>
      </c>
    </row>
    <row r="247" spans="1:32" ht="12">
      <c r="A247" s="17"/>
      <c r="B247" s="17"/>
      <c r="C247" s="24"/>
      <c r="D247" s="17"/>
      <c r="E247" s="17"/>
      <c r="F247" s="30">
        <v>227</v>
      </c>
      <c r="G247" s="5"/>
      <c r="I247" s="5"/>
      <c r="L247" s="5"/>
      <c r="M247" s="5"/>
      <c r="N247" s="5"/>
      <c r="O247" s="5"/>
      <c r="P247" s="5"/>
      <c r="Q247" s="5"/>
      <c r="R247" s="5"/>
      <c r="S247" s="5"/>
      <c r="T247" s="5"/>
      <c r="V247" s="5"/>
      <c r="X247" s="5"/>
      <c r="Z247" s="5"/>
      <c r="AA247" s="5"/>
      <c r="AB247" s="5"/>
      <c r="AC247" s="5"/>
      <c r="AD247" s="5"/>
      <c r="AF247" s="5"/>
    </row>
    <row r="248" spans="1:32" ht="12">
      <c r="A248" s="17"/>
      <c r="B248" s="17"/>
      <c r="C248" s="17"/>
      <c r="D248" s="24" t="s">
        <v>186</v>
      </c>
      <c r="E248" s="17"/>
      <c r="F248" s="30">
        <v>228</v>
      </c>
      <c r="G248" s="34">
        <f>G219-G246</f>
        <v>12840285</v>
      </c>
      <c r="I248" s="34">
        <f>I219-I246</f>
        <v>3314617</v>
      </c>
      <c r="L248" s="34">
        <f>L219-L246</f>
        <v>-19767566</v>
      </c>
      <c r="M248" s="5"/>
      <c r="N248" s="34">
        <f>N219-N246</f>
        <v>1105600</v>
      </c>
      <c r="O248" s="5"/>
      <c r="P248" s="34">
        <f>P219-P246</f>
        <v>10890686</v>
      </c>
      <c r="Q248" s="5"/>
      <c r="R248" s="34">
        <f t="shared" ref="R248:V248" si="35">R219-R246</f>
        <v>3577617</v>
      </c>
      <c r="S248" s="5"/>
      <c r="T248" s="34">
        <f t="shared" si="35"/>
        <v>-41975506</v>
      </c>
      <c r="U248" s="5"/>
      <c r="V248" s="34">
        <f t="shared" si="35"/>
        <v>-906440</v>
      </c>
      <c r="W248" s="5"/>
      <c r="X248" s="34">
        <f>X219-X246</f>
        <v>-21174328</v>
      </c>
      <c r="Y248" s="5"/>
      <c r="Z248" s="34">
        <f>Z219-Z246</f>
        <v>91183711</v>
      </c>
      <c r="AA248" s="5"/>
      <c r="AB248" s="34">
        <f>AB219-AB246</f>
        <v>-633175</v>
      </c>
      <c r="AC248" s="5"/>
      <c r="AD248" s="34"/>
      <c r="AF248" s="34">
        <f>AF219-AF246</f>
        <v>180251</v>
      </c>
    </row>
    <row r="249" spans="1:32" ht="12">
      <c r="A249" s="17"/>
      <c r="B249" s="17"/>
      <c r="C249" s="17"/>
      <c r="D249" s="17"/>
      <c r="E249" s="17"/>
      <c r="F249" s="20">
        <v>229</v>
      </c>
      <c r="G249" s="5"/>
      <c r="I249" s="5"/>
      <c r="L249" s="5"/>
      <c r="M249" s="5"/>
      <c r="N249" s="5"/>
      <c r="O249" s="5"/>
      <c r="P249" s="5"/>
      <c r="Q249" s="5"/>
      <c r="R249" s="5"/>
      <c r="S249" s="5"/>
      <c r="T249" s="5"/>
      <c r="V249" s="5"/>
      <c r="X249" s="5"/>
      <c r="Z249" s="5"/>
      <c r="AA249" s="5"/>
      <c r="AB249" s="5"/>
      <c r="AC249" s="5"/>
      <c r="AD249" s="5"/>
      <c r="AF249" s="5"/>
    </row>
    <row r="250" spans="1:32" ht="12">
      <c r="A250" s="18" t="s">
        <v>187</v>
      </c>
      <c r="B250" s="17"/>
      <c r="C250" s="17"/>
      <c r="D250" s="17"/>
      <c r="E250" s="17"/>
      <c r="F250" s="30">
        <v>230</v>
      </c>
      <c r="G250" s="5"/>
      <c r="I250" s="5"/>
      <c r="L250" s="5"/>
      <c r="M250" s="5"/>
      <c r="N250" s="5"/>
      <c r="O250" s="5"/>
      <c r="P250" s="5"/>
      <c r="Q250" s="5"/>
      <c r="R250" s="5"/>
      <c r="S250" s="5"/>
      <c r="T250" s="5"/>
      <c r="V250" s="5"/>
      <c r="X250" s="5"/>
      <c r="Z250" s="5"/>
      <c r="AA250" s="5"/>
      <c r="AB250" s="5"/>
      <c r="AC250" s="5"/>
      <c r="AD250" s="5"/>
      <c r="AF250" s="5"/>
    </row>
    <row r="251" spans="1:32" ht="12">
      <c r="A251" s="17"/>
      <c r="B251" s="40" t="s">
        <v>188</v>
      </c>
      <c r="C251" s="17"/>
      <c r="D251" s="17"/>
      <c r="E251" s="17"/>
      <c r="F251" s="30">
        <v>231</v>
      </c>
      <c r="G251" s="31"/>
      <c r="I251" s="31">
        <v>110299</v>
      </c>
      <c r="L251" s="31"/>
      <c r="M251" s="5"/>
      <c r="N251" s="31"/>
      <c r="O251" s="5"/>
      <c r="P251" s="31"/>
      <c r="Q251" s="5"/>
      <c r="R251" s="31"/>
      <c r="S251" s="5"/>
      <c r="T251" s="31">
        <v>10746145</v>
      </c>
      <c r="V251" s="31"/>
      <c r="X251" s="31">
        <v>2860590</v>
      </c>
      <c r="Z251" s="31">
        <v>2430878</v>
      </c>
      <c r="AA251" s="5"/>
      <c r="AB251" s="31">
        <v>29541</v>
      </c>
      <c r="AC251" s="5"/>
      <c r="AD251" s="31"/>
      <c r="AF251" s="31"/>
    </row>
    <row r="252" spans="1:32" ht="12">
      <c r="A252" s="17"/>
      <c r="B252" s="40" t="s">
        <v>450</v>
      </c>
      <c r="C252" s="17"/>
      <c r="D252" s="17"/>
      <c r="E252" s="17"/>
      <c r="F252" s="20">
        <v>232</v>
      </c>
      <c r="G252" s="31"/>
      <c r="I252" s="31"/>
      <c r="L252" s="31"/>
      <c r="M252" s="5"/>
      <c r="N252" s="31"/>
      <c r="O252" s="5"/>
      <c r="P252" s="31"/>
      <c r="Q252" s="5"/>
      <c r="R252" s="31"/>
      <c r="S252" s="5"/>
      <c r="T252" s="31">
        <v>0</v>
      </c>
      <c r="V252" s="31"/>
      <c r="X252" s="31">
        <v>0</v>
      </c>
      <c r="Z252" s="31">
        <v>0</v>
      </c>
      <c r="AA252" s="5"/>
      <c r="AB252" s="31">
        <v>0</v>
      </c>
      <c r="AC252" s="5"/>
      <c r="AD252" s="31"/>
      <c r="AF252" s="31"/>
    </row>
    <row r="253" spans="1:32" ht="12">
      <c r="A253" s="17"/>
      <c r="B253" s="40" t="s">
        <v>526</v>
      </c>
      <c r="C253" s="17"/>
      <c r="D253" s="17"/>
      <c r="E253" s="17"/>
      <c r="F253" s="30">
        <v>233</v>
      </c>
      <c r="G253" s="31"/>
      <c r="I253" s="31"/>
      <c r="L253" s="31"/>
      <c r="M253" s="5"/>
      <c r="N253" s="31"/>
      <c r="O253" s="5"/>
      <c r="P253" s="31"/>
      <c r="Q253" s="5"/>
      <c r="R253" s="31"/>
      <c r="S253" s="5"/>
      <c r="T253" s="31">
        <v>2292769</v>
      </c>
      <c r="V253" s="31"/>
      <c r="X253" s="31">
        <v>613803</v>
      </c>
      <c r="Z253" s="31">
        <v>584634</v>
      </c>
      <c r="AA253" s="5"/>
      <c r="AB253" s="31">
        <v>6771</v>
      </c>
      <c r="AC253" s="5"/>
      <c r="AD253" s="31"/>
      <c r="AF253" s="31"/>
    </row>
    <row r="254" spans="1:32" ht="12">
      <c r="A254" s="17"/>
      <c r="B254" s="24"/>
      <c r="C254" s="33" t="s">
        <v>230</v>
      </c>
      <c r="D254" s="17"/>
      <c r="E254" s="17"/>
      <c r="F254" s="30">
        <v>234</v>
      </c>
      <c r="G254" s="34">
        <f>SUM(G251:G253)</f>
        <v>0</v>
      </c>
      <c r="I254" s="34">
        <f>SUM(I251:I253)</f>
        <v>110299</v>
      </c>
      <c r="L254" s="34">
        <f>SUM(L251:L253)</f>
        <v>0</v>
      </c>
      <c r="M254" s="5"/>
      <c r="N254" s="34">
        <f>SUM(N251:N253)</f>
        <v>0</v>
      </c>
      <c r="O254" s="5"/>
      <c r="P254" s="34">
        <f>SUM(P251:P253)</f>
        <v>0</v>
      </c>
      <c r="Q254" s="5"/>
      <c r="R254" s="34">
        <f t="shared" ref="R254:AF254" si="36">SUM(R251:R253)</f>
        <v>0</v>
      </c>
      <c r="S254" s="5"/>
      <c r="T254" s="34">
        <f t="shared" si="36"/>
        <v>13038914</v>
      </c>
      <c r="U254" s="5"/>
      <c r="V254" s="34">
        <f t="shared" si="36"/>
        <v>0</v>
      </c>
      <c r="W254" s="5"/>
      <c r="X254" s="34">
        <f>SUM(X251:X253)</f>
        <v>3474393</v>
      </c>
      <c r="Y254" s="5"/>
      <c r="Z254" s="34">
        <f>SUM(Z251:Z253)</f>
        <v>3015512</v>
      </c>
      <c r="AA254" s="5"/>
      <c r="AB254" s="34">
        <f t="shared" ref="AB254" si="37">SUM(AB251:AB253)</f>
        <v>36312</v>
      </c>
      <c r="AC254" s="5"/>
      <c r="AD254" s="34"/>
      <c r="AF254" s="34">
        <f t="shared" si="36"/>
        <v>0</v>
      </c>
    </row>
    <row r="255" spans="1:32" ht="12">
      <c r="A255" s="17"/>
      <c r="B255" s="40"/>
      <c r="C255" s="17"/>
      <c r="D255" s="17"/>
      <c r="E255" s="17"/>
      <c r="F255" s="20">
        <v>235</v>
      </c>
      <c r="G255" s="5"/>
      <c r="I255" s="5"/>
      <c r="L255" s="5"/>
      <c r="M255" s="5"/>
      <c r="N255" s="5"/>
      <c r="O255" s="5"/>
      <c r="P255" s="5"/>
      <c r="Q255" s="5"/>
      <c r="R255" s="5"/>
      <c r="S255" s="5"/>
      <c r="T255" s="5"/>
      <c r="V255" s="5"/>
      <c r="X255" s="5"/>
      <c r="Z255" s="5"/>
      <c r="AA255" s="5"/>
      <c r="AB255" s="5"/>
      <c r="AC255" s="5"/>
      <c r="AD255" s="5"/>
      <c r="AF255" s="5"/>
    </row>
    <row r="256" spans="1:32" ht="12">
      <c r="A256" s="17"/>
      <c r="B256" s="40" t="s">
        <v>623</v>
      </c>
      <c r="C256" s="17"/>
      <c r="D256" s="17"/>
      <c r="E256" s="17"/>
      <c r="F256" s="30">
        <v>236</v>
      </c>
      <c r="G256" s="31"/>
      <c r="I256" s="31">
        <v>-3751</v>
      </c>
      <c r="L256" s="31"/>
      <c r="M256" s="5"/>
      <c r="N256" s="31"/>
      <c r="O256" s="5"/>
      <c r="P256" s="31"/>
      <c r="Q256" s="5"/>
      <c r="R256" s="31">
        <v>-18306</v>
      </c>
      <c r="S256" s="5"/>
      <c r="T256" s="31"/>
      <c r="V256" s="31">
        <v>4945457</v>
      </c>
      <c r="X256" s="31"/>
      <c r="Z256" s="31"/>
      <c r="AA256" s="5"/>
      <c r="AB256" s="31"/>
      <c r="AC256" s="5"/>
      <c r="AD256" s="31"/>
      <c r="AF256" s="31"/>
    </row>
    <row r="257" spans="1:32" ht="12" hidden="1">
      <c r="A257" s="17"/>
      <c r="B257" s="40" t="s">
        <v>624</v>
      </c>
      <c r="C257" s="17"/>
      <c r="D257" s="17"/>
      <c r="E257" s="17"/>
      <c r="F257" s="30">
        <v>237</v>
      </c>
      <c r="G257" s="31"/>
      <c r="I257" s="31"/>
      <c r="L257" s="31"/>
      <c r="M257" s="5"/>
      <c r="N257" s="31"/>
      <c r="O257" s="5"/>
      <c r="P257" s="31"/>
      <c r="Q257" s="5"/>
      <c r="R257" s="31">
        <v>0</v>
      </c>
      <c r="S257" s="5"/>
      <c r="T257" s="31"/>
      <c r="V257" s="31">
        <v>0</v>
      </c>
      <c r="X257" s="31"/>
      <c r="Z257" s="31"/>
      <c r="AA257" s="5"/>
      <c r="AB257" s="31"/>
      <c r="AC257" s="5"/>
      <c r="AD257" s="31"/>
      <c r="AF257" s="31"/>
    </row>
    <row r="258" spans="1:32" ht="12">
      <c r="A258" s="17"/>
      <c r="B258" s="40" t="s">
        <v>352</v>
      </c>
      <c r="C258" s="17"/>
      <c r="D258" s="17"/>
      <c r="E258" s="17"/>
      <c r="F258" s="20">
        <v>238</v>
      </c>
      <c r="G258" s="237"/>
      <c r="I258" s="31"/>
      <c r="L258" s="31"/>
      <c r="M258" s="5"/>
      <c r="N258" s="31"/>
      <c r="O258" s="5"/>
      <c r="P258" s="31"/>
      <c r="Q258" s="5"/>
      <c r="R258" s="31">
        <v>0</v>
      </c>
      <c r="S258" s="5"/>
      <c r="T258" s="31"/>
      <c r="V258" s="31">
        <v>0</v>
      </c>
      <c r="X258" s="237"/>
      <c r="Z258" s="237"/>
      <c r="AA258" s="5"/>
      <c r="AB258" s="31"/>
      <c r="AC258" s="5"/>
      <c r="AD258" s="31"/>
      <c r="AF258" s="31"/>
    </row>
    <row r="259" spans="1:32" ht="12">
      <c r="A259" s="17"/>
      <c r="B259" s="40" t="s">
        <v>527</v>
      </c>
      <c r="C259" s="17"/>
      <c r="D259" s="17"/>
      <c r="E259" s="17"/>
      <c r="F259" s="30">
        <v>239</v>
      </c>
      <c r="G259" s="31"/>
      <c r="I259" s="31"/>
      <c r="L259" s="31"/>
      <c r="M259" s="5"/>
      <c r="N259" s="31"/>
      <c r="O259" s="5"/>
      <c r="P259" s="31"/>
      <c r="Q259" s="5"/>
      <c r="R259" s="31">
        <v>0</v>
      </c>
      <c r="S259" s="5"/>
      <c r="T259" s="31">
        <v>-2292769</v>
      </c>
      <c r="V259" s="31">
        <v>0</v>
      </c>
      <c r="X259" s="31">
        <v>-613803</v>
      </c>
      <c r="Z259" s="31">
        <v>-584634</v>
      </c>
      <c r="AA259" s="5"/>
      <c r="AB259" s="31">
        <v>-6771</v>
      </c>
      <c r="AC259" s="5"/>
      <c r="AD259" s="31"/>
      <c r="AF259" s="31"/>
    </row>
    <row r="260" spans="1:32" ht="12">
      <c r="A260" s="17"/>
      <c r="B260" s="40" t="s">
        <v>290</v>
      </c>
      <c r="C260" s="17"/>
      <c r="D260" s="17"/>
      <c r="E260" s="17"/>
      <c r="F260" s="30">
        <v>240</v>
      </c>
      <c r="G260" s="237">
        <v>-26500870</v>
      </c>
      <c r="I260" s="31"/>
      <c r="L260" s="31">
        <v>-6877366</v>
      </c>
      <c r="M260" s="5"/>
      <c r="N260" s="31"/>
      <c r="O260" s="5"/>
      <c r="P260" s="31"/>
      <c r="Q260" s="5"/>
      <c r="R260" s="31">
        <v>-26148</v>
      </c>
      <c r="S260" s="5"/>
      <c r="T260" s="31"/>
      <c r="V260" s="31">
        <v>-389389</v>
      </c>
      <c r="X260" s="237"/>
      <c r="Z260" s="237"/>
      <c r="AA260" s="5"/>
      <c r="AB260" s="31"/>
      <c r="AC260" s="5"/>
      <c r="AD260" s="31"/>
      <c r="AF260" s="31"/>
    </row>
    <row r="261" spans="1:32" ht="12">
      <c r="A261" s="17"/>
      <c r="B261" s="40" t="s">
        <v>286</v>
      </c>
      <c r="C261" s="17"/>
      <c r="D261" s="17"/>
      <c r="E261" s="17"/>
      <c r="F261" s="20">
        <v>241</v>
      </c>
      <c r="G261" s="31"/>
      <c r="I261" s="31"/>
      <c r="L261" s="31">
        <v>104</v>
      </c>
      <c r="M261" s="5"/>
      <c r="N261" s="31"/>
      <c r="O261" s="5"/>
      <c r="P261" s="31"/>
      <c r="Q261" s="5"/>
      <c r="R261" s="31">
        <v>23911</v>
      </c>
      <c r="S261" s="5"/>
      <c r="T261" s="31"/>
      <c r="V261" s="31"/>
      <c r="X261" s="31"/>
      <c r="Z261" s="31"/>
      <c r="AA261" s="5"/>
      <c r="AB261" s="31"/>
      <c r="AC261" s="5"/>
      <c r="AD261" s="31"/>
      <c r="AF261" s="31"/>
    </row>
    <row r="262" spans="1:32" ht="12">
      <c r="A262" s="17"/>
      <c r="B262" s="40"/>
      <c r="C262" s="33" t="s">
        <v>231</v>
      </c>
      <c r="D262" s="17"/>
      <c r="E262" s="17"/>
      <c r="F262" s="30">
        <v>242</v>
      </c>
      <c r="G262" s="34">
        <f>SUM(G256:G261)</f>
        <v>-26500870</v>
      </c>
      <c r="I262" s="34">
        <f>SUM(I256:I261)</f>
        <v>-3751</v>
      </c>
      <c r="L262" s="34">
        <f>SUM(L256:L261)</f>
        <v>-6877262</v>
      </c>
      <c r="M262" s="5"/>
      <c r="N262" s="34">
        <f>SUM(N256:N261)</f>
        <v>0</v>
      </c>
      <c r="O262" s="5"/>
      <c r="P262" s="34">
        <f>SUM(P256:P261)</f>
        <v>0</v>
      </c>
      <c r="Q262" s="5"/>
      <c r="R262" s="34">
        <f>SUM(R256:R261)</f>
        <v>-20543</v>
      </c>
      <c r="S262" s="5"/>
      <c r="T262" s="34">
        <f>SUM(T256:T261)</f>
        <v>-2292769</v>
      </c>
      <c r="U262" s="5"/>
      <c r="V262" s="34">
        <f>SUM(V256:V261)</f>
        <v>4556068</v>
      </c>
      <c r="W262" s="5"/>
      <c r="X262" s="34">
        <f>SUM(X256:X261)</f>
        <v>-613803</v>
      </c>
      <c r="Y262" s="5"/>
      <c r="Z262" s="34">
        <f>SUM(Z256:Z261)</f>
        <v>-584634</v>
      </c>
      <c r="AA262" s="5"/>
      <c r="AB262" s="34">
        <f>SUM(AB256:AB261)</f>
        <v>-6771</v>
      </c>
      <c r="AC262" s="5"/>
      <c r="AD262" s="34"/>
      <c r="AF262" s="34">
        <f>SUM(AF256:AF261)</f>
        <v>0</v>
      </c>
    </row>
    <row r="263" spans="1:32" ht="12">
      <c r="A263" s="17"/>
      <c r="B263" s="40"/>
      <c r="C263" s="17"/>
      <c r="D263" s="17"/>
      <c r="E263" s="17"/>
      <c r="F263" s="30">
        <v>243</v>
      </c>
      <c r="G263" s="5"/>
      <c r="I263" s="5"/>
      <c r="L263" s="5"/>
      <c r="M263" s="5"/>
      <c r="N263" s="5"/>
      <c r="O263" s="5"/>
      <c r="P263" s="5"/>
      <c r="Q263" s="5"/>
      <c r="R263" s="5"/>
      <c r="S263" s="5"/>
      <c r="T263" s="5"/>
      <c r="V263" s="5"/>
      <c r="X263" s="5"/>
      <c r="Z263" s="5"/>
      <c r="AA263" s="5"/>
      <c r="AB263" s="5"/>
      <c r="AC263" s="5"/>
      <c r="AD263" s="5"/>
      <c r="AF263" s="5"/>
    </row>
    <row r="264" spans="1:32" ht="12">
      <c r="A264" s="17"/>
      <c r="B264" s="17"/>
      <c r="C264" s="24" t="s">
        <v>528</v>
      </c>
      <c r="D264" s="17"/>
      <c r="E264" s="17"/>
      <c r="F264" s="20">
        <v>244</v>
      </c>
      <c r="G264" s="34">
        <f>G262+G254</f>
        <v>-26500870</v>
      </c>
      <c r="I264" s="34">
        <f>I262+I254</f>
        <v>106548</v>
      </c>
      <c r="L264" s="34">
        <f>L262+L254</f>
        <v>-6877262</v>
      </c>
      <c r="M264" s="5"/>
      <c r="N264" s="34">
        <f>N262+N254</f>
        <v>0</v>
      </c>
      <c r="O264" s="5"/>
      <c r="P264" s="34">
        <f>P262+P254</f>
        <v>0</v>
      </c>
      <c r="Q264" s="5"/>
      <c r="R264" s="34">
        <f t="shared" ref="R264:V264" si="38">R262+R254</f>
        <v>-20543</v>
      </c>
      <c r="S264" s="5"/>
      <c r="T264" s="34">
        <f t="shared" si="38"/>
        <v>10746145</v>
      </c>
      <c r="U264" s="5"/>
      <c r="V264" s="34">
        <f t="shared" si="38"/>
        <v>4556068</v>
      </c>
      <c r="W264" s="5"/>
      <c r="X264" s="34">
        <f>X262+X254</f>
        <v>2860590</v>
      </c>
      <c r="Y264" s="5"/>
      <c r="Z264" s="34">
        <f>Z262+Z254</f>
        <v>2430878</v>
      </c>
      <c r="AA264" s="5"/>
      <c r="AB264" s="34">
        <f>AB262+AB254</f>
        <v>29541</v>
      </c>
      <c r="AC264" s="5"/>
      <c r="AD264" s="34"/>
      <c r="AF264" s="34">
        <f>AF262+AF254</f>
        <v>0</v>
      </c>
    </row>
    <row r="265" spans="1:32" ht="10.5" customHeight="1">
      <c r="A265" s="40"/>
      <c r="B265" s="17"/>
      <c r="C265" s="17"/>
      <c r="D265" s="17"/>
      <c r="E265" s="17"/>
      <c r="F265" s="30">
        <v>245</v>
      </c>
      <c r="G265" s="5"/>
      <c r="I265" s="5"/>
      <c r="L265" s="5"/>
      <c r="M265" s="5"/>
      <c r="N265" s="5"/>
      <c r="O265" s="5"/>
      <c r="P265" s="5"/>
      <c r="Q265" s="41"/>
      <c r="R265" s="5"/>
      <c r="S265" s="41"/>
      <c r="T265" s="5"/>
      <c r="V265" s="5"/>
      <c r="X265" s="5"/>
      <c r="Z265" s="5"/>
      <c r="AA265" s="5"/>
      <c r="AB265" s="5"/>
      <c r="AC265" s="5"/>
      <c r="AD265" s="5"/>
      <c r="AF265" s="5"/>
    </row>
    <row r="266" spans="1:32" ht="12">
      <c r="A266" s="17"/>
      <c r="B266" s="17"/>
      <c r="C266" s="17"/>
      <c r="D266" s="24" t="s">
        <v>529</v>
      </c>
      <c r="E266" s="17"/>
      <c r="F266" s="30">
        <v>246</v>
      </c>
      <c r="G266" s="34">
        <f>G248+G264</f>
        <v>-13660585</v>
      </c>
      <c r="I266" s="34">
        <f>I248+I264</f>
        <v>3421165</v>
      </c>
      <c r="L266" s="34">
        <f>L248+L264</f>
        <v>-26644828</v>
      </c>
      <c r="M266" s="5"/>
      <c r="N266" s="34">
        <f>N248+N264</f>
        <v>1105600</v>
      </c>
      <c r="O266" s="5"/>
      <c r="P266" s="34">
        <f>P248+P264</f>
        <v>10890686</v>
      </c>
      <c r="Q266" s="5"/>
      <c r="R266" s="34">
        <f t="shared" ref="R266:V266" si="39">R248+R264</f>
        <v>3557074</v>
      </c>
      <c r="S266" s="5"/>
      <c r="T266" s="34">
        <f t="shared" si="39"/>
        <v>-31229361</v>
      </c>
      <c r="U266" s="5"/>
      <c r="V266" s="34">
        <f t="shared" si="39"/>
        <v>3649628</v>
      </c>
      <c r="W266" s="5"/>
      <c r="X266" s="34">
        <f>X248+X264</f>
        <v>-18313738</v>
      </c>
      <c r="Y266" s="5"/>
      <c r="Z266" s="34">
        <f>Z248+Z264</f>
        <v>93614589</v>
      </c>
      <c r="AA266" s="5"/>
      <c r="AB266" s="34">
        <f>AB248+AB264</f>
        <v>-603634</v>
      </c>
      <c r="AC266" s="5"/>
      <c r="AD266" s="34"/>
      <c r="AF266" s="34">
        <f>AF248+AF264</f>
        <v>180251</v>
      </c>
    </row>
    <row r="267" spans="1:32" ht="12">
      <c r="A267" s="17"/>
      <c r="B267" s="17"/>
      <c r="C267" s="17"/>
      <c r="D267" s="24"/>
      <c r="E267" s="17"/>
      <c r="F267" s="20">
        <v>247</v>
      </c>
      <c r="G267" s="41"/>
      <c r="I267" s="41"/>
      <c r="L267" s="41"/>
      <c r="M267" s="41"/>
      <c r="N267" s="41"/>
      <c r="O267" s="41"/>
      <c r="P267" s="41"/>
      <c r="Q267" s="5"/>
      <c r="R267" s="41"/>
      <c r="S267" s="5"/>
      <c r="T267" s="41"/>
      <c r="V267" s="41"/>
      <c r="X267" s="41"/>
      <c r="Z267" s="41"/>
      <c r="AA267" s="41"/>
      <c r="AB267" s="41"/>
      <c r="AC267" s="41"/>
      <c r="AD267" s="41"/>
      <c r="AF267" s="41"/>
    </row>
    <row r="268" spans="1:32" ht="12">
      <c r="A268" s="24" t="s">
        <v>530</v>
      </c>
      <c r="B268" s="17"/>
      <c r="C268" s="17"/>
      <c r="D268" s="17"/>
      <c r="E268" s="17"/>
      <c r="F268" s="30">
        <v>248</v>
      </c>
      <c r="G268" s="31"/>
      <c r="I268" s="31"/>
      <c r="L268" s="31"/>
      <c r="M268" s="5"/>
      <c r="N268" s="31"/>
      <c r="O268" s="5"/>
      <c r="P268" s="31"/>
      <c r="Q268" s="5"/>
      <c r="R268" s="31"/>
      <c r="S268" s="5"/>
      <c r="T268" s="31"/>
      <c r="V268" s="31"/>
      <c r="X268" s="31"/>
      <c r="Z268" s="31"/>
      <c r="AA268" s="5"/>
      <c r="AB268" s="31"/>
      <c r="AC268" s="5"/>
      <c r="AD268" s="31"/>
      <c r="AF268" s="31"/>
    </row>
    <row r="269" spans="1:32" ht="12">
      <c r="A269" s="24" t="s">
        <v>625</v>
      </c>
      <c r="B269" s="17"/>
      <c r="C269" s="17"/>
      <c r="D269" s="17"/>
      <c r="E269" s="133"/>
      <c r="F269" s="30">
        <v>249</v>
      </c>
      <c r="G269" s="31"/>
      <c r="I269" s="31"/>
      <c r="L269" s="31"/>
      <c r="M269" s="5"/>
      <c r="N269" s="31"/>
      <c r="O269" s="5"/>
      <c r="P269" s="237"/>
      <c r="Q269" s="5"/>
      <c r="R269" s="31"/>
      <c r="S269" s="5"/>
      <c r="T269" s="31"/>
      <c r="V269" s="31"/>
      <c r="X269" s="31"/>
      <c r="Z269" s="31"/>
      <c r="AA269" s="5"/>
      <c r="AB269" s="31"/>
      <c r="AC269" s="5"/>
      <c r="AD269" s="31"/>
      <c r="AF269" s="31"/>
    </row>
    <row r="270" spans="1:32" ht="12">
      <c r="A270" s="24" t="s">
        <v>675</v>
      </c>
      <c r="B270" s="17"/>
      <c r="C270" s="17"/>
      <c r="D270" s="17"/>
      <c r="E270" s="133"/>
      <c r="F270" s="20">
        <v>250</v>
      </c>
      <c r="G270" s="31"/>
      <c r="I270" s="31"/>
      <c r="L270" s="31"/>
      <c r="M270" s="5"/>
      <c r="N270" s="31"/>
      <c r="O270" s="5"/>
      <c r="P270" s="237"/>
      <c r="Q270" s="5"/>
      <c r="R270" s="31"/>
      <c r="S270" s="5"/>
      <c r="T270" s="31"/>
      <c r="V270" s="31"/>
      <c r="X270" s="31"/>
      <c r="Z270" s="31"/>
      <c r="AA270" s="5"/>
      <c r="AB270" s="31"/>
      <c r="AC270" s="5"/>
      <c r="AD270" s="31"/>
      <c r="AF270" s="31"/>
    </row>
    <row r="271" spans="1:32" ht="12">
      <c r="A271" s="24" t="s">
        <v>659</v>
      </c>
      <c r="B271" s="17"/>
      <c r="C271" s="17"/>
      <c r="D271" s="17"/>
      <c r="E271" s="17"/>
      <c r="F271" s="30">
        <v>251</v>
      </c>
      <c r="G271" s="237"/>
      <c r="I271" s="31">
        <v>388254</v>
      </c>
      <c r="L271" s="31"/>
      <c r="M271" s="5"/>
      <c r="N271" s="31"/>
      <c r="O271" s="5"/>
      <c r="P271" s="237"/>
      <c r="Q271" s="5"/>
      <c r="R271" s="31"/>
      <c r="S271" s="5"/>
      <c r="T271" s="31"/>
      <c r="V271" s="31"/>
      <c r="X271" s="237"/>
      <c r="Z271" s="31"/>
      <c r="AA271" s="5"/>
      <c r="AB271" s="31">
        <v>12346</v>
      </c>
      <c r="AC271" s="5"/>
      <c r="AD271" s="31"/>
      <c r="AF271" s="31"/>
    </row>
    <row r="272" spans="1:32" ht="12">
      <c r="A272" s="24" t="s">
        <v>660</v>
      </c>
      <c r="B272" s="17"/>
      <c r="C272" s="17"/>
      <c r="D272" s="17"/>
      <c r="E272" s="17"/>
      <c r="F272" s="30">
        <v>252</v>
      </c>
      <c r="G272" s="237"/>
      <c r="I272" s="31"/>
      <c r="L272" s="31"/>
      <c r="M272" s="5"/>
      <c r="N272" s="31"/>
      <c r="O272" s="5"/>
      <c r="P272" s="237">
        <v>-804386</v>
      </c>
      <c r="Q272" s="5"/>
      <c r="R272" s="31"/>
      <c r="S272" s="5"/>
      <c r="T272" s="31"/>
      <c r="V272" s="31">
        <v>-316941</v>
      </c>
      <c r="X272" s="237"/>
      <c r="Z272" s="31">
        <v>-22612800</v>
      </c>
      <c r="AA272" s="5"/>
      <c r="AB272" s="31">
        <v>-124411</v>
      </c>
      <c r="AC272" s="5"/>
      <c r="AD272" s="31"/>
      <c r="AF272" s="31"/>
    </row>
    <row r="273" spans="1:32" ht="12">
      <c r="A273" s="17"/>
      <c r="B273" s="17"/>
      <c r="C273" s="17"/>
      <c r="D273" s="24" t="s">
        <v>715</v>
      </c>
      <c r="E273" s="17"/>
      <c r="F273" s="20">
        <v>253</v>
      </c>
      <c r="G273" s="34">
        <f>SUM(G266:G272)</f>
        <v>-13660585</v>
      </c>
      <c r="I273" s="34">
        <f>SUM(I266:I272)</f>
        <v>3809419</v>
      </c>
      <c r="L273" s="34">
        <f>SUM(L266:L272)</f>
        <v>-26644828</v>
      </c>
      <c r="M273" s="5"/>
      <c r="N273" s="34">
        <f>SUM(N266:N272)</f>
        <v>1105600</v>
      </c>
      <c r="O273" s="5"/>
      <c r="P273" s="34">
        <f>SUM(P266:P272)</f>
        <v>10086300</v>
      </c>
      <c r="Q273" s="5"/>
      <c r="R273" s="34">
        <f t="shared" ref="R273:AF273" si="40">SUM(R266:R272)</f>
        <v>3557074</v>
      </c>
      <c r="S273" s="5"/>
      <c r="T273" s="34">
        <f t="shared" si="40"/>
        <v>-31229361</v>
      </c>
      <c r="U273" s="5"/>
      <c r="V273" s="34">
        <f t="shared" si="40"/>
        <v>3332687</v>
      </c>
      <c r="W273" s="5"/>
      <c r="X273" s="34">
        <f>SUM(X266:X272)</f>
        <v>-18313738</v>
      </c>
      <c r="Y273" s="5"/>
      <c r="Z273" s="34">
        <f>SUM(Z266:Z272)</f>
        <v>71001789</v>
      </c>
      <c r="AA273" s="5"/>
      <c r="AB273" s="34">
        <f t="shared" ref="AB273" si="41">SUM(AB266:AB272)</f>
        <v>-715699</v>
      </c>
      <c r="AC273" s="5"/>
      <c r="AD273" s="34"/>
      <c r="AF273" s="34">
        <f t="shared" si="40"/>
        <v>180251</v>
      </c>
    </row>
    <row r="274" spans="1:32" ht="12">
      <c r="A274" s="24" t="s">
        <v>714</v>
      </c>
      <c r="B274" s="17"/>
      <c r="C274" s="17"/>
      <c r="D274" s="17"/>
      <c r="E274" s="17"/>
      <c r="F274" s="30">
        <v>254</v>
      </c>
      <c r="G274" s="31">
        <v>-10295076</v>
      </c>
      <c r="I274" s="31">
        <v>10498570</v>
      </c>
      <c r="L274" s="237">
        <v>102316835</v>
      </c>
      <c r="M274" s="5"/>
      <c r="N274" s="237">
        <v>1963191</v>
      </c>
      <c r="O274" s="5"/>
      <c r="P274" s="31">
        <v>-31441473</v>
      </c>
      <c r="Q274" s="5"/>
      <c r="R274" s="31">
        <v>24374900</v>
      </c>
      <c r="S274" s="5"/>
      <c r="T274" s="31">
        <v>466578856</v>
      </c>
      <c r="V274" s="31">
        <v>24063733</v>
      </c>
      <c r="X274" s="31">
        <v>93811387</v>
      </c>
      <c r="Z274" s="31">
        <v>-306883944</v>
      </c>
      <c r="AA274" s="5"/>
      <c r="AB274" s="31">
        <v>1170962</v>
      </c>
      <c r="AC274" s="5"/>
      <c r="AD274" s="31"/>
      <c r="AF274" s="31">
        <v>120611</v>
      </c>
    </row>
    <row r="275" spans="1:32" ht="12.6" thickBot="1">
      <c r="A275" s="24" t="s">
        <v>716</v>
      </c>
      <c r="B275" s="17"/>
      <c r="C275" s="17"/>
      <c r="D275" s="17"/>
      <c r="E275" s="17"/>
      <c r="F275" s="30">
        <v>255</v>
      </c>
      <c r="G275" s="38">
        <f>SUM(G273:G274)</f>
        <v>-23955661</v>
      </c>
      <c r="I275" s="38">
        <f>SUM(I273:I274)</f>
        <v>14307989</v>
      </c>
      <c r="L275" s="38">
        <f>SUM(L273:L274)</f>
        <v>75672007</v>
      </c>
      <c r="M275" s="5"/>
      <c r="N275" s="38">
        <f>SUM(N273:N274)</f>
        <v>3068791</v>
      </c>
      <c r="O275" s="5"/>
      <c r="P275" s="38">
        <f>SUM(P273:P274)</f>
        <v>-21355173</v>
      </c>
      <c r="Q275" s="5"/>
      <c r="R275" s="38">
        <f t="shared" ref="R275:AF275" si="42">SUM(R273:R274)</f>
        <v>27931974</v>
      </c>
      <c r="S275" s="5"/>
      <c r="T275" s="38">
        <f t="shared" si="42"/>
        <v>435349495</v>
      </c>
      <c r="U275" s="5"/>
      <c r="V275" s="38">
        <f t="shared" si="42"/>
        <v>27396420</v>
      </c>
      <c r="W275" s="5"/>
      <c r="X275" s="38">
        <f>SUM(X273:X274)</f>
        <v>75497649</v>
      </c>
      <c r="Y275" s="5"/>
      <c r="Z275" s="38">
        <f>SUM(Z273:Z274)</f>
        <v>-235882155</v>
      </c>
      <c r="AA275" s="5"/>
      <c r="AB275" s="38">
        <f t="shared" ref="AB275" si="43">SUM(AB273:AB274)</f>
        <v>455263</v>
      </c>
      <c r="AC275" s="5"/>
      <c r="AD275" s="38"/>
      <c r="AF275" s="38">
        <f t="shared" si="42"/>
        <v>300862</v>
      </c>
    </row>
    <row r="276" spans="1:32" ht="12.6" thickTop="1">
      <c r="A276" s="531" t="s">
        <v>3453</v>
      </c>
      <c r="B276" s="17"/>
      <c r="C276" s="17"/>
      <c r="D276" s="17"/>
      <c r="E276" s="17"/>
      <c r="F276" s="20">
        <v>256</v>
      </c>
      <c r="G276" s="530">
        <f>G200-G275</f>
        <v>0</v>
      </c>
      <c r="I276" s="530">
        <f>I200-I275</f>
        <v>0</v>
      </c>
      <c r="L276" s="530">
        <f>L200-L275</f>
        <v>0</v>
      </c>
      <c r="M276" s="5"/>
      <c r="N276" s="530">
        <f>N200-N275</f>
        <v>0</v>
      </c>
      <c r="O276" s="5"/>
      <c r="P276" s="530">
        <f>P200-P275</f>
        <v>0</v>
      </c>
      <c r="R276" s="530">
        <f>R200-R275</f>
        <v>0</v>
      </c>
      <c r="T276" s="530">
        <f>T200-T275</f>
        <v>0</v>
      </c>
      <c r="V276" s="530">
        <f>V200-V275</f>
        <v>0</v>
      </c>
      <c r="X276" s="530">
        <f>X200-X275</f>
        <v>0</v>
      </c>
      <c r="Z276" s="530">
        <f>Z200-Z275</f>
        <v>0</v>
      </c>
      <c r="AA276" s="5"/>
      <c r="AB276" s="530">
        <f>AB200-AB275</f>
        <v>0</v>
      </c>
      <c r="AC276" s="5"/>
      <c r="AD276" s="530"/>
      <c r="AF276" s="530">
        <f>AF200-AF275</f>
        <v>0</v>
      </c>
    </row>
    <row r="277" spans="1:32">
      <c r="A277" s="1050"/>
      <c r="B277" s="1051"/>
      <c r="C277" s="1051"/>
      <c r="D277" s="1051"/>
      <c r="E277" s="18"/>
      <c r="F277" s="30">
        <v>257</v>
      </c>
    </row>
    <row r="278" spans="1:32" ht="12">
      <c r="A278" s="18"/>
      <c r="B278" s="27"/>
      <c r="C278" s="27"/>
      <c r="D278" s="27"/>
      <c r="E278" s="17"/>
      <c r="F278" s="30">
        <v>258</v>
      </c>
    </row>
    <row r="279" spans="1:32" s="43" customFormat="1" ht="12.75" customHeight="1">
      <c r="A279" s="25" t="s">
        <v>12</v>
      </c>
      <c r="B279" s="27"/>
      <c r="C279" s="27"/>
      <c r="D279" s="27"/>
      <c r="E279" s="17"/>
      <c r="F279" s="20">
        <v>259</v>
      </c>
      <c r="G279" s="17"/>
      <c r="I279" s="17"/>
      <c r="L279" s="17"/>
      <c r="M279" s="17"/>
      <c r="N279" s="17"/>
      <c r="O279" s="17"/>
      <c r="P279" s="17"/>
      <c r="Q279" s="44"/>
      <c r="R279" s="17"/>
      <c r="S279" s="44"/>
      <c r="T279" s="17"/>
      <c r="V279" s="17"/>
      <c r="X279" s="17"/>
      <c r="Z279" s="17"/>
      <c r="AA279" s="17"/>
      <c r="AB279" s="17"/>
      <c r="AC279" s="17"/>
      <c r="AD279" s="17"/>
      <c r="AF279" s="17"/>
    </row>
    <row r="280" spans="1:32" ht="24.75" customHeight="1">
      <c r="A280" s="45" t="str">
        <f>A18</f>
        <v>For the Year Ended June 30, 2023</v>
      </c>
      <c r="B280" s="29"/>
      <c r="C280" s="29"/>
      <c r="D280" s="29"/>
      <c r="E280" s="23"/>
      <c r="F280" s="30">
        <v>260</v>
      </c>
      <c r="Q280" s="26"/>
      <c r="S280" s="26"/>
    </row>
    <row r="281" spans="1:32" ht="12">
      <c r="A281" s="46"/>
      <c r="B281" s="43"/>
      <c r="C281" s="43"/>
      <c r="D281" s="43"/>
      <c r="E281" s="43"/>
      <c r="F281" s="30">
        <v>261</v>
      </c>
      <c r="G281" s="44"/>
      <c r="I281" s="44"/>
      <c r="L281" s="44"/>
      <c r="M281" s="44"/>
      <c r="N281" s="44"/>
      <c r="O281" s="44"/>
      <c r="P281" s="44"/>
      <c r="R281" s="44"/>
      <c r="T281" s="44"/>
      <c r="V281" s="44"/>
      <c r="X281" s="44"/>
      <c r="Z281" s="44"/>
      <c r="AA281" s="44"/>
      <c r="AB281" s="44"/>
      <c r="AC281" s="44"/>
      <c r="AD281" s="44"/>
      <c r="AF281" s="44"/>
    </row>
    <row r="282" spans="1:32" ht="34.799999999999997">
      <c r="A282" s="39" t="s">
        <v>3</v>
      </c>
      <c r="B282" s="23"/>
      <c r="C282" s="23"/>
      <c r="D282" s="23"/>
      <c r="E282" s="23"/>
      <c r="F282" s="20">
        <v>262</v>
      </c>
      <c r="G282" s="16" t="str">
        <f>G21</f>
        <v>DGS - Property Management</v>
      </c>
      <c r="H282" s="16"/>
      <c r="I282" s="16" t="str">
        <f>I21</f>
        <v>DGS - General Services</v>
      </c>
      <c r="J282" s="16"/>
      <c r="L282" s="16" t="str">
        <f>L21</f>
        <v>VA Information Technologies Agency</v>
      </c>
      <c r="M282" s="16"/>
      <c r="N282" s="16" t="str">
        <f>N21</f>
        <v>Secretary of Administration</v>
      </c>
      <c r="O282" s="16"/>
      <c r="P282" s="16" t="str">
        <f>P21</f>
        <v>Enterprise Applications</v>
      </c>
      <c r="Q282" s="132"/>
      <c r="R282" s="16" t="str">
        <f>R21</f>
        <v>VA Correctional Enterprises</v>
      </c>
      <c r="S282" s="16"/>
      <c r="T282" s="16" t="str">
        <f>T21</f>
        <v>Health Insurance Fund</v>
      </c>
      <c r="U282" s="16"/>
      <c r="V282" s="16" t="str">
        <f>V21</f>
        <v>DGS - Fleet Management</v>
      </c>
      <c r="W282" s="16"/>
      <c r="X282" s="16" t="str">
        <f>X21</f>
        <v>Treasury - Risk Management</v>
      </c>
      <c r="Y282" s="16"/>
      <c r="Z282" s="16" t="str">
        <f>Z21</f>
        <v>DHRM - Risk Management</v>
      </c>
      <c r="AA282" s="36"/>
      <c r="AB282" s="16" t="str">
        <f>AB21</f>
        <v>DHRM - Line of Duty</v>
      </c>
      <c r="AC282" s="36"/>
      <c r="AD282" s="16"/>
      <c r="AF282" s="16" t="str">
        <f>AF21</f>
        <v>Payroll Service Bureau</v>
      </c>
    </row>
    <row r="283" spans="1:32" ht="12">
      <c r="A283" s="18"/>
      <c r="B283" s="17"/>
      <c r="C283" s="17"/>
      <c r="D283" s="17"/>
      <c r="E283" s="17"/>
      <c r="F283" s="30">
        <v>263</v>
      </c>
      <c r="Q283" s="5"/>
      <c r="S283" s="5"/>
    </row>
    <row r="284" spans="1:32" ht="12">
      <c r="A284" s="24" t="s">
        <v>4</v>
      </c>
      <c r="B284" s="17"/>
      <c r="C284" s="17"/>
      <c r="D284" s="17"/>
      <c r="E284" s="17"/>
      <c r="F284" s="30">
        <v>264</v>
      </c>
      <c r="G284" s="237">
        <v>3364388</v>
      </c>
      <c r="I284" s="31">
        <v>12612103</v>
      </c>
      <c r="L284" s="31">
        <v>7631121</v>
      </c>
      <c r="M284" s="5"/>
      <c r="N284" s="31"/>
      <c r="O284" s="5"/>
      <c r="P284" s="237">
        <v>11002482</v>
      </c>
      <c r="Q284" s="5"/>
      <c r="R284" s="237">
        <v>15547936</v>
      </c>
      <c r="S284" s="5"/>
      <c r="T284" s="237">
        <v>867937080</v>
      </c>
      <c r="V284" s="31">
        <v>293570</v>
      </c>
      <c r="X284" s="237">
        <v>20291179</v>
      </c>
      <c r="Z284" s="237">
        <v>14075251.290000007</v>
      </c>
      <c r="AA284" s="5"/>
      <c r="AB284" s="31">
        <v>7229020</v>
      </c>
      <c r="AC284" s="5"/>
      <c r="AD284" s="31"/>
      <c r="AF284" s="31">
        <v>60893</v>
      </c>
    </row>
    <row r="285" spans="1:32" ht="12">
      <c r="A285" s="24" t="s">
        <v>676</v>
      </c>
      <c r="B285" s="17"/>
      <c r="C285" s="17"/>
      <c r="D285" s="17"/>
      <c r="E285" s="17"/>
      <c r="F285" s="20">
        <v>265</v>
      </c>
      <c r="G285" s="31">
        <v>0</v>
      </c>
      <c r="I285" s="31">
        <v>0</v>
      </c>
      <c r="L285" s="31">
        <v>0</v>
      </c>
      <c r="M285" s="5"/>
      <c r="N285" s="31"/>
      <c r="O285" s="5"/>
      <c r="P285" s="237">
        <v>0</v>
      </c>
      <c r="Q285" s="5"/>
      <c r="R285" s="237">
        <v>0</v>
      </c>
      <c r="S285" s="5"/>
      <c r="T285" s="237">
        <v>0</v>
      </c>
      <c r="V285" s="31">
        <v>0</v>
      </c>
      <c r="X285" s="31">
        <v>0</v>
      </c>
      <c r="Z285" s="31">
        <v>0</v>
      </c>
      <c r="AA285" s="5"/>
      <c r="AB285" s="31">
        <v>0</v>
      </c>
      <c r="AC285" s="5"/>
      <c r="AD285" s="31"/>
      <c r="AF285" s="31">
        <v>0</v>
      </c>
    </row>
    <row r="286" spans="1:32" ht="12">
      <c r="A286" s="24" t="s">
        <v>5</v>
      </c>
      <c r="B286" s="17"/>
      <c r="C286" s="17"/>
      <c r="D286" s="17"/>
      <c r="E286" s="17"/>
      <c r="F286" s="30">
        <v>266</v>
      </c>
      <c r="G286" s="237">
        <v>115986544</v>
      </c>
      <c r="I286" s="31">
        <v>42543916</v>
      </c>
      <c r="L286" s="31">
        <v>354887645</v>
      </c>
      <c r="M286" s="5"/>
      <c r="N286" s="31">
        <v>5317520</v>
      </c>
      <c r="O286" s="5"/>
      <c r="P286" s="237">
        <v>53075557</v>
      </c>
      <c r="Q286" s="5"/>
      <c r="R286" s="237">
        <v>34555142</v>
      </c>
      <c r="S286" s="5"/>
      <c r="T286" s="237">
        <v>803168425</v>
      </c>
      <c r="V286" s="31">
        <v>19795550</v>
      </c>
      <c r="X286" s="237">
        <v>13915603</v>
      </c>
      <c r="Z286" s="237">
        <v>51821453.709999993</v>
      </c>
      <c r="AA286" s="5"/>
      <c r="AB286" s="31">
        <v>1628265</v>
      </c>
      <c r="AC286" s="5"/>
      <c r="AD286" s="31"/>
      <c r="AF286" s="31">
        <v>3403820</v>
      </c>
    </row>
    <row r="287" spans="1:32" ht="12">
      <c r="A287" s="24" t="s">
        <v>6</v>
      </c>
      <c r="B287" s="17"/>
      <c r="C287" s="17"/>
      <c r="D287" s="17"/>
      <c r="E287" s="17"/>
      <c r="F287" s="30">
        <v>267</v>
      </c>
      <c r="G287" s="237">
        <v>-3604481</v>
      </c>
      <c r="I287" s="31">
        <v>-1695928</v>
      </c>
      <c r="L287" s="31">
        <v>-7519365</v>
      </c>
      <c r="M287" s="5"/>
      <c r="N287" s="31">
        <v>0</v>
      </c>
      <c r="O287" s="5"/>
      <c r="P287" s="237">
        <v>0</v>
      </c>
      <c r="R287" s="237">
        <v>-735437</v>
      </c>
      <c r="T287" s="31">
        <v>0</v>
      </c>
      <c r="V287" s="31">
        <v>-1010207</v>
      </c>
      <c r="X287" s="237">
        <v>0</v>
      </c>
      <c r="Z287" s="237">
        <v>0</v>
      </c>
      <c r="AA287" s="5"/>
      <c r="AB287" s="31">
        <v>0</v>
      </c>
      <c r="AC287" s="5"/>
      <c r="AD287" s="31"/>
      <c r="AF287" s="31">
        <v>0</v>
      </c>
    </row>
    <row r="288" spans="1:32" ht="12">
      <c r="A288" s="24" t="s">
        <v>7</v>
      </c>
      <c r="B288" s="17"/>
      <c r="C288" s="17"/>
      <c r="D288" s="17"/>
      <c r="E288" s="17"/>
      <c r="F288" s="20">
        <v>268</v>
      </c>
      <c r="G288" s="237">
        <v>-37656539</v>
      </c>
      <c r="I288" s="31">
        <v>-38532965</v>
      </c>
      <c r="L288" s="31">
        <v>-5959667</v>
      </c>
      <c r="M288" s="5"/>
      <c r="N288" s="31">
        <v>0</v>
      </c>
      <c r="O288" s="5"/>
      <c r="P288" s="31">
        <v>-2281</v>
      </c>
      <c r="Q288" s="5"/>
      <c r="R288" s="31">
        <v>-40477157</v>
      </c>
      <c r="S288" s="5"/>
      <c r="T288" s="31">
        <v>0</v>
      </c>
      <c r="V288" s="31">
        <v>-3543382</v>
      </c>
      <c r="X288" s="237">
        <v>-3522</v>
      </c>
      <c r="Z288" s="237">
        <v>0</v>
      </c>
      <c r="AA288" s="5"/>
      <c r="AB288" s="237">
        <v>0</v>
      </c>
      <c r="AC288" s="5"/>
      <c r="AD288" s="237"/>
      <c r="AF288" s="237">
        <v>-970</v>
      </c>
    </row>
    <row r="289" spans="1:32" ht="12">
      <c r="A289" s="24" t="s">
        <v>469</v>
      </c>
      <c r="B289" s="17"/>
      <c r="C289" s="17"/>
      <c r="D289" s="17"/>
      <c r="E289" s="17"/>
      <c r="F289" s="30">
        <v>269</v>
      </c>
      <c r="G289" s="31">
        <v>-18041042</v>
      </c>
      <c r="I289" s="31">
        <v>-3837278</v>
      </c>
      <c r="L289" s="31">
        <v>-329446240</v>
      </c>
      <c r="M289" s="5"/>
      <c r="N289" s="31">
        <v>-2864669</v>
      </c>
      <c r="O289" s="5"/>
      <c r="P289" s="31">
        <v>-34261645</v>
      </c>
      <c r="Q289" s="5"/>
      <c r="R289" s="31">
        <v>-2256949</v>
      </c>
      <c r="S289" s="5"/>
      <c r="T289" s="31">
        <v>-79104571</v>
      </c>
      <c r="V289" s="31">
        <v>-4025902</v>
      </c>
      <c r="X289" s="31">
        <v>-147335</v>
      </c>
      <c r="Z289" s="31">
        <v>-13970015</v>
      </c>
      <c r="AA289" s="5"/>
      <c r="AB289" s="237">
        <v>-346166</v>
      </c>
      <c r="AC289" s="5"/>
      <c r="AD289" s="237"/>
      <c r="AF289" s="237">
        <v>-113959</v>
      </c>
    </row>
    <row r="290" spans="1:32" ht="12">
      <c r="A290" s="17"/>
      <c r="B290" s="17"/>
      <c r="C290" s="17"/>
      <c r="D290" s="17"/>
      <c r="E290" s="17"/>
      <c r="F290" s="30">
        <v>270</v>
      </c>
      <c r="G290" s="5"/>
      <c r="I290" s="5"/>
      <c r="L290" s="5"/>
      <c r="M290" s="5"/>
      <c r="N290" s="5"/>
      <c r="O290" s="5"/>
      <c r="P290" s="5"/>
      <c r="Q290" s="5"/>
      <c r="R290" s="5"/>
      <c r="S290" s="5"/>
      <c r="T290" s="5"/>
      <c r="V290" s="5"/>
      <c r="X290" s="5"/>
      <c r="Z290" s="5"/>
      <c r="AA290" s="5"/>
      <c r="AB290" s="5"/>
      <c r="AC290" s="5"/>
      <c r="AD290" s="5"/>
      <c r="AF290" s="5"/>
    </row>
    <row r="291" spans="1:32" ht="12">
      <c r="A291" s="24"/>
      <c r="B291" s="17"/>
      <c r="C291" s="17"/>
      <c r="D291" s="17"/>
      <c r="E291" s="17"/>
      <c r="F291" s="20">
        <v>271</v>
      </c>
      <c r="G291" s="5"/>
      <c r="I291" s="5"/>
      <c r="L291" s="5"/>
      <c r="M291" s="5"/>
      <c r="N291" s="5"/>
      <c r="O291" s="5"/>
      <c r="P291" s="5"/>
      <c r="Q291" s="5"/>
      <c r="R291" s="5"/>
      <c r="S291" s="5"/>
      <c r="T291" s="5"/>
      <c r="V291" s="5"/>
      <c r="X291" s="5"/>
      <c r="Z291" s="5"/>
      <c r="AA291" s="5"/>
      <c r="AB291" s="5"/>
      <c r="AC291" s="5"/>
      <c r="AD291" s="5"/>
      <c r="AF291" s="5"/>
    </row>
    <row r="292" spans="1:32" ht="12">
      <c r="A292" s="40" t="s">
        <v>593</v>
      </c>
      <c r="B292" s="17"/>
      <c r="C292" s="17"/>
      <c r="D292" s="17"/>
      <c r="E292" s="17"/>
      <c r="F292" s="30">
        <v>272</v>
      </c>
      <c r="G292" s="31"/>
      <c r="I292" s="31"/>
      <c r="L292" s="31"/>
      <c r="M292" s="5"/>
      <c r="N292" s="31"/>
      <c r="O292" s="5"/>
      <c r="P292" s="31"/>
      <c r="Q292" s="5"/>
      <c r="R292" s="31"/>
      <c r="S292" s="5"/>
      <c r="T292" s="31">
        <v>-1625050518</v>
      </c>
      <c r="V292" s="31"/>
      <c r="X292" s="31">
        <v>-11491151</v>
      </c>
      <c r="Z292" s="31">
        <v>-41977053</v>
      </c>
      <c r="AA292" s="5"/>
      <c r="AB292" s="31">
        <v>-9176492</v>
      </c>
      <c r="AC292" s="5"/>
      <c r="AD292" s="31"/>
      <c r="AF292" s="31"/>
    </row>
    <row r="293" spans="1:32" ht="12" hidden="1">
      <c r="A293" s="40" t="s">
        <v>594</v>
      </c>
      <c r="B293" s="17"/>
      <c r="C293" s="17"/>
      <c r="D293" s="17"/>
      <c r="E293" s="17"/>
      <c r="F293" s="30">
        <v>273</v>
      </c>
      <c r="G293" s="32"/>
      <c r="I293" s="32"/>
      <c r="L293" s="32"/>
      <c r="M293" s="5"/>
      <c r="N293" s="32"/>
      <c r="O293" s="5"/>
      <c r="P293" s="32"/>
      <c r="Q293" s="5"/>
      <c r="R293" s="32"/>
      <c r="S293" s="5"/>
      <c r="T293" s="32"/>
      <c r="V293" s="32"/>
      <c r="X293" s="32"/>
      <c r="Z293" s="32"/>
      <c r="AA293" s="5"/>
      <c r="AB293" s="32"/>
      <c r="AC293" s="5"/>
      <c r="AD293" s="32"/>
      <c r="AF293" s="32"/>
    </row>
    <row r="294" spans="1:32" ht="12">
      <c r="A294" s="24"/>
      <c r="B294" s="33" t="s">
        <v>595</v>
      </c>
      <c r="C294" s="17"/>
      <c r="D294" s="17"/>
      <c r="E294" s="17"/>
      <c r="F294" s="20">
        <v>274</v>
      </c>
      <c r="G294" s="34">
        <v>0</v>
      </c>
      <c r="I294" s="34">
        <v>0</v>
      </c>
      <c r="L294" s="34">
        <v>0</v>
      </c>
      <c r="M294" s="5"/>
      <c r="N294" s="34">
        <v>0</v>
      </c>
      <c r="O294" s="5"/>
      <c r="P294" s="34">
        <v>0</v>
      </c>
      <c r="Q294" s="5"/>
      <c r="R294" s="34">
        <v>0</v>
      </c>
      <c r="S294" s="5"/>
      <c r="T294" s="34">
        <f>SUM(T292:T293)</f>
        <v>-1625050518</v>
      </c>
      <c r="V294" s="34">
        <f>SUM(V292:V293)</f>
        <v>0</v>
      </c>
      <c r="X294" s="34">
        <f>SUM(X292:X293)</f>
        <v>-11491151</v>
      </c>
      <c r="Z294" s="34">
        <f>SUM(Z292:Z293)</f>
        <v>-41977053</v>
      </c>
      <c r="AA294" s="5"/>
      <c r="AB294" s="34">
        <f>SUM(AB292:AB293)</f>
        <v>-9176492</v>
      </c>
      <c r="AC294" s="5"/>
      <c r="AD294" s="34"/>
      <c r="AF294" s="34">
        <f>SUM(AF292:AF293)</f>
        <v>0</v>
      </c>
    </row>
    <row r="295" spans="1:32" ht="12" hidden="1">
      <c r="A295" s="24" t="s">
        <v>554</v>
      </c>
      <c r="B295" s="24"/>
      <c r="C295" s="17"/>
      <c r="D295" s="17"/>
      <c r="E295" s="17"/>
      <c r="F295" s="30">
        <v>275</v>
      </c>
      <c r="G295" s="42"/>
      <c r="I295" s="42"/>
      <c r="L295" s="42"/>
      <c r="M295" s="5"/>
      <c r="N295" s="42"/>
      <c r="O295" s="5"/>
      <c r="P295" s="42"/>
      <c r="Q295" s="5"/>
      <c r="R295" s="42"/>
      <c r="S295" s="5"/>
      <c r="T295" s="42"/>
      <c r="V295" s="42"/>
      <c r="X295" s="42"/>
      <c r="Z295" s="42"/>
      <c r="AA295" s="5"/>
      <c r="AB295" s="42"/>
      <c r="AC295" s="5"/>
      <c r="AD295" s="42"/>
      <c r="AF295" s="42"/>
    </row>
    <row r="296" spans="1:32" ht="12">
      <c r="A296" s="24" t="s">
        <v>592</v>
      </c>
      <c r="B296" s="17"/>
      <c r="C296" s="17"/>
      <c r="D296" s="17"/>
      <c r="E296" s="17"/>
      <c r="F296" s="30">
        <v>276</v>
      </c>
      <c r="G296" s="31">
        <v>-13094784</v>
      </c>
      <c r="I296" s="31">
        <v>-7067269</v>
      </c>
      <c r="L296" s="31">
        <v>-30444565</v>
      </c>
      <c r="M296" s="5"/>
      <c r="N296" s="31">
        <v>-1215299</v>
      </c>
      <c r="O296" s="5"/>
      <c r="P296" s="31">
        <v>-3120537</v>
      </c>
      <c r="Q296" s="5"/>
      <c r="R296" s="31">
        <v>-7487310</v>
      </c>
      <c r="S296" s="5"/>
      <c r="T296" s="31">
        <v>-4413349</v>
      </c>
      <c r="V296" s="31">
        <v>-1178858</v>
      </c>
      <c r="X296" s="31">
        <v>-1717713</v>
      </c>
      <c r="Z296" s="31">
        <v>-1170632</v>
      </c>
      <c r="AA296" s="5"/>
      <c r="AB296" s="237"/>
      <c r="AC296" s="5"/>
      <c r="AD296" s="237"/>
      <c r="AF296" s="237">
        <v>-2999356</v>
      </c>
    </row>
    <row r="297" spans="1:32" ht="12" hidden="1">
      <c r="A297" s="24" t="s">
        <v>467</v>
      </c>
      <c r="B297" s="17"/>
      <c r="C297" s="17"/>
      <c r="D297" s="17"/>
      <c r="E297" s="17"/>
      <c r="F297" s="20">
        <v>277</v>
      </c>
      <c r="G297" s="31"/>
      <c r="I297" s="31"/>
      <c r="L297" s="31"/>
      <c r="M297" s="5"/>
      <c r="N297" s="31"/>
      <c r="O297" s="5"/>
      <c r="P297" s="31">
        <v>0</v>
      </c>
      <c r="Q297" s="5"/>
      <c r="R297" s="31"/>
      <c r="S297" s="5"/>
      <c r="T297" s="31"/>
      <c r="V297" s="31"/>
      <c r="X297" s="31"/>
      <c r="Z297" s="31"/>
      <c r="AA297" s="5"/>
      <c r="AB297" s="31"/>
      <c r="AC297" s="5"/>
      <c r="AD297" s="31"/>
      <c r="AF297" s="31"/>
    </row>
    <row r="298" spans="1:32" ht="12">
      <c r="A298" s="24" t="s">
        <v>468</v>
      </c>
      <c r="B298" s="17"/>
      <c r="C298" s="17"/>
      <c r="D298" s="17"/>
      <c r="E298" s="17"/>
      <c r="F298" s="30">
        <v>278</v>
      </c>
      <c r="G298" s="31"/>
      <c r="I298" s="31"/>
      <c r="L298" s="31"/>
      <c r="M298" s="5"/>
      <c r="N298" s="31"/>
      <c r="O298" s="5"/>
      <c r="P298" s="31">
        <v>-1001</v>
      </c>
      <c r="Q298" s="5"/>
      <c r="R298" s="31"/>
      <c r="S298" s="5"/>
      <c r="T298" s="31"/>
      <c r="V298" s="31"/>
      <c r="X298" s="31"/>
      <c r="Z298" s="31"/>
      <c r="AA298" s="5"/>
      <c r="AB298" s="31"/>
      <c r="AC298" s="5"/>
      <c r="AD298" s="31"/>
      <c r="AF298" s="31"/>
    </row>
    <row r="299" spans="1:32" ht="12">
      <c r="A299" s="24"/>
      <c r="B299" s="17"/>
      <c r="C299" s="17"/>
      <c r="D299" s="17"/>
      <c r="E299" s="17"/>
      <c r="F299" s="30">
        <v>279</v>
      </c>
      <c r="G299" s="5"/>
      <c r="I299" s="5"/>
      <c r="L299" s="5"/>
      <c r="M299" s="5"/>
      <c r="N299" s="5"/>
      <c r="O299" s="5"/>
      <c r="P299" s="5"/>
      <c r="Q299" s="5"/>
      <c r="R299" s="5"/>
      <c r="S299" s="5"/>
      <c r="T299" s="5"/>
      <c r="V299" s="5"/>
      <c r="X299" s="5"/>
      <c r="Z299" s="5"/>
      <c r="AA299" s="5"/>
      <c r="AB299" s="5"/>
      <c r="AC299" s="5"/>
      <c r="AD299" s="5"/>
      <c r="AF299" s="5"/>
    </row>
    <row r="300" spans="1:32" ht="12">
      <c r="A300" s="40" t="s">
        <v>219</v>
      </c>
      <c r="B300" s="17"/>
      <c r="C300" s="17"/>
      <c r="D300" s="17"/>
      <c r="E300" s="133"/>
      <c r="F300" s="20">
        <v>280</v>
      </c>
      <c r="G300" s="237"/>
      <c r="I300" s="31"/>
      <c r="L300" s="31"/>
      <c r="M300" s="5"/>
      <c r="N300" s="31"/>
      <c r="O300" s="5"/>
      <c r="P300" s="31"/>
      <c r="Q300" s="5"/>
      <c r="R300" s="31"/>
      <c r="S300" s="5"/>
      <c r="T300" s="31"/>
      <c r="V300" s="31"/>
      <c r="X300" s="237">
        <v>8771</v>
      </c>
      <c r="Z300" s="237"/>
      <c r="AA300" s="5"/>
      <c r="AB300" s="31"/>
      <c r="AC300" s="5"/>
      <c r="AD300" s="31"/>
      <c r="AF300" s="31">
        <v>14730</v>
      </c>
    </row>
    <row r="301" spans="1:32" ht="12">
      <c r="A301" s="40" t="s">
        <v>219</v>
      </c>
      <c r="B301" s="17"/>
      <c r="C301" s="17"/>
      <c r="D301" s="17"/>
      <c r="E301" s="133"/>
      <c r="F301" s="30">
        <v>281</v>
      </c>
      <c r="G301" s="31"/>
      <c r="I301" s="31"/>
      <c r="L301" s="31"/>
      <c r="M301" s="5"/>
      <c r="N301" s="31"/>
      <c r="O301" s="5"/>
      <c r="P301" s="31"/>
      <c r="Q301" s="5"/>
      <c r="R301" s="31"/>
      <c r="S301" s="5"/>
      <c r="T301" s="31"/>
      <c r="V301" s="31"/>
      <c r="X301" s="31"/>
      <c r="Z301" s="31"/>
      <c r="AA301" s="5"/>
      <c r="AB301" s="31"/>
      <c r="AC301" s="5"/>
      <c r="AD301" s="31"/>
      <c r="AF301" s="31">
        <v>100</v>
      </c>
    </row>
    <row r="302" spans="1:32" ht="12">
      <c r="A302" s="40"/>
      <c r="B302" s="33" t="s">
        <v>596</v>
      </c>
      <c r="C302" s="17"/>
      <c r="D302" s="17"/>
      <c r="E302" s="17"/>
      <c r="F302" s="30">
        <v>282</v>
      </c>
      <c r="G302" s="34">
        <f>SUM(G300:G301)</f>
        <v>0</v>
      </c>
      <c r="I302" s="34">
        <f>SUM(I300:I301)</f>
        <v>0</v>
      </c>
      <c r="L302" s="34">
        <f>SUM(L300:L301)</f>
        <v>0</v>
      </c>
      <c r="M302" s="5"/>
      <c r="N302" s="34">
        <f>SUM(N300:N301)</f>
        <v>0</v>
      </c>
      <c r="O302" s="5"/>
      <c r="P302" s="34">
        <f>SUM(P300:P301)</f>
        <v>0</v>
      </c>
      <c r="Q302" s="5"/>
      <c r="R302" s="34">
        <f t="shared" ref="R302:AF302" si="44">SUM(R300:R301)</f>
        <v>0</v>
      </c>
      <c r="S302" s="5"/>
      <c r="T302" s="34">
        <f t="shared" si="44"/>
        <v>0</v>
      </c>
      <c r="U302" s="5"/>
      <c r="V302" s="34">
        <f t="shared" si="44"/>
        <v>0</v>
      </c>
      <c r="W302" s="5"/>
      <c r="X302" s="34">
        <f>SUM(X300:X301)</f>
        <v>8771</v>
      </c>
      <c r="Y302" s="5"/>
      <c r="Z302" s="34">
        <f>SUM(Z300:Z301)</f>
        <v>0</v>
      </c>
      <c r="AA302" s="5"/>
      <c r="AB302" s="34">
        <f t="shared" ref="AB302" si="45">SUM(AB300:AB301)</f>
        <v>0</v>
      </c>
      <c r="AC302" s="5"/>
      <c r="AD302" s="34"/>
      <c r="AF302" s="34">
        <f t="shared" si="44"/>
        <v>14830</v>
      </c>
    </row>
    <row r="303" spans="1:32" ht="12">
      <c r="A303" s="40"/>
      <c r="B303" s="17"/>
      <c r="C303" s="17"/>
      <c r="D303" s="17"/>
      <c r="E303" s="17"/>
      <c r="F303" s="20">
        <v>283</v>
      </c>
      <c r="G303" s="5"/>
      <c r="I303" s="5"/>
      <c r="L303" s="5"/>
      <c r="M303" s="5"/>
      <c r="N303" s="5"/>
      <c r="O303" s="5"/>
      <c r="P303" s="5"/>
      <c r="Q303" s="5"/>
      <c r="R303" s="5"/>
      <c r="S303" s="5"/>
      <c r="T303" s="5"/>
      <c r="V303" s="5"/>
      <c r="X303" s="5"/>
      <c r="Z303" s="5"/>
      <c r="AA303" s="5"/>
      <c r="AB303" s="5"/>
      <c r="AC303" s="5"/>
      <c r="AD303" s="5"/>
      <c r="AF303" s="5"/>
    </row>
    <row r="304" spans="1:32" ht="12">
      <c r="A304" s="40" t="s">
        <v>208</v>
      </c>
      <c r="B304" s="17"/>
      <c r="C304" s="17"/>
      <c r="D304" s="17"/>
      <c r="E304" s="133"/>
      <c r="F304" s="30">
        <v>284</v>
      </c>
      <c r="G304" s="237"/>
      <c r="I304" s="31"/>
      <c r="L304" s="31"/>
      <c r="M304" s="5"/>
      <c r="N304" s="31"/>
      <c r="O304" s="5"/>
      <c r="P304" s="31">
        <v>-649607</v>
      </c>
      <c r="Q304" s="5"/>
      <c r="R304" s="31"/>
      <c r="S304" s="5"/>
      <c r="T304" s="31">
        <v>-509422</v>
      </c>
      <c r="V304" s="31">
        <v>-27452</v>
      </c>
      <c r="X304" s="237">
        <v>-155115</v>
      </c>
      <c r="Z304" s="237">
        <v>-1912332</v>
      </c>
      <c r="AA304" s="5"/>
      <c r="AB304" s="237"/>
      <c r="AC304" s="5"/>
      <c r="AD304" s="237"/>
      <c r="AF304" s="237">
        <v>-138879</v>
      </c>
    </row>
    <row r="305" spans="1:32" ht="12">
      <c r="A305" s="40" t="s">
        <v>208</v>
      </c>
      <c r="B305" s="17"/>
      <c r="C305" s="17"/>
      <c r="D305" s="17"/>
      <c r="E305" s="133"/>
      <c r="F305" s="30">
        <v>285</v>
      </c>
      <c r="G305" s="237"/>
      <c r="I305" s="31"/>
      <c r="L305" s="31"/>
      <c r="M305" s="5"/>
      <c r="N305" s="31"/>
      <c r="O305" s="5"/>
      <c r="P305" s="31">
        <v>-21790</v>
      </c>
      <c r="Q305" s="5"/>
      <c r="R305" s="31"/>
      <c r="S305" s="5"/>
      <c r="T305" s="31"/>
      <c r="V305" s="31"/>
      <c r="X305" s="237">
        <v>-20988029</v>
      </c>
      <c r="Z305" s="237"/>
      <c r="AA305" s="5"/>
      <c r="AB305" s="31"/>
      <c r="AC305" s="5"/>
      <c r="AD305" s="31"/>
      <c r="AF305" s="31">
        <v>-4696</v>
      </c>
    </row>
    <row r="306" spans="1:32" ht="12">
      <c r="A306" s="17"/>
      <c r="B306" s="33" t="s">
        <v>597</v>
      </c>
      <c r="C306" s="17"/>
      <c r="D306" s="17"/>
      <c r="E306" s="17"/>
      <c r="F306" s="20">
        <v>286</v>
      </c>
      <c r="G306" s="34">
        <f>SUM(G304:G305)</f>
        <v>0</v>
      </c>
      <c r="I306" s="34">
        <f>SUM(I304:I305)</f>
        <v>0</v>
      </c>
      <c r="L306" s="34">
        <f>SUM(L304:L305)</f>
        <v>0</v>
      </c>
      <c r="M306" s="5"/>
      <c r="N306" s="34">
        <f>SUM(N304:N305)</f>
        <v>0</v>
      </c>
      <c r="O306" s="5"/>
      <c r="P306" s="34">
        <f>SUM(P304:P305)</f>
        <v>-671397</v>
      </c>
      <c r="Q306" s="5"/>
      <c r="R306" s="34">
        <f t="shared" ref="R306:AF306" si="46">SUM(R304:R305)</f>
        <v>0</v>
      </c>
      <c r="S306" s="5"/>
      <c r="T306" s="34">
        <f t="shared" si="46"/>
        <v>-509422</v>
      </c>
      <c r="U306" s="5"/>
      <c r="V306" s="34">
        <f t="shared" si="46"/>
        <v>-27452</v>
      </c>
      <c r="W306" s="5"/>
      <c r="X306" s="34">
        <f>SUM(X304:X305)</f>
        <v>-21143144</v>
      </c>
      <c r="Y306" s="5"/>
      <c r="Z306" s="34">
        <f>SUM(Z304:Z305)</f>
        <v>-1912332</v>
      </c>
      <c r="AA306" s="5"/>
      <c r="AB306" s="34">
        <f t="shared" ref="AB306" si="47">SUM(AB304:AB305)</f>
        <v>0</v>
      </c>
      <c r="AC306" s="5"/>
      <c r="AD306" s="34"/>
      <c r="AF306" s="34">
        <f t="shared" si="46"/>
        <v>-143575</v>
      </c>
    </row>
    <row r="307" spans="1:32" ht="12">
      <c r="A307" s="40"/>
      <c r="B307" s="17"/>
      <c r="C307" s="17"/>
      <c r="D307" s="17"/>
      <c r="E307" s="17"/>
      <c r="F307" s="30">
        <v>287</v>
      </c>
      <c r="G307" s="5"/>
      <c r="I307" s="5"/>
      <c r="L307" s="5"/>
      <c r="M307" s="5"/>
      <c r="N307" s="5"/>
      <c r="O307" s="5"/>
      <c r="P307" s="5"/>
      <c r="Q307" s="5"/>
      <c r="R307" s="5"/>
      <c r="S307" s="5"/>
      <c r="T307" s="5"/>
      <c r="V307" s="5"/>
      <c r="X307" s="5"/>
      <c r="Z307" s="5"/>
      <c r="AA307" s="5"/>
      <c r="AB307" s="5"/>
      <c r="AC307" s="5"/>
      <c r="AD307" s="5"/>
      <c r="AF307" s="5"/>
    </row>
    <row r="308" spans="1:32" ht="12">
      <c r="A308" s="17"/>
      <c r="B308" s="24" t="s">
        <v>598</v>
      </c>
      <c r="C308" s="17"/>
      <c r="D308" s="17"/>
      <c r="E308" s="17"/>
      <c r="F308" s="30">
        <v>288</v>
      </c>
      <c r="G308" s="34">
        <f>SUM(G284:G289)+G292+SUM(G296:G298)+G302+G306</f>
        <v>46954086</v>
      </c>
      <c r="I308" s="34">
        <f>SUM(I284:I289)+I292+SUM(I296:I298)+I302+I306</f>
        <v>4022579</v>
      </c>
      <c r="L308" s="34">
        <f>SUM(L284:L289)+L292+SUM(L296:L298)+L302+L306</f>
        <v>-10851071</v>
      </c>
      <c r="M308" s="5"/>
      <c r="N308" s="34">
        <f>SUM(N284:N289)+N292+SUM(N296:N298)+N302+N306</f>
        <v>1237552</v>
      </c>
      <c r="O308" s="5"/>
      <c r="P308" s="34">
        <f>SUM(P284:P289)+P292+SUM(P296:P298)+P302+P306</f>
        <v>26021178</v>
      </c>
      <c r="Q308" s="5"/>
      <c r="R308" s="34">
        <f>SUM(R284:R289)+R292+SUM(R296:R298)+R302+R306</f>
        <v>-853775</v>
      </c>
      <c r="S308" s="5"/>
      <c r="T308" s="34">
        <f t="shared" ref="T308:V308" si="48">SUM(T284:T289)+T292+SUM(T296:T298)+T302+T306</f>
        <v>-37972355</v>
      </c>
      <c r="U308" s="5"/>
      <c r="V308" s="34">
        <f t="shared" si="48"/>
        <v>10303319</v>
      </c>
      <c r="W308" s="5"/>
      <c r="X308" s="34">
        <f>SUM(X284:X289)+X292+SUM(X296:X298)+X302+X306</f>
        <v>-287312</v>
      </c>
      <c r="Y308" s="5"/>
      <c r="Z308" s="34">
        <f>SUM(Z284:Z289)+Z292+SUM(Z296:Z298)+Z302+Z306</f>
        <v>6866673</v>
      </c>
      <c r="AA308" s="5"/>
      <c r="AB308" s="34">
        <f>SUM(AB284:AB289)+AB292+SUM(AB296:AB298)+AB302+AB306</f>
        <v>-665373</v>
      </c>
      <c r="AC308" s="5"/>
      <c r="AD308" s="34"/>
      <c r="AF308" s="34">
        <f>SUM(AF284:AF289)+AF292+SUM(AF296:AF298)+AF302+AF306</f>
        <v>221683</v>
      </c>
    </row>
    <row r="309" spans="1:32" ht="12">
      <c r="A309" s="40"/>
      <c r="B309" s="17"/>
      <c r="C309" s="17"/>
      <c r="D309" s="17"/>
      <c r="E309" s="17"/>
      <c r="F309" s="20">
        <v>289</v>
      </c>
      <c r="G309" s="5"/>
      <c r="I309" s="5"/>
      <c r="L309" s="5"/>
      <c r="M309" s="5"/>
      <c r="N309" s="5"/>
      <c r="O309" s="5"/>
      <c r="P309" s="5"/>
      <c r="Q309" s="5"/>
      <c r="R309" s="5"/>
      <c r="S309" s="5"/>
      <c r="T309" s="5"/>
      <c r="V309" s="5"/>
      <c r="X309" s="5"/>
      <c r="Z309" s="5"/>
      <c r="AA309" s="5"/>
      <c r="AB309" s="5"/>
      <c r="AC309" s="5"/>
      <c r="AD309" s="5"/>
      <c r="AF309" s="5"/>
    </row>
    <row r="310" spans="1:32" ht="12">
      <c r="A310" s="18" t="s">
        <v>599</v>
      </c>
      <c r="B310" s="17"/>
      <c r="C310" s="17"/>
      <c r="D310" s="17"/>
      <c r="E310" s="17"/>
      <c r="F310" s="30">
        <v>290</v>
      </c>
      <c r="G310" s="5"/>
      <c r="I310" s="5"/>
      <c r="L310" s="5"/>
      <c r="M310" s="5"/>
      <c r="N310" s="5"/>
      <c r="O310" s="5"/>
      <c r="P310" s="5"/>
      <c r="Q310" s="5"/>
      <c r="R310" s="5"/>
      <c r="S310" s="5"/>
      <c r="T310" s="5"/>
      <c r="V310" s="5"/>
      <c r="X310" s="5"/>
      <c r="Z310" s="5"/>
      <c r="AA310" s="5"/>
      <c r="AB310" s="5"/>
      <c r="AC310" s="5"/>
      <c r="AD310" s="5"/>
      <c r="AF310" s="5"/>
    </row>
    <row r="311" spans="1:32" ht="12">
      <c r="A311" s="24" t="s">
        <v>249</v>
      </c>
      <c r="B311" s="17"/>
      <c r="C311" s="17"/>
      <c r="D311" s="17"/>
      <c r="E311" s="17"/>
      <c r="F311" s="30">
        <v>291</v>
      </c>
      <c r="G311" s="31"/>
      <c r="I311" s="31">
        <v>388254</v>
      </c>
      <c r="L311" s="31"/>
      <c r="M311" s="5"/>
      <c r="N311" s="31"/>
      <c r="O311" s="5"/>
      <c r="P311" s="31"/>
      <c r="Q311" s="5"/>
      <c r="R311" s="31"/>
      <c r="S311" s="5"/>
      <c r="T311" s="31"/>
      <c r="V311" s="31"/>
      <c r="X311" s="31"/>
      <c r="Z311" s="31"/>
      <c r="AA311" s="5"/>
      <c r="AB311" s="31">
        <v>12345</v>
      </c>
      <c r="AC311" s="5"/>
      <c r="AD311" s="31"/>
      <c r="AF311" s="31"/>
    </row>
    <row r="312" spans="1:32" ht="12">
      <c r="A312" s="24" t="s">
        <v>250</v>
      </c>
      <c r="B312" s="17"/>
      <c r="C312" s="17"/>
      <c r="D312" s="17"/>
      <c r="E312" s="17"/>
      <c r="F312" s="20">
        <v>292</v>
      </c>
      <c r="G312" s="31"/>
      <c r="I312" s="31"/>
      <c r="L312" s="31"/>
      <c r="M312" s="5"/>
      <c r="N312" s="31"/>
      <c r="O312" s="5"/>
      <c r="P312" s="31">
        <v>-804386</v>
      </c>
      <c r="Q312" s="5"/>
      <c r="R312" s="31"/>
      <c r="S312" s="5"/>
      <c r="T312" s="31"/>
      <c r="V312" s="31">
        <v>-316941</v>
      </c>
      <c r="X312" s="31"/>
      <c r="Z312" s="31">
        <v>-22612800</v>
      </c>
      <c r="AA312" s="5"/>
      <c r="AB312" s="31">
        <v>-124411</v>
      </c>
      <c r="AC312" s="5"/>
      <c r="AD312" s="31"/>
      <c r="AF312" s="31"/>
    </row>
    <row r="313" spans="1:32" ht="12">
      <c r="A313" s="24"/>
      <c r="B313" s="17"/>
      <c r="C313" s="17"/>
      <c r="D313" s="17"/>
      <c r="E313" s="17"/>
      <c r="F313" s="30">
        <v>293</v>
      </c>
      <c r="G313" s="5"/>
      <c r="I313" s="5"/>
      <c r="L313" s="5"/>
      <c r="M313" s="5"/>
      <c r="N313" s="5"/>
      <c r="O313" s="5"/>
      <c r="P313" s="5"/>
      <c r="Q313" s="5"/>
      <c r="R313" s="5"/>
      <c r="S313" s="5"/>
      <c r="T313" s="5"/>
      <c r="V313" s="5"/>
      <c r="X313" s="5"/>
      <c r="Z313" s="5"/>
      <c r="AA313" s="5"/>
      <c r="AB313" s="5"/>
      <c r="AC313" s="5"/>
      <c r="AD313" s="5"/>
      <c r="AF313" s="5"/>
    </row>
    <row r="314" spans="1:32" ht="12">
      <c r="A314" s="40" t="s">
        <v>193</v>
      </c>
      <c r="B314" s="17"/>
      <c r="C314" s="17"/>
      <c r="D314" s="17"/>
      <c r="E314" s="17"/>
      <c r="F314" s="30">
        <v>294</v>
      </c>
      <c r="G314" s="31"/>
      <c r="I314" s="31"/>
      <c r="L314" s="237"/>
      <c r="M314" s="5"/>
      <c r="N314" s="237"/>
      <c r="O314" s="5"/>
      <c r="P314" s="31">
        <v>11677343</v>
      </c>
      <c r="Q314" s="5"/>
      <c r="R314" s="31"/>
      <c r="S314" s="5"/>
      <c r="T314" s="31"/>
      <c r="V314" s="31"/>
      <c r="X314" s="31"/>
      <c r="Z314" s="31">
        <v>1677463</v>
      </c>
      <c r="AA314" s="5"/>
      <c r="AB314" s="31"/>
      <c r="AC314" s="5"/>
      <c r="AD314" s="31"/>
      <c r="AF314" s="31"/>
    </row>
    <row r="315" spans="1:32" ht="12" hidden="1">
      <c r="A315" s="40"/>
      <c r="B315" s="17"/>
      <c r="C315" s="17"/>
      <c r="D315" s="17"/>
      <c r="E315" s="17"/>
      <c r="F315" s="30"/>
      <c r="G315" s="31"/>
      <c r="I315" s="31"/>
      <c r="L315" s="31"/>
      <c r="M315" s="5"/>
      <c r="N315" s="31"/>
      <c r="O315" s="5"/>
      <c r="P315" s="31"/>
      <c r="Q315" s="5"/>
      <c r="R315" s="31"/>
      <c r="S315" s="5"/>
      <c r="T315" s="31"/>
      <c r="V315" s="31"/>
      <c r="X315" s="31"/>
      <c r="Z315" s="31"/>
      <c r="AA315" s="5"/>
      <c r="AB315" s="31"/>
      <c r="AC315" s="5"/>
      <c r="AD315" s="31"/>
      <c r="AF315" s="31"/>
    </row>
    <row r="316" spans="1:32" ht="12">
      <c r="A316" s="40" t="s">
        <v>470</v>
      </c>
      <c r="B316" s="17"/>
      <c r="C316" s="17"/>
      <c r="D316" s="17"/>
      <c r="E316" s="17"/>
      <c r="F316" s="30">
        <v>296</v>
      </c>
      <c r="G316" s="31"/>
      <c r="I316" s="31"/>
      <c r="L316" s="31"/>
      <c r="M316" s="5"/>
      <c r="N316" s="31"/>
      <c r="O316" s="5"/>
      <c r="P316" s="31"/>
      <c r="Q316" s="5"/>
      <c r="R316" s="31"/>
      <c r="S316" s="5"/>
      <c r="T316" s="31"/>
      <c r="V316" s="31"/>
      <c r="X316" s="31"/>
      <c r="Z316" s="31"/>
      <c r="AA316" s="5"/>
      <c r="AB316" s="31"/>
      <c r="AC316" s="5"/>
      <c r="AD316" s="31"/>
      <c r="AF316" s="31"/>
    </row>
    <row r="317" spans="1:32" ht="12">
      <c r="A317" s="40" t="s">
        <v>566</v>
      </c>
      <c r="B317" s="17"/>
      <c r="C317" s="17"/>
      <c r="D317" s="17"/>
      <c r="E317" s="133"/>
      <c r="F317" s="20">
        <v>297</v>
      </c>
      <c r="G317" s="31"/>
      <c r="I317" s="31">
        <v>110299</v>
      </c>
      <c r="L317" s="31"/>
      <c r="M317" s="5"/>
      <c r="N317" s="31"/>
      <c r="O317" s="5"/>
      <c r="P317" s="31"/>
      <c r="Q317" s="5"/>
      <c r="R317" s="31"/>
      <c r="S317" s="5"/>
      <c r="T317" s="31"/>
      <c r="V317" s="31"/>
      <c r="X317" s="31"/>
      <c r="Z317" s="31"/>
      <c r="AA317" s="5"/>
      <c r="AB317" s="31"/>
      <c r="AC317" s="5"/>
      <c r="AD317" s="31"/>
      <c r="AF317" s="31"/>
    </row>
    <row r="318" spans="1:32" ht="12">
      <c r="A318" s="40" t="s">
        <v>566</v>
      </c>
      <c r="B318" s="17"/>
      <c r="C318" s="17"/>
      <c r="D318" s="17"/>
      <c r="E318" s="133"/>
      <c r="F318" s="30">
        <v>298</v>
      </c>
      <c r="G318" s="237"/>
      <c r="I318" s="31"/>
      <c r="L318" s="31"/>
      <c r="M318" s="5"/>
      <c r="N318" s="31"/>
      <c r="O318" s="5"/>
      <c r="P318" s="31"/>
      <c r="Q318" s="5"/>
      <c r="R318" s="31"/>
      <c r="S318" s="5"/>
      <c r="T318" s="31"/>
      <c r="V318" s="31"/>
      <c r="X318" s="237"/>
      <c r="Z318" s="237"/>
      <c r="AA318" s="5"/>
      <c r="AB318" s="31"/>
      <c r="AC318" s="5"/>
      <c r="AD318" s="31"/>
      <c r="AF318" s="31"/>
    </row>
    <row r="319" spans="1:32" ht="12">
      <c r="A319" s="24"/>
      <c r="B319" s="33" t="s">
        <v>251</v>
      </c>
      <c r="C319" s="17"/>
      <c r="D319" s="17"/>
      <c r="E319" s="17"/>
      <c r="F319" s="30">
        <v>299</v>
      </c>
      <c r="G319" s="34">
        <f>SUM(G314:G318)</f>
        <v>0</v>
      </c>
      <c r="I319" s="34">
        <f>SUM(I314:I318)</f>
        <v>110299</v>
      </c>
      <c r="L319" s="34">
        <f>SUM(L314:L318)</f>
        <v>0</v>
      </c>
      <c r="M319" s="5"/>
      <c r="N319" s="34">
        <f>SUM(N314:N318)</f>
        <v>0</v>
      </c>
      <c r="O319" s="5"/>
      <c r="P319" s="34">
        <f>SUM(P314:P318)</f>
        <v>11677343</v>
      </c>
      <c r="Q319" s="5"/>
      <c r="R319" s="34">
        <f t="shared" ref="R319:AF319" si="49">SUM(R314:R318)</f>
        <v>0</v>
      </c>
      <c r="S319" s="5"/>
      <c r="T319" s="34">
        <f t="shared" si="49"/>
        <v>0</v>
      </c>
      <c r="U319" s="5"/>
      <c r="V319" s="34">
        <f t="shared" si="49"/>
        <v>0</v>
      </c>
      <c r="W319" s="5"/>
      <c r="X319" s="34">
        <f>SUM(X314:X318)</f>
        <v>0</v>
      </c>
      <c r="Y319" s="5"/>
      <c r="Z319" s="34">
        <f>SUM(Z314:Z318)</f>
        <v>1677463</v>
      </c>
      <c r="AA319" s="5"/>
      <c r="AB319" s="34">
        <f t="shared" ref="AB319" si="50">SUM(AB314:AB318)</f>
        <v>0</v>
      </c>
      <c r="AC319" s="5"/>
      <c r="AD319" s="34"/>
      <c r="AF319" s="34">
        <f t="shared" si="49"/>
        <v>0</v>
      </c>
    </row>
    <row r="320" spans="1:32" ht="12">
      <c r="A320" s="24"/>
      <c r="B320" s="33"/>
      <c r="C320" s="17"/>
      <c r="D320" s="17"/>
      <c r="E320" s="17"/>
      <c r="F320" s="20">
        <v>300</v>
      </c>
      <c r="G320" s="5"/>
      <c r="I320" s="5"/>
      <c r="L320" s="5"/>
      <c r="M320" s="5"/>
      <c r="N320" s="5"/>
      <c r="O320" s="5"/>
      <c r="P320" s="5"/>
      <c r="Q320" s="5"/>
      <c r="R320" s="5"/>
      <c r="S320" s="5"/>
      <c r="T320" s="5"/>
      <c r="V320" s="5"/>
      <c r="X320" s="5"/>
      <c r="Z320" s="5"/>
      <c r="AA320" s="5"/>
      <c r="AB320" s="5"/>
      <c r="AC320" s="5"/>
      <c r="AD320" s="5"/>
      <c r="AF320" s="5"/>
    </row>
    <row r="321" spans="1:32" ht="12">
      <c r="A321" s="40" t="s">
        <v>471</v>
      </c>
      <c r="B321" s="17"/>
      <c r="C321" s="17"/>
      <c r="D321" s="17"/>
      <c r="E321" s="17"/>
      <c r="F321" s="30">
        <v>301</v>
      </c>
      <c r="G321" s="237"/>
      <c r="I321" s="237"/>
      <c r="L321" s="237"/>
      <c r="M321" s="5"/>
      <c r="N321" s="237"/>
      <c r="O321" s="5"/>
      <c r="P321" s="31">
        <v>-18188136</v>
      </c>
      <c r="Q321" s="5"/>
      <c r="R321" s="31"/>
      <c r="S321" s="5"/>
      <c r="T321" s="31"/>
      <c r="V321" s="31"/>
      <c r="X321" s="237"/>
      <c r="Z321" s="237">
        <v>-3354926</v>
      </c>
      <c r="AA321" s="5"/>
      <c r="AB321" s="31"/>
      <c r="AC321" s="5"/>
      <c r="AD321" s="31"/>
      <c r="AF321" s="31"/>
    </row>
    <row r="322" spans="1:32" ht="12">
      <c r="A322" s="40" t="s">
        <v>567</v>
      </c>
      <c r="B322" s="17"/>
      <c r="C322" s="17"/>
      <c r="D322" s="17"/>
      <c r="E322" s="133"/>
      <c r="F322" s="30">
        <v>302</v>
      </c>
      <c r="G322" s="237"/>
      <c r="I322" s="31"/>
      <c r="L322" s="31"/>
      <c r="M322" s="5"/>
      <c r="N322" s="31"/>
      <c r="O322" s="5"/>
      <c r="P322" s="31"/>
      <c r="Q322" s="5"/>
      <c r="R322" s="31"/>
      <c r="S322" s="5"/>
      <c r="T322" s="31"/>
      <c r="V322" s="31"/>
      <c r="X322" s="31"/>
      <c r="Z322" s="31"/>
      <c r="AA322" s="5"/>
      <c r="AB322" s="31"/>
      <c r="AC322" s="5"/>
      <c r="AD322" s="31"/>
      <c r="AF322" s="31"/>
    </row>
    <row r="323" spans="1:32" ht="12">
      <c r="A323" s="40" t="s">
        <v>567</v>
      </c>
      <c r="B323" s="17"/>
      <c r="C323" s="17"/>
      <c r="D323" s="17"/>
      <c r="E323" s="133"/>
      <c r="F323" s="20">
        <v>303</v>
      </c>
      <c r="G323" s="31"/>
      <c r="I323" s="31"/>
      <c r="L323" s="31"/>
      <c r="M323" s="5"/>
      <c r="N323" s="31"/>
      <c r="O323" s="5"/>
      <c r="P323" s="31"/>
      <c r="Q323" s="5"/>
      <c r="R323" s="31"/>
      <c r="S323" s="5"/>
      <c r="T323" s="31"/>
      <c r="V323" s="31"/>
      <c r="X323" s="31"/>
      <c r="Z323" s="31"/>
      <c r="AA323" s="5"/>
      <c r="AB323" s="31"/>
      <c r="AC323" s="5"/>
      <c r="AD323" s="31"/>
      <c r="AF323" s="31"/>
    </row>
    <row r="324" spans="1:32" ht="12">
      <c r="A324" s="40"/>
      <c r="B324" s="33" t="s">
        <v>494</v>
      </c>
      <c r="C324" s="17"/>
      <c r="D324" s="17"/>
      <c r="E324" s="17"/>
      <c r="F324" s="30">
        <v>304</v>
      </c>
      <c r="G324" s="34">
        <f>SUM(G321:G323)</f>
        <v>0</v>
      </c>
      <c r="I324" s="34">
        <f>SUM(I321:I323)</f>
        <v>0</v>
      </c>
      <c r="L324" s="34">
        <f>SUM(L321:L323)</f>
        <v>0</v>
      </c>
      <c r="M324" s="5"/>
      <c r="N324" s="34">
        <f>SUM(N321:N323)</f>
        <v>0</v>
      </c>
      <c r="O324" s="5"/>
      <c r="P324" s="34">
        <f>SUM(P321:P323)</f>
        <v>-18188136</v>
      </c>
      <c r="Q324" s="5"/>
      <c r="R324" s="34">
        <f t="shared" ref="R324:AF324" si="51">SUM(R321:R323)</f>
        <v>0</v>
      </c>
      <c r="S324" s="5"/>
      <c r="T324" s="34">
        <f t="shared" si="51"/>
        <v>0</v>
      </c>
      <c r="U324" s="5"/>
      <c r="V324" s="34">
        <f t="shared" si="51"/>
        <v>0</v>
      </c>
      <c r="W324" s="5"/>
      <c r="X324" s="34">
        <f>SUM(X321:X323)</f>
        <v>0</v>
      </c>
      <c r="Y324" s="5"/>
      <c r="Z324" s="34">
        <f>SUM(Z321:Z323)</f>
        <v>-3354926</v>
      </c>
      <c r="AA324" s="5"/>
      <c r="AB324" s="34">
        <f t="shared" ref="AB324" si="52">SUM(AB321:AB323)</f>
        <v>0</v>
      </c>
      <c r="AC324" s="5"/>
      <c r="AD324" s="34"/>
      <c r="AF324" s="34">
        <f t="shared" si="51"/>
        <v>0</v>
      </c>
    </row>
    <row r="325" spans="1:32" ht="12">
      <c r="A325" s="40"/>
      <c r="B325" s="17"/>
      <c r="C325" s="17"/>
      <c r="D325" s="17"/>
      <c r="E325" s="17"/>
      <c r="F325" s="30">
        <v>305</v>
      </c>
      <c r="G325" s="5"/>
      <c r="I325" s="5"/>
      <c r="L325" s="5"/>
      <c r="M325" s="5"/>
      <c r="N325" s="5"/>
      <c r="O325" s="5"/>
      <c r="P325" s="5"/>
      <c r="Q325" s="5"/>
      <c r="R325" s="5"/>
      <c r="S325" s="5"/>
      <c r="T325" s="5"/>
      <c r="V325" s="5"/>
      <c r="X325" s="5"/>
      <c r="Z325" s="5"/>
      <c r="AA325" s="5"/>
      <c r="AB325" s="5"/>
      <c r="AC325" s="5"/>
      <c r="AD325" s="5"/>
      <c r="AF325" s="5"/>
    </row>
    <row r="326" spans="1:32" ht="12">
      <c r="A326" s="17"/>
      <c r="B326" s="24" t="s">
        <v>495</v>
      </c>
      <c r="C326" s="17"/>
      <c r="D326" s="17"/>
      <c r="E326" s="17"/>
      <c r="F326" s="20">
        <v>306</v>
      </c>
      <c r="G326" s="34">
        <f>SUM(G311:G312)+G319+G324</f>
        <v>0</v>
      </c>
      <c r="I326" s="34">
        <f>SUM(I311:I312)+I319+I324</f>
        <v>498553</v>
      </c>
      <c r="L326" s="34">
        <f>SUM(L311:L312)+L319+L324</f>
        <v>0</v>
      </c>
      <c r="M326" s="5"/>
      <c r="N326" s="34">
        <f>SUM(N311:N312)+N319+N324</f>
        <v>0</v>
      </c>
      <c r="O326" s="5"/>
      <c r="P326" s="34">
        <f>SUM(P311:P312)+P319+P324</f>
        <v>-7315179</v>
      </c>
      <c r="Q326" s="5"/>
      <c r="R326" s="34">
        <f t="shared" ref="R326:V326" si="53">SUM(R311:R312)+R319+R324</f>
        <v>0</v>
      </c>
      <c r="S326" s="5"/>
      <c r="T326" s="34">
        <f t="shared" si="53"/>
        <v>0</v>
      </c>
      <c r="U326" s="5"/>
      <c r="V326" s="34">
        <f t="shared" si="53"/>
        <v>-316941</v>
      </c>
      <c r="W326" s="5"/>
      <c r="X326" s="34">
        <f>SUM(X311:X312)+X319+X324</f>
        <v>0</v>
      </c>
      <c r="Y326" s="5"/>
      <c r="Z326" s="34">
        <f>SUM(Z311:Z312)+Z319+Z324</f>
        <v>-24290263</v>
      </c>
      <c r="AA326" s="5"/>
      <c r="AB326" s="34">
        <f>SUM(AB311:AB312)+AB319+AB324</f>
        <v>-112066</v>
      </c>
      <c r="AC326" s="5"/>
      <c r="AD326" s="34"/>
      <c r="AF326" s="34">
        <f>SUM(AF311:AF312)+AF319+AF324</f>
        <v>0</v>
      </c>
    </row>
    <row r="327" spans="1:32" ht="12">
      <c r="A327" s="17"/>
      <c r="B327" s="40"/>
      <c r="C327" s="17"/>
      <c r="D327" s="17"/>
      <c r="E327" s="17"/>
      <c r="F327" s="30">
        <v>307</v>
      </c>
      <c r="G327" s="5"/>
      <c r="I327" s="5"/>
      <c r="L327" s="5"/>
      <c r="M327" s="5"/>
      <c r="N327" s="5"/>
      <c r="O327" s="5"/>
      <c r="P327" s="5"/>
      <c r="Q327" s="5"/>
      <c r="R327" s="5"/>
      <c r="S327" s="5"/>
      <c r="T327" s="5"/>
      <c r="V327" s="5"/>
      <c r="X327" s="5"/>
      <c r="Z327" s="5"/>
      <c r="AA327" s="5"/>
      <c r="AB327" s="5"/>
      <c r="AC327" s="5"/>
      <c r="AD327" s="5"/>
      <c r="AF327" s="5"/>
    </row>
    <row r="328" spans="1:32" ht="12">
      <c r="A328" s="17"/>
      <c r="B328" s="40"/>
      <c r="C328" s="17"/>
      <c r="D328" s="17"/>
      <c r="E328" s="17"/>
      <c r="F328" s="30">
        <v>308</v>
      </c>
      <c r="G328" s="5"/>
      <c r="I328" s="5"/>
      <c r="L328" s="5"/>
      <c r="M328" s="5"/>
      <c r="N328" s="5"/>
      <c r="O328" s="5"/>
      <c r="P328" s="5"/>
      <c r="Q328" s="5"/>
      <c r="R328" s="5"/>
      <c r="S328" s="5"/>
      <c r="T328" s="5"/>
      <c r="V328" s="5"/>
      <c r="X328" s="5"/>
      <c r="Z328" s="5"/>
      <c r="AA328" s="5"/>
      <c r="AB328" s="5"/>
      <c r="AC328" s="5"/>
      <c r="AD328" s="5"/>
      <c r="AF328" s="5"/>
    </row>
    <row r="329" spans="1:32">
      <c r="A329" s="1050"/>
      <c r="B329" s="1051"/>
      <c r="C329" s="1051"/>
      <c r="D329" s="1051"/>
      <c r="E329" s="18"/>
      <c r="F329" s="20">
        <v>309</v>
      </c>
      <c r="G329" s="5"/>
      <c r="I329" s="5"/>
      <c r="L329" s="5"/>
      <c r="M329" s="5"/>
      <c r="N329" s="5"/>
      <c r="O329" s="5"/>
      <c r="P329" s="5"/>
      <c r="Q329" s="5"/>
      <c r="R329" s="5"/>
      <c r="S329" s="5"/>
      <c r="T329" s="5"/>
      <c r="V329" s="5"/>
      <c r="X329" s="5"/>
      <c r="Z329" s="5"/>
      <c r="AA329" s="5"/>
      <c r="AB329" s="5"/>
      <c r="AC329" s="5"/>
      <c r="AD329" s="5"/>
      <c r="AF329" s="5"/>
    </row>
    <row r="330" spans="1:32" ht="12">
      <c r="A330" s="27"/>
      <c r="B330" s="18"/>
      <c r="C330" s="27"/>
      <c r="D330" s="27"/>
      <c r="E330" s="17"/>
      <c r="F330" s="30">
        <v>310</v>
      </c>
      <c r="G330" s="5"/>
      <c r="I330" s="5"/>
      <c r="L330" s="5"/>
      <c r="M330" s="5"/>
      <c r="N330" s="5"/>
      <c r="O330" s="5"/>
      <c r="P330" s="5"/>
      <c r="Q330" s="5"/>
      <c r="R330" s="5"/>
      <c r="S330" s="5"/>
      <c r="T330" s="5"/>
      <c r="V330" s="5"/>
      <c r="X330" s="5"/>
      <c r="Z330" s="5"/>
      <c r="AA330" s="5"/>
      <c r="AB330" s="5"/>
      <c r="AC330" s="5"/>
      <c r="AD330" s="5"/>
      <c r="AF330" s="5"/>
    </row>
    <row r="331" spans="1:32" ht="12">
      <c r="A331" s="27" t="str">
        <f>A279</f>
        <v>Statement of Cash Flows-Part 1</v>
      </c>
      <c r="B331" s="18"/>
      <c r="C331" s="27"/>
      <c r="D331" s="27"/>
      <c r="E331" s="27"/>
      <c r="F331" s="30">
        <v>311</v>
      </c>
      <c r="G331" s="5"/>
      <c r="I331" s="5"/>
      <c r="L331" s="5"/>
      <c r="M331" s="5"/>
      <c r="N331" s="5"/>
      <c r="O331" s="5"/>
      <c r="P331" s="5"/>
      <c r="Q331" s="41"/>
      <c r="R331" s="5"/>
      <c r="S331" s="41"/>
      <c r="T331" s="5"/>
      <c r="V331" s="5"/>
      <c r="X331" s="5"/>
      <c r="Z331" s="5"/>
      <c r="AA331" s="5"/>
      <c r="AB331" s="5"/>
      <c r="AC331" s="5"/>
      <c r="AD331" s="5"/>
      <c r="AF331" s="5"/>
    </row>
    <row r="332" spans="1:32" ht="9.75" customHeight="1">
      <c r="A332" s="29" t="str">
        <f>A280</f>
        <v>For the Year Ended June 30, 2023</v>
      </c>
      <c r="B332" s="39"/>
      <c r="C332" s="29"/>
      <c r="D332" s="29"/>
      <c r="E332" s="29"/>
      <c r="F332" s="20">
        <v>312</v>
      </c>
      <c r="G332" s="5"/>
      <c r="I332" s="5"/>
      <c r="L332" s="5"/>
      <c r="M332" s="5"/>
      <c r="N332" s="5"/>
      <c r="O332" s="5"/>
      <c r="P332" s="5"/>
      <c r="R332" s="5"/>
      <c r="T332" s="5"/>
      <c r="V332" s="5"/>
      <c r="X332" s="5"/>
      <c r="Z332" s="5"/>
      <c r="AA332" s="5"/>
      <c r="AB332" s="5"/>
      <c r="AC332" s="5"/>
      <c r="AD332" s="5"/>
      <c r="AF332" s="5"/>
    </row>
    <row r="333" spans="1:32" ht="12">
      <c r="A333" s="17"/>
      <c r="B333" s="40"/>
      <c r="C333" s="17"/>
      <c r="D333" s="17"/>
      <c r="E333" s="17"/>
      <c r="F333" s="30">
        <v>313</v>
      </c>
      <c r="G333" s="41"/>
      <c r="I333" s="41"/>
      <c r="L333" s="41"/>
      <c r="M333" s="41"/>
      <c r="N333" s="41"/>
      <c r="O333" s="41"/>
      <c r="P333" s="41"/>
      <c r="Q333" s="47"/>
      <c r="R333" s="41"/>
      <c r="S333" s="47"/>
      <c r="T333" s="41"/>
      <c r="V333" s="41"/>
      <c r="X333" s="41"/>
      <c r="Z333" s="41"/>
      <c r="AA333" s="41"/>
      <c r="AB333" s="41"/>
      <c r="AC333" s="41"/>
      <c r="AD333" s="41"/>
      <c r="AF333" s="41"/>
    </row>
    <row r="334" spans="1:32" ht="12">
      <c r="A334" s="17"/>
      <c r="B334" s="40"/>
      <c r="C334" s="17"/>
      <c r="D334" s="17"/>
      <c r="E334" s="17"/>
      <c r="F334" s="30">
        <v>314</v>
      </c>
      <c r="Q334" s="5"/>
      <c r="S334" s="5"/>
    </row>
    <row r="335" spans="1:32" ht="34.799999999999997">
      <c r="A335" s="39" t="s">
        <v>496</v>
      </c>
      <c r="B335" s="23"/>
      <c r="C335" s="23"/>
      <c r="D335" s="23"/>
      <c r="E335" s="23"/>
      <c r="F335" s="20">
        <v>315</v>
      </c>
      <c r="G335" s="16" t="str">
        <f>G21</f>
        <v>DGS - Property Management</v>
      </c>
      <c r="H335" s="16"/>
      <c r="I335" s="16" t="str">
        <f>I21</f>
        <v>DGS - General Services</v>
      </c>
      <c r="J335" s="16"/>
      <c r="L335" s="16" t="str">
        <f>L21</f>
        <v>VA Information Technologies Agency</v>
      </c>
      <c r="M335" s="16"/>
      <c r="N335" s="16" t="str">
        <f>N21</f>
        <v>Secretary of Administration</v>
      </c>
      <c r="O335" s="16"/>
      <c r="P335" s="16" t="str">
        <f>P21</f>
        <v>Enterprise Applications</v>
      </c>
      <c r="Q335" s="132"/>
      <c r="R335" s="16" t="str">
        <f>R21</f>
        <v>VA Correctional Enterprises</v>
      </c>
      <c r="S335" s="16"/>
      <c r="T335" s="16" t="str">
        <f>T21</f>
        <v>Health Insurance Fund</v>
      </c>
      <c r="U335" s="16"/>
      <c r="V335" s="16" t="str">
        <f>V21</f>
        <v>DGS - Fleet Management</v>
      </c>
      <c r="W335" s="16"/>
      <c r="X335" s="16" t="str">
        <f>X21</f>
        <v>Treasury - Risk Management</v>
      </c>
      <c r="Y335" s="16"/>
      <c r="Z335" s="16" t="str">
        <f>Z21</f>
        <v>DHRM - Risk Management</v>
      </c>
      <c r="AA335" s="36"/>
      <c r="AB335" s="16" t="str">
        <f>AB21</f>
        <v>DHRM - Line of Duty</v>
      </c>
      <c r="AC335" s="36"/>
      <c r="AD335" s="16"/>
      <c r="AF335" s="16" t="str">
        <f>AF21</f>
        <v>Payroll Service Bureau</v>
      </c>
    </row>
    <row r="336" spans="1:32" ht="12">
      <c r="A336" s="18"/>
      <c r="B336" s="17"/>
      <c r="C336" s="17"/>
      <c r="D336" s="17"/>
      <c r="E336" s="17"/>
      <c r="F336" s="30">
        <v>316</v>
      </c>
      <c r="G336" s="5"/>
      <c r="I336" s="5"/>
      <c r="L336" s="5"/>
      <c r="M336" s="5"/>
      <c r="N336" s="5"/>
      <c r="O336" s="5"/>
      <c r="P336" s="5"/>
      <c r="Q336" s="5"/>
      <c r="R336" s="5"/>
      <c r="S336" s="5"/>
      <c r="T336" s="5"/>
      <c r="V336" s="5"/>
      <c r="X336" s="5"/>
      <c r="Z336" s="5"/>
      <c r="AA336" s="5"/>
      <c r="AB336" s="5"/>
      <c r="AC336" s="5"/>
      <c r="AD336" s="5"/>
      <c r="AF336" s="5"/>
    </row>
    <row r="337" spans="1:32" ht="12">
      <c r="A337" s="24" t="s">
        <v>497</v>
      </c>
      <c r="B337" s="17"/>
      <c r="C337" s="17"/>
      <c r="D337" s="17"/>
      <c r="E337" s="17"/>
      <c r="F337" s="30">
        <v>317</v>
      </c>
      <c r="G337" s="31"/>
      <c r="I337" s="31">
        <v>-1266067</v>
      </c>
      <c r="L337" s="31"/>
      <c r="M337" s="5"/>
      <c r="N337" s="31"/>
      <c r="O337" s="5"/>
      <c r="P337" s="31">
        <v>-5361839</v>
      </c>
      <c r="Q337" s="5"/>
      <c r="R337" s="31">
        <v>-715386</v>
      </c>
      <c r="S337" s="5"/>
      <c r="T337" s="31"/>
      <c r="V337" s="31">
        <v>-4162208</v>
      </c>
      <c r="X337" s="31"/>
      <c r="Z337" s="31"/>
      <c r="AA337" s="5"/>
      <c r="AB337" s="31"/>
      <c r="AC337" s="5"/>
      <c r="AD337" s="31"/>
      <c r="AF337" s="31">
        <v>-2997</v>
      </c>
    </row>
    <row r="338" spans="1:32" ht="12">
      <c r="A338" s="24" t="s">
        <v>248</v>
      </c>
      <c r="B338" s="17"/>
      <c r="C338" s="17"/>
      <c r="D338" s="17"/>
      <c r="E338" s="17"/>
      <c r="F338" s="20">
        <v>318</v>
      </c>
      <c r="G338" s="237">
        <v>-53624084</v>
      </c>
      <c r="I338" s="31"/>
      <c r="L338" s="31">
        <v>-50993997</v>
      </c>
      <c r="M338" s="5"/>
      <c r="N338" s="31"/>
      <c r="O338" s="5"/>
      <c r="P338" s="31"/>
      <c r="Q338" s="5"/>
      <c r="R338" s="31">
        <v>-215806</v>
      </c>
      <c r="S338" s="5"/>
      <c r="T338" s="31"/>
      <c r="V338" s="31">
        <v>-6172940</v>
      </c>
      <c r="X338" s="237"/>
      <c r="Z338" s="237"/>
      <c r="AA338" s="5"/>
      <c r="AB338" s="31"/>
      <c r="AC338" s="5"/>
      <c r="AD338" s="31"/>
      <c r="AF338" s="31"/>
    </row>
    <row r="339" spans="1:32" ht="12">
      <c r="A339" s="24" t="s">
        <v>24</v>
      </c>
      <c r="B339" s="17"/>
      <c r="C339" s="17"/>
      <c r="D339" s="17"/>
      <c r="E339" s="17"/>
      <c r="F339" s="30">
        <v>319</v>
      </c>
      <c r="G339" s="31"/>
      <c r="I339" s="31"/>
      <c r="L339" s="31"/>
      <c r="M339" s="5"/>
      <c r="N339" s="31"/>
      <c r="O339" s="5"/>
      <c r="P339" s="31"/>
      <c r="Q339" s="5"/>
      <c r="R339" s="31">
        <v>0</v>
      </c>
      <c r="S339" s="5"/>
      <c r="T339" s="31"/>
      <c r="V339" s="31">
        <v>0</v>
      </c>
      <c r="X339" s="31"/>
      <c r="Z339" s="31"/>
      <c r="AA339" s="5"/>
      <c r="AB339" s="31"/>
      <c r="AC339" s="5"/>
      <c r="AD339" s="31"/>
      <c r="AF339" s="31"/>
    </row>
    <row r="340" spans="1:32" ht="12">
      <c r="A340" s="24" t="s">
        <v>25</v>
      </c>
      <c r="B340" s="17"/>
      <c r="C340" s="17"/>
      <c r="D340" s="17"/>
      <c r="E340" s="17"/>
      <c r="F340" s="30">
        <v>320</v>
      </c>
      <c r="G340" s="31"/>
      <c r="I340" s="31"/>
      <c r="L340" s="31"/>
      <c r="M340" s="5"/>
      <c r="N340" s="31"/>
      <c r="O340" s="5"/>
      <c r="P340" s="31"/>
      <c r="Q340" s="5"/>
      <c r="R340" s="31">
        <v>8814</v>
      </c>
      <c r="S340" s="5"/>
      <c r="T340" s="31"/>
      <c r="V340" s="31">
        <v>5378522</v>
      </c>
      <c r="X340" s="31"/>
      <c r="Z340" s="31"/>
      <c r="AA340" s="5"/>
      <c r="AB340" s="31"/>
      <c r="AC340" s="5"/>
      <c r="AD340" s="31"/>
      <c r="AF340" s="31"/>
    </row>
    <row r="341" spans="1:32" ht="12">
      <c r="A341" s="24"/>
      <c r="B341" s="17"/>
      <c r="C341" s="17"/>
      <c r="D341" s="17"/>
      <c r="E341" s="17"/>
      <c r="F341" s="20">
        <v>321</v>
      </c>
      <c r="G341" s="5"/>
      <c r="I341" s="5"/>
      <c r="L341" s="5"/>
      <c r="M341" s="5"/>
      <c r="N341" s="5"/>
      <c r="O341" s="5"/>
      <c r="P341" s="5"/>
      <c r="Q341" s="5"/>
      <c r="R341" s="5"/>
      <c r="S341" s="5"/>
      <c r="T341" s="5"/>
      <c r="V341" s="5"/>
      <c r="X341" s="5"/>
      <c r="Z341" s="5"/>
      <c r="AA341" s="5"/>
      <c r="AB341" s="5"/>
      <c r="AC341" s="5"/>
      <c r="AD341" s="5"/>
      <c r="AF341" s="5"/>
    </row>
    <row r="342" spans="1:32" ht="12">
      <c r="A342" s="40" t="s">
        <v>568</v>
      </c>
      <c r="B342" s="17"/>
      <c r="C342" s="17"/>
      <c r="D342" s="17"/>
      <c r="E342" s="133"/>
      <c r="F342" s="30">
        <v>322</v>
      </c>
      <c r="G342" s="31"/>
      <c r="I342" s="31"/>
      <c r="L342" s="31">
        <v>103</v>
      </c>
      <c r="M342" s="5"/>
      <c r="N342" s="31"/>
      <c r="O342" s="5"/>
      <c r="P342" s="31"/>
      <c r="Q342" s="5"/>
      <c r="R342" s="31"/>
      <c r="S342" s="5"/>
      <c r="T342" s="31"/>
      <c r="V342" s="31"/>
      <c r="X342" s="31"/>
      <c r="Z342" s="31"/>
      <c r="AA342" s="5"/>
      <c r="AB342" s="31"/>
      <c r="AC342" s="5"/>
      <c r="AD342" s="31"/>
      <c r="AF342" s="31"/>
    </row>
    <row r="343" spans="1:32" ht="12">
      <c r="A343" s="40" t="s">
        <v>568</v>
      </c>
      <c r="B343" s="17"/>
      <c r="C343" s="17"/>
      <c r="D343" s="17"/>
      <c r="E343" s="133"/>
      <c r="F343" s="30">
        <v>323</v>
      </c>
      <c r="G343" s="31"/>
      <c r="I343" s="31"/>
      <c r="L343" s="31"/>
      <c r="M343" s="5"/>
      <c r="N343" s="31"/>
      <c r="O343" s="5"/>
      <c r="P343" s="31"/>
      <c r="Q343" s="5"/>
      <c r="R343" s="31"/>
      <c r="S343" s="5"/>
      <c r="T343" s="31"/>
      <c r="V343" s="31"/>
      <c r="X343" s="31"/>
      <c r="Z343" s="31"/>
      <c r="AA343" s="5"/>
      <c r="AB343" s="31"/>
      <c r="AC343" s="5"/>
      <c r="AD343" s="31"/>
      <c r="AF343" s="31"/>
    </row>
    <row r="344" spans="1:32" ht="12">
      <c r="A344" s="24"/>
      <c r="B344" s="33" t="s">
        <v>26</v>
      </c>
      <c r="C344" s="17"/>
      <c r="D344" s="17"/>
      <c r="E344" s="17"/>
      <c r="F344" s="20">
        <v>324</v>
      </c>
      <c r="G344" s="34">
        <f>SUM(G342:G343)</f>
        <v>0</v>
      </c>
      <c r="I344" s="34">
        <f>SUM(I342:I343)</f>
        <v>0</v>
      </c>
      <c r="L344" s="34">
        <f>SUM(L342:L343)</f>
        <v>103</v>
      </c>
      <c r="M344" s="5"/>
      <c r="N344" s="34">
        <f>SUM(N342:N343)</f>
        <v>0</v>
      </c>
      <c r="O344" s="5"/>
      <c r="P344" s="34">
        <f>SUM(P342:P343)</f>
        <v>0</v>
      </c>
      <c r="Q344" s="5"/>
      <c r="R344" s="34">
        <f t="shared" ref="R344:AF344" si="54">SUM(R342:R343)</f>
        <v>0</v>
      </c>
      <c r="S344" s="5"/>
      <c r="T344" s="34">
        <f t="shared" si="54"/>
        <v>0</v>
      </c>
      <c r="U344" s="5"/>
      <c r="V344" s="34">
        <f t="shared" si="54"/>
        <v>0</v>
      </c>
      <c r="W344" s="5"/>
      <c r="X344" s="34">
        <f>SUM(X342:X343)</f>
        <v>0</v>
      </c>
      <c r="Y344" s="5"/>
      <c r="Z344" s="34">
        <f>SUM(Z342:Z343)</f>
        <v>0</v>
      </c>
      <c r="AA344" s="5"/>
      <c r="AB344" s="34">
        <f t="shared" ref="AB344" si="55">SUM(AB342:AB343)</f>
        <v>0</v>
      </c>
      <c r="AC344" s="5"/>
      <c r="AD344" s="34"/>
      <c r="AF344" s="34">
        <f t="shared" si="54"/>
        <v>0</v>
      </c>
    </row>
    <row r="345" spans="1:32" ht="12">
      <c r="A345" s="24"/>
      <c r="B345" s="17"/>
      <c r="C345" s="17"/>
      <c r="D345" s="17"/>
      <c r="E345" s="17"/>
      <c r="F345" s="30">
        <v>325</v>
      </c>
      <c r="G345" s="5"/>
      <c r="I345" s="5"/>
      <c r="L345" s="5"/>
      <c r="M345" s="5"/>
      <c r="N345" s="5"/>
      <c r="O345" s="5"/>
      <c r="P345" s="5"/>
      <c r="Q345" s="5"/>
      <c r="R345" s="5"/>
      <c r="S345" s="5"/>
      <c r="T345" s="5"/>
      <c r="V345" s="5"/>
      <c r="X345" s="5"/>
      <c r="Z345" s="5"/>
      <c r="AA345" s="5"/>
      <c r="AB345" s="5"/>
      <c r="AC345" s="5"/>
      <c r="AD345" s="5"/>
      <c r="AF345" s="5"/>
    </row>
    <row r="346" spans="1:32" ht="12">
      <c r="A346" s="24"/>
      <c r="B346" s="17"/>
      <c r="C346" s="17"/>
      <c r="D346" s="17"/>
      <c r="E346" s="17"/>
      <c r="F346" s="30">
        <v>326</v>
      </c>
      <c r="G346" s="5"/>
      <c r="I346" s="5"/>
      <c r="L346" s="5"/>
      <c r="M346" s="5"/>
      <c r="N346" s="5"/>
      <c r="O346" s="5"/>
      <c r="P346" s="5"/>
      <c r="Q346" s="5"/>
      <c r="R346" s="5"/>
      <c r="S346" s="5"/>
      <c r="T346" s="5"/>
      <c r="V346" s="5"/>
      <c r="X346" s="5"/>
      <c r="Z346" s="5"/>
      <c r="AA346" s="5"/>
      <c r="AB346" s="5"/>
      <c r="AC346" s="5"/>
      <c r="AD346" s="5"/>
      <c r="AF346" s="5"/>
    </row>
    <row r="347" spans="1:32" ht="12">
      <c r="A347" s="40" t="s">
        <v>569</v>
      </c>
      <c r="B347" s="17"/>
      <c r="C347" s="17"/>
      <c r="D347" s="17"/>
      <c r="E347" s="133"/>
      <c r="F347" s="20">
        <v>327</v>
      </c>
      <c r="G347" s="31"/>
      <c r="I347" s="237"/>
      <c r="L347" s="31"/>
      <c r="M347" s="5"/>
      <c r="N347" s="31"/>
      <c r="O347" s="5"/>
      <c r="P347" s="31"/>
      <c r="Q347" s="5"/>
      <c r="R347" s="31"/>
      <c r="S347" s="5"/>
      <c r="T347" s="31"/>
      <c r="V347" s="31"/>
      <c r="X347" s="31"/>
      <c r="Z347" s="31"/>
      <c r="AA347" s="5"/>
      <c r="AB347" s="31"/>
      <c r="AC347" s="5"/>
      <c r="AD347" s="31"/>
      <c r="AF347" s="31"/>
    </row>
    <row r="348" spans="1:32" ht="12">
      <c r="A348" s="40" t="s">
        <v>569</v>
      </c>
      <c r="B348" s="17"/>
      <c r="C348" s="17"/>
      <c r="D348" s="17"/>
      <c r="E348" s="133"/>
      <c r="F348" s="30">
        <v>328</v>
      </c>
      <c r="G348" s="31"/>
      <c r="I348" s="31"/>
      <c r="L348" s="31"/>
      <c r="M348" s="5"/>
      <c r="N348" s="31"/>
      <c r="O348" s="5"/>
      <c r="P348" s="31"/>
      <c r="Q348" s="5"/>
      <c r="R348" s="31"/>
      <c r="S348" s="5"/>
      <c r="T348" s="31"/>
      <c r="V348" s="31"/>
      <c r="X348" s="31"/>
      <c r="Z348" s="31"/>
      <c r="AA348" s="5"/>
      <c r="AB348" s="31"/>
      <c r="AC348" s="5"/>
      <c r="AD348" s="31"/>
      <c r="AF348" s="31"/>
    </row>
    <row r="349" spans="1:32" ht="12">
      <c r="A349" s="40"/>
      <c r="B349" s="33" t="s">
        <v>27</v>
      </c>
      <c r="C349" s="17"/>
      <c r="D349" s="17"/>
      <c r="E349" s="17"/>
      <c r="F349" s="30">
        <v>329</v>
      </c>
      <c r="G349" s="34">
        <f>SUM(G347:G348)</f>
        <v>0</v>
      </c>
      <c r="I349" s="34">
        <f>SUM(I347:I348)</f>
        <v>0</v>
      </c>
      <c r="L349" s="34">
        <f>SUM(L347:L348)</f>
        <v>0</v>
      </c>
      <c r="M349" s="5"/>
      <c r="N349" s="34">
        <f>SUM(N347:N348)</f>
        <v>0</v>
      </c>
      <c r="O349" s="5"/>
      <c r="P349" s="34">
        <f>SUM(P347:P348)</f>
        <v>0</v>
      </c>
      <c r="Q349" s="5"/>
      <c r="R349" s="34">
        <f t="shared" ref="R349:AF349" si="56">SUM(R347:R348)</f>
        <v>0</v>
      </c>
      <c r="S349" s="5"/>
      <c r="T349" s="34">
        <f t="shared" si="56"/>
        <v>0</v>
      </c>
      <c r="U349" s="5"/>
      <c r="V349" s="34">
        <f t="shared" si="56"/>
        <v>0</v>
      </c>
      <c r="W349" s="5"/>
      <c r="X349" s="34">
        <f>SUM(X347:X348)</f>
        <v>0</v>
      </c>
      <c r="Y349" s="5"/>
      <c r="Z349" s="34">
        <f>SUM(Z347:Z348)</f>
        <v>0</v>
      </c>
      <c r="AA349" s="5"/>
      <c r="AB349" s="34">
        <f t="shared" ref="AB349" si="57">SUM(AB347:AB348)</f>
        <v>0</v>
      </c>
      <c r="AC349" s="5"/>
      <c r="AD349" s="34"/>
      <c r="AF349" s="34">
        <f t="shared" si="56"/>
        <v>0</v>
      </c>
    </row>
    <row r="350" spans="1:32" ht="12">
      <c r="A350" s="40"/>
      <c r="B350" s="33"/>
      <c r="C350" s="17"/>
      <c r="D350" s="17"/>
      <c r="E350" s="17"/>
      <c r="F350" s="20">
        <v>330</v>
      </c>
      <c r="G350" s="5"/>
      <c r="I350" s="5"/>
      <c r="L350" s="5"/>
      <c r="M350" s="5"/>
      <c r="N350" s="5"/>
      <c r="O350" s="5"/>
      <c r="P350" s="5"/>
      <c r="Q350" s="5"/>
      <c r="R350" s="5"/>
      <c r="S350" s="5"/>
      <c r="T350" s="5"/>
      <c r="V350" s="5"/>
      <c r="X350" s="5"/>
      <c r="Z350" s="5"/>
      <c r="AA350" s="5"/>
      <c r="AB350" s="5"/>
      <c r="AC350" s="5"/>
      <c r="AD350" s="5"/>
      <c r="AF350" s="5"/>
    </row>
    <row r="351" spans="1:32" ht="12">
      <c r="A351" s="17"/>
      <c r="B351" s="24" t="s">
        <v>28</v>
      </c>
      <c r="C351" s="17"/>
      <c r="D351" s="17"/>
      <c r="E351" s="17"/>
      <c r="F351" s="30">
        <v>331</v>
      </c>
      <c r="G351" s="34">
        <f>SUM(G337:G340)+G344+G349</f>
        <v>-53624084</v>
      </c>
      <c r="I351" s="34">
        <f>SUM(I337:I340)+I344+I349</f>
        <v>-1266067</v>
      </c>
      <c r="L351" s="34">
        <f>SUM(L337:L340)+L344+L349</f>
        <v>-50993894</v>
      </c>
      <c r="M351" s="5"/>
      <c r="N351" s="34">
        <f>SUM(N337:N340)+N344+N349</f>
        <v>0</v>
      </c>
      <c r="O351" s="5"/>
      <c r="P351" s="34">
        <f>SUM(P337:P340)+P344+P349</f>
        <v>-5361839</v>
      </c>
      <c r="Q351" s="5"/>
      <c r="R351" s="34">
        <f t="shared" ref="R351:V351" si="58">SUM(R337:R340)+R344+R349</f>
        <v>-922378</v>
      </c>
      <c r="S351" s="5"/>
      <c r="T351" s="34">
        <f t="shared" si="58"/>
        <v>0</v>
      </c>
      <c r="U351" s="5"/>
      <c r="V351" s="34">
        <f t="shared" si="58"/>
        <v>-4956626</v>
      </c>
      <c r="W351" s="5"/>
      <c r="X351" s="34">
        <f>SUM(X337:X340)+X344+X349</f>
        <v>0</v>
      </c>
      <c r="Y351" s="5"/>
      <c r="Z351" s="34">
        <f>SUM(Z337:Z340)+Z344+Z349</f>
        <v>0</v>
      </c>
      <c r="AA351" s="5"/>
      <c r="AB351" s="34">
        <f>SUM(AB337:AB340)+AB344+AB349</f>
        <v>0</v>
      </c>
      <c r="AC351" s="5"/>
      <c r="AD351" s="34"/>
      <c r="AF351" s="34">
        <f>SUM(AF337:AF340)+AF344+AF349</f>
        <v>-2997</v>
      </c>
    </row>
    <row r="352" spans="1:32" ht="12">
      <c r="A352" s="17"/>
      <c r="B352" s="40"/>
      <c r="C352" s="17"/>
      <c r="D352" s="17"/>
      <c r="E352" s="17"/>
      <c r="F352" s="30">
        <v>332</v>
      </c>
      <c r="G352" s="5"/>
      <c r="I352" s="5"/>
      <c r="L352" s="5"/>
      <c r="M352" s="5"/>
      <c r="N352" s="5"/>
      <c r="O352" s="5"/>
      <c r="P352" s="5"/>
      <c r="Q352" s="5"/>
      <c r="R352" s="5"/>
      <c r="S352" s="5"/>
      <c r="T352" s="5"/>
      <c r="V352" s="5"/>
      <c r="X352" s="5"/>
      <c r="Z352" s="5"/>
      <c r="AA352" s="5"/>
      <c r="AB352" s="5"/>
      <c r="AC352" s="5"/>
      <c r="AD352" s="5"/>
      <c r="AF352" s="5"/>
    </row>
    <row r="353" spans="1:32" ht="12">
      <c r="A353" s="18" t="s">
        <v>29</v>
      </c>
      <c r="B353" s="17"/>
      <c r="C353" s="17"/>
      <c r="D353" s="17"/>
      <c r="E353" s="17"/>
      <c r="F353" s="20">
        <v>333</v>
      </c>
      <c r="G353" s="5"/>
      <c r="I353" s="5"/>
      <c r="L353" s="5"/>
      <c r="M353" s="5"/>
      <c r="N353" s="5"/>
      <c r="O353" s="5"/>
      <c r="P353" s="5"/>
      <c r="Q353" s="5"/>
      <c r="R353" s="5"/>
      <c r="S353" s="5"/>
      <c r="T353" s="5"/>
      <c r="V353" s="5"/>
      <c r="X353" s="5"/>
      <c r="Z353" s="5"/>
      <c r="AA353" s="5"/>
      <c r="AB353" s="5"/>
      <c r="AC353" s="5"/>
      <c r="AD353" s="5"/>
      <c r="AF353" s="5"/>
    </row>
    <row r="354" spans="1:32" ht="12">
      <c r="A354" s="24" t="s">
        <v>30</v>
      </c>
      <c r="B354" s="17"/>
      <c r="C354" s="17"/>
      <c r="D354" s="17"/>
      <c r="E354" s="17"/>
      <c r="F354" s="30">
        <v>334</v>
      </c>
      <c r="G354" s="31"/>
      <c r="I354" s="31"/>
      <c r="L354" s="31"/>
      <c r="M354" s="5"/>
      <c r="N354" s="31"/>
      <c r="O354" s="5"/>
      <c r="P354" s="31"/>
      <c r="Q354" s="5"/>
      <c r="R354" s="31"/>
      <c r="S354" s="5"/>
      <c r="T354" s="31"/>
      <c r="V354" s="31"/>
      <c r="X354" s="31"/>
      <c r="Z354" s="31"/>
      <c r="AA354" s="5"/>
      <c r="AB354" s="31"/>
      <c r="AC354" s="5"/>
      <c r="AD354" s="31"/>
      <c r="AF354" s="31"/>
    </row>
    <row r="355" spans="1:32" ht="12">
      <c r="A355" s="24" t="s">
        <v>31</v>
      </c>
      <c r="B355" s="17"/>
      <c r="C355" s="17"/>
      <c r="D355" s="17"/>
      <c r="E355" s="17"/>
      <c r="F355" s="30">
        <v>335</v>
      </c>
      <c r="G355" s="31"/>
      <c r="I355" s="31"/>
      <c r="L355" s="31"/>
      <c r="M355" s="5"/>
      <c r="N355" s="31"/>
      <c r="O355" s="5"/>
      <c r="P355" s="31"/>
      <c r="Q355" s="5"/>
      <c r="R355" s="31"/>
      <c r="S355" s="5"/>
      <c r="T355" s="31"/>
      <c r="V355" s="31"/>
      <c r="X355" s="31"/>
      <c r="Z355" s="31"/>
      <c r="AA355" s="5"/>
      <c r="AB355" s="31"/>
      <c r="AC355" s="5"/>
      <c r="AD355" s="31"/>
      <c r="AF355" s="31"/>
    </row>
    <row r="356" spans="1:32" ht="12">
      <c r="A356" s="24" t="s">
        <v>32</v>
      </c>
      <c r="B356" s="17"/>
      <c r="C356" s="17"/>
      <c r="D356" s="17"/>
      <c r="E356" s="17"/>
      <c r="F356" s="20">
        <v>336</v>
      </c>
      <c r="G356" s="31"/>
      <c r="I356" s="31"/>
      <c r="L356" s="31"/>
      <c r="M356" s="5"/>
      <c r="N356" s="31"/>
      <c r="O356" s="5"/>
      <c r="P356" s="31"/>
      <c r="Q356" s="5"/>
      <c r="R356" s="31"/>
      <c r="S356" s="5"/>
      <c r="T356" s="31">
        <v>10746143</v>
      </c>
      <c r="V356" s="31"/>
      <c r="X356" s="31">
        <v>2860590</v>
      </c>
      <c r="Z356" s="31">
        <v>2430878</v>
      </c>
      <c r="AA356" s="5"/>
      <c r="AB356" s="31">
        <v>29545</v>
      </c>
      <c r="AC356" s="5"/>
      <c r="AD356" s="31"/>
      <c r="AF356" s="31"/>
    </row>
    <row r="357" spans="1:32" ht="12">
      <c r="A357" s="17"/>
      <c r="B357" s="24" t="s">
        <v>33</v>
      </c>
      <c r="C357" s="17"/>
      <c r="D357" s="17"/>
      <c r="E357" s="17"/>
      <c r="F357" s="30">
        <v>337</v>
      </c>
      <c r="G357" s="34">
        <f>SUM(G354:G356)</f>
        <v>0</v>
      </c>
      <c r="I357" s="34">
        <f>SUM(I354:I356)</f>
        <v>0</v>
      </c>
      <c r="L357" s="34">
        <f>SUM(L354:L356)</f>
        <v>0</v>
      </c>
      <c r="M357" s="5"/>
      <c r="N357" s="34">
        <f>SUM(N354:N356)</f>
        <v>0</v>
      </c>
      <c r="O357" s="5"/>
      <c r="P357" s="34">
        <f>SUM(P354:P356)</f>
        <v>0</v>
      </c>
      <c r="Q357" s="5"/>
      <c r="R357" s="34">
        <f t="shared" ref="R357:AF357" si="59">SUM(R354:R356)</f>
        <v>0</v>
      </c>
      <c r="S357" s="5"/>
      <c r="T357" s="34">
        <f t="shared" si="59"/>
        <v>10746143</v>
      </c>
      <c r="U357" s="5"/>
      <c r="V357" s="34">
        <f t="shared" si="59"/>
        <v>0</v>
      </c>
      <c r="W357" s="5"/>
      <c r="X357" s="34">
        <f>SUM(X354:X356)</f>
        <v>2860590</v>
      </c>
      <c r="Y357" s="5"/>
      <c r="Z357" s="34">
        <f>SUM(Z354:Z356)</f>
        <v>2430878</v>
      </c>
      <c r="AA357" s="5"/>
      <c r="AB357" s="34">
        <f t="shared" ref="AB357" si="60">SUM(AB354:AB356)</f>
        <v>29545</v>
      </c>
      <c r="AC357" s="5"/>
      <c r="AD357" s="34"/>
      <c r="AF357" s="34">
        <f t="shared" si="59"/>
        <v>0</v>
      </c>
    </row>
    <row r="358" spans="1:32" ht="12">
      <c r="A358" s="24"/>
      <c r="B358" s="17"/>
      <c r="C358" s="17"/>
      <c r="D358" s="17"/>
      <c r="E358" s="17"/>
      <c r="F358" s="30">
        <v>338</v>
      </c>
      <c r="G358" s="5"/>
      <c r="I358" s="5"/>
      <c r="L358" s="5"/>
      <c r="M358" s="5"/>
      <c r="N358" s="5"/>
      <c r="O358" s="5"/>
      <c r="P358" s="5"/>
      <c r="Q358" s="5"/>
      <c r="R358" s="5"/>
      <c r="S358" s="5"/>
      <c r="T358" s="5"/>
      <c r="V358" s="5"/>
      <c r="X358" s="5"/>
      <c r="Z358" s="5"/>
      <c r="AA358" s="5"/>
      <c r="AB358" s="5"/>
      <c r="AC358" s="5"/>
      <c r="AD358" s="5"/>
      <c r="AF358" s="5"/>
    </row>
    <row r="359" spans="1:32" ht="12">
      <c r="A359" s="17"/>
      <c r="B359" s="17"/>
      <c r="C359" s="24" t="s">
        <v>34</v>
      </c>
      <c r="D359" s="17"/>
      <c r="E359" s="17"/>
      <c r="F359" s="20">
        <v>339</v>
      </c>
      <c r="G359" s="34">
        <f>G357+G351+G326+G308</f>
        <v>-6669998</v>
      </c>
      <c r="I359" s="34">
        <f>I357+I351+I326+I308</f>
        <v>3255065</v>
      </c>
      <c r="L359" s="34">
        <f>L357+L351+L326+L308</f>
        <v>-61844965</v>
      </c>
      <c r="M359" s="5"/>
      <c r="N359" s="34">
        <f>N357+N351+N326+N308</f>
        <v>1237552</v>
      </c>
      <c r="O359" s="5"/>
      <c r="P359" s="34">
        <f>P357+P351+P326+P308</f>
        <v>13344160</v>
      </c>
      <c r="Q359" s="5"/>
      <c r="R359" s="34">
        <f t="shared" ref="R359:V359" si="61">R357+R351+R326+R308</f>
        <v>-1776153</v>
      </c>
      <c r="S359" s="5"/>
      <c r="T359" s="34">
        <f t="shared" si="61"/>
        <v>-27226212</v>
      </c>
      <c r="U359" s="5"/>
      <c r="V359" s="34">
        <f t="shared" si="61"/>
        <v>5029752</v>
      </c>
      <c r="W359" s="5"/>
      <c r="X359" s="34">
        <f>X357+X351+X326+X308</f>
        <v>2573278</v>
      </c>
      <c r="Y359" s="5"/>
      <c r="Z359" s="34">
        <f>Z357+Z351+Z326+Z308</f>
        <v>-14992712</v>
      </c>
      <c r="AA359" s="5"/>
      <c r="AB359" s="34">
        <f>AB357+AB351+AB326+AB308</f>
        <v>-747894</v>
      </c>
      <c r="AC359" s="5"/>
      <c r="AD359" s="34"/>
      <c r="AF359" s="34">
        <f>AF357+AF351+AF326+AF308</f>
        <v>218686</v>
      </c>
    </row>
    <row r="360" spans="1:32" ht="12">
      <c r="A360" s="48" t="s">
        <v>451</v>
      </c>
      <c r="B360" s="17"/>
      <c r="C360" s="17"/>
      <c r="D360" s="17"/>
      <c r="E360" s="17"/>
      <c r="F360" s="30">
        <v>340</v>
      </c>
      <c r="G360" s="42">
        <v>41089162</v>
      </c>
      <c r="I360" s="42">
        <v>5261435</v>
      </c>
      <c r="L360" s="42">
        <v>150552128</v>
      </c>
      <c r="M360" s="5"/>
      <c r="N360" s="42">
        <v>2301700</v>
      </c>
      <c r="O360" s="5"/>
      <c r="P360" s="31">
        <v>7780010</v>
      </c>
      <c r="R360" s="31">
        <v>6718319</v>
      </c>
      <c r="T360" s="31">
        <v>525476068</v>
      </c>
      <c r="V360" s="42">
        <v>4729423</v>
      </c>
      <c r="X360" s="42">
        <v>152883220</v>
      </c>
      <c r="Z360" s="42">
        <v>145572080</v>
      </c>
      <c r="AA360" s="5"/>
      <c r="AB360" s="42">
        <v>1750909</v>
      </c>
      <c r="AC360" s="5"/>
      <c r="AD360" s="42"/>
      <c r="AF360" s="42">
        <v>288438</v>
      </c>
    </row>
    <row r="361" spans="1:32" ht="12.6" thickBot="1">
      <c r="A361" s="48" t="s">
        <v>8</v>
      </c>
      <c r="B361" s="17"/>
      <c r="C361" s="17"/>
      <c r="D361" s="17"/>
      <c r="E361" s="17"/>
      <c r="F361" s="30">
        <v>341</v>
      </c>
      <c r="G361" s="38">
        <f>SUM(G359:G360)</f>
        <v>34419164</v>
      </c>
      <c r="I361" s="38">
        <f>SUM(I359:I360)</f>
        <v>8516500</v>
      </c>
      <c r="L361" s="38">
        <f>SUM(L359:L360)</f>
        <v>88707163</v>
      </c>
      <c r="M361" s="5"/>
      <c r="N361" s="38">
        <f>SUM(N359:N360)</f>
        <v>3539252</v>
      </c>
      <c r="O361" s="5"/>
      <c r="P361" s="38">
        <f>SUM(P359:P360)</f>
        <v>21124170</v>
      </c>
      <c r="Q361" s="5"/>
      <c r="R361" s="38">
        <f t="shared" ref="R361:AF361" si="62">SUM(R359:R360)</f>
        <v>4942166</v>
      </c>
      <c r="S361" s="5"/>
      <c r="T361" s="38">
        <f t="shared" si="62"/>
        <v>498249856</v>
      </c>
      <c r="U361" s="5"/>
      <c r="V361" s="38">
        <f t="shared" si="62"/>
        <v>9759175</v>
      </c>
      <c r="W361" s="5"/>
      <c r="X361" s="38">
        <f>SUM(X359:X360)</f>
        <v>155456498</v>
      </c>
      <c r="Y361" s="5"/>
      <c r="Z361" s="38">
        <f>SUM(Z359:Z360)</f>
        <v>130579368</v>
      </c>
      <c r="AA361" s="5"/>
      <c r="AB361" s="38">
        <f t="shared" ref="AB361" si="63">SUM(AB359:AB360)</f>
        <v>1003015</v>
      </c>
      <c r="AC361" s="5"/>
      <c r="AD361" s="38"/>
      <c r="AF361" s="38">
        <f t="shared" si="62"/>
        <v>507124</v>
      </c>
    </row>
    <row r="362" spans="1:32" ht="12.6" thickTop="1">
      <c r="A362" s="18"/>
      <c r="B362" s="17"/>
      <c r="C362" s="17"/>
      <c r="D362" s="17"/>
      <c r="E362" s="17"/>
      <c r="F362" s="20">
        <v>342</v>
      </c>
      <c r="G362" s="5"/>
      <c r="I362" s="5"/>
      <c r="L362" s="5"/>
      <c r="M362" s="5"/>
      <c r="N362" s="5"/>
      <c r="O362" s="5"/>
      <c r="P362" s="5"/>
      <c r="R362" s="5"/>
      <c r="T362" s="5"/>
      <c r="V362" s="5"/>
      <c r="X362" s="5"/>
      <c r="Z362" s="5"/>
      <c r="AA362" s="5"/>
      <c r="AB362" s="5"/>
      <c r="AC362" s="5"/>
      <c r="AD362" s="5"/>
      <c r="AF362" s="5"/>
    </row>
    <row r="363" spans="1:32" ht="12">
      <c r="A363" s="17"/>
      <c r="B363" s="17"/>
      <c r="C363" s="17"/>
      <c r="D363" s="17"/>
      <c r="E363" s="17"/>
      <c r="F363" s="30">
        <v>343</v>
      </c>
      <c r="G363" s="78"/>
      <c r="I363" s="78"/>
      <c r="L363" s="78"/>
      <c r="M363" s="78"/>
      <c r="N363" s="78"/>
      <c r="O363" s="78"/>
      <c r="P363" s="78"/>
      <c r="Q363" s="5"/>
      <c r="R363" s="78"/>
      <c r="S363" s="5"/>
      <c r="T363" s="78"/>
      <c r="V363" s="78"/>
      <c r="X363" s="78"/>
      <c r="Z363" s="78"/>
      <c r="AA363" s="78"/>
      <c r="AB363" s="78"/>
      <c r="AC363" s="78"/>
      <c r="AD363" s="78"/>
      <c r="AF363" s="78"/>
    </row>
    <row r="364" spans="1:32" ht="12">
      <c r="A364" s="48" t="s">
        <v>464</v>
      </c>
      <c r="B364" s="17"/>
      <c r="C364" s="17"/>
      <c r="D364" s="17"/>
      <c r="E364" s="17"/>
      <c r="F364" s="30">
        <v>344</v>
      </c>
      <c r="G364" s="5"/>
      <c r="I364" s="5"/>
      <c r="L364" s="5"/>
      <c r="M364" s="5"/>
      <c r="N364" s="5"/>
      <c r="O364" s="5"/>
      <c r="P364" s="5"/>
      <c r="Q364" s="5"/>
      <c r="R364" s="5"/>
      <c r="S364" s="5"/>
      <c r="T364" s="5"/>
      <c r="V364" s="5"/>
      <c r="X364" s="5"/>
      <c r="Z364" s="5"/>
      <c r="AA364" s="5"/>
      <c r="AB364" s="5"/>
      <c r="AC364" s="5"/>
      <c r="AD364" s="5"/>
      <c r="AF364" s="5"/>
    </row>
    <row r="365" spans="1:32">
      <c r="A365" s="40"/>
      <c r="B365" s="17"/>
      <c r="C365" s="33" t="s">
        <v>465</v>
      </c>
      <c r="E365" s="17"/>
      <c r="F365" s="20">
        <v>345</v>
      </c>
      <c r="G365" s="5">
        <f>G28</f>
        <v>34419164</v>
      </c>
      <c r="I365" s="5">
        <f>I28</f>
        <v>8516200</v>
      </c>
      <c r="L365" s="5">
        <f>L28</f>
        <v>88707163</v>
      </c>
      <c r="M365" s="5"/>
      <c r="N365" s="5">
        <f>N28</f>
        <v>3539252</v>
      </c>
      <c r="O365" s="5"/>
      <c r="P365" s="5">
        <f>P28</f>
        <v>21124170</v>
      </c>
      <c r="Q365" s="5"/>
      <c r="R365" s="5">
        <f>R28</f>
        <v>4942166</v>
      </c>
      <c r="S365" s="5"/>
      <c r="T365" s="5">
        <f>T28</f>
        <v>547649177</v>
      </c>
      <c r="U365" s="5"/>
      <c r="V365" s="5">
        <f>V28</f>
        <v>9759175</v>
      </c>
      <c r="W365" s="5"/>
      <c r="X365" s="5">
        <f>X28</f>
        <v>170869337</v>
      </c>
      <c r="Y365" s="5"/>
      <c r="Z365" s="5">
        <f>Z28</f>
        <v>143327457</v>
      </c>
      <c r="AA365" s="5"/>
      <c r="AB365" s="5">
        <f>AB28</f>
        <v>1102513</v>
      </c>
      <c r="AC365" s="5"/>
      <c r="AD365" s="5"/>
      <c r="AF365" s="5">
        <f>AF28</f>
        <v>507124</v>
      </c>
    </row>
    <row r="366" spans="1:32">
      <c r="A366" s="40"/>
      <c r="B366" s="17"/>
      <c r="C366" s="33" t="s">
        <v>466</v>
      </c>
      <c r="E366" s="17"/>
      <c r="F366" s="30">
        <v>346</v>
      </c>
      <c r="G366" s="5">
        <f>G50</f>
        <v>0</v>
      </c>
      <c r="I366" s="5">
        <f>I50</f>
        <v>300</v>
      </c>
      <c r="L366" s="5">
        <f>L50</f>
        <v>0</v>
      </c>
      <c r="M366" s="5"/>
      <c r="N366" s="5">
        <f>N50</f>
        <v>0</v>
      </c>
      <c r="O366" s="5"/>
      <c r="P366" s="5">
        <f>P50</f>
        <v>0</v>
      </c>
      <c r="Q366" s="5"/>
      <c r="R366" s="5">
        <f>R50</f>
        <v>0</v>
      </c>
      <c r="S366" s="5"/>
      <c r="T366" s="5">
        <f>T50</f>
        <v>0</v>
      </c>
      <c r="U366" s="5"/>
      <c r="V366" s="5">
        <f>V50</f>
        <v>0</v>
      </c>
      <c r="W366" s="5"/>
      <c r="X366" s="5">
        <f>X50</f>
        <v>0</v>
      </c>
      <c r="Y366" s="5"/>
      <c r="Z366" s="5">
        <f>Z50</f>
        <v>0</v>
      </c>
      <c r="AA366" s="5"/>
      <c r="AB366" s="5">
        <f>AB50</f>
        <v>0</v>
      </c>
      <c r="AC366" s="5"/>
      <c r="AD366" s="5"/>
      <c r="AF366" s="5">
        <f>AF50</f>
        <v>0</v>
      </c>
    </row>
    <row r="367" spans="1:32" ht="12">
      <c r="A367" s="40"/>
      <c r="B367" s="17"/>
      <c r="C367" s="17" t="s">
        <v>327</v>
      </c>
      <c r="D367" s="33"/>
      <c r="E367" s="17"/>
      <c r="F367" s="30">
        <v>347</v>
      </c>
      <c r="G367" s="5"/>
      <c r="I367" s="5"/>
      <c r="L367" s="5"/>
      <c r="M367" s="5"/>
      <c r="N367" s="5"/>
      <c r="O367" s="5"/>
      <c r="P367" s="5"/>
      <c r="Q367" s="5"/>
      <c r="R367" s="5"/>
      <c r="S367" s="5"/>
      <c r="T367" s="5"/>
      <c r="U367" s="5"/>
      <c r="V367" s="5"/>
      <c r="W367" s="5"/>
      <c r="X367" s="5"/>
      <c r="Y367" s="5"/>
      <c r="Z367" s="5"/>
      <c r="AA367" s="5"/>
      <c r="AB367" s="5"/>
      <c r="AC367" s="5"/>
      <c r="AD367" s="5"/>
      <c r="AF367" s="5"/>
    </row>
    <row r="368" spans="1:32" ht="12">
      <c r="A368" s="40"/>
      <c r="B368" s="17"/>
      <c r="C368" s="17"/>
      <c r="D368" s="33" t="s">
        <v>326</v>
      </c>
      <c r="E368" s="17"/>
      <c r="F368" s="20">
        <v>348</v>
      </c>
      <c r="G368" s="5">
        <f>-G25</f>
        <v>0</v>
      </c>
      <c r="I368" s="5">
        <f>-I25</f>
        <v>0</v>
      </c>
      <c r="L368" s="5">
        <f>-L25</f>
        <v>0</v>
      </c>
      <c r="M368" s="5"/>
      <c r="N368" s="5">
        <f>-N25</f>
        <v>0</v>
      </c>
      <c r="O368" s="5"/>
      <c r="P368" s="5">
        <f>-P25</f>
        <v>0</v>
      </c>
      <c r="Q368" s="5"/>
      <c r="R368" s="5">
        <f>-R25</f>
        <v>0</v>
      </c>
      <c r="S368" s="5"/>
      <c r="T368" s="5">
        <f>-T25</f>
        <v>-49399321</v>
      </c>
      <c r="U368" s="5"/>
      <c r="V368" s="5">
        <f>-V25</f>
        <v>0</v>
      </c>
      <c r="W368" s="5"/>
      <c r="X368" s="5">
        <f>-X25</f>
        <v>-15412839</v>
      </c>
      <c r="Y368" s="5"/>
      <c r="Z368" s="5">
        <f>-Z25</f>
        <v>-12748089</v>
      </c>
      <c r="AA368" s="5"/>
      <c r="AB368" s="5">
        <f>-AB25</f>
        <v>-99498</v>
      </c>
      <c r="AC368" s="5"/>
      <c r="AD368" s="5"/>
      <c r="AF368" s="5">
        <f>-AF25</f>
        <v>0</v>
      </c>
    </row>
    <row r="369" spans="1:32" ht="12.6" thickBot="1">
      <c r="A369" s="40"/>
      <c r="B369" s="17"/>
      <c r="C369" s="17"/>
      <c r="D369" s="17"/>
      <c r="E369" s="20" t="s">
        <v>67</v>
      </c>
      <c r="F369" s="30">
        <v>349</v>
      </c>
      <c r="G369" s="38">
        <f>SUM(G365:G368)</f>
        <v>34419164</v>
      </c>
      <c r="I369" s="38">
        <f>SUM(I365:I368)</f>
        <v>8516500</v>
      </c>
      <c r="L369" s="38">
        <f>SUM(L365:L368)</f>
        <v>88707163</v>
      </c>
      <c r="M369" s="5"/>
      <c r="N369" s="38">
        <f>SUM(N365:N368)</f>
        <v>3539252</v>
      </c>
      <c r="O369" s="5"/>
      <c r="P369" s="38">
        <f>SUM(P365:P368)</f>
        <v>21124170</v>
      </c>
      <c r="Q369" s="5"/>
      <c r="R369" s="38">
        <f t="shared" ref="R369:AF369" si="64">SUM(R365:R368)</f>
        <v>4942166</v>
      </c>
      <c r="S369" s="5"/>
      <c r="T369" s="38">
        <f t="shared" si="64"/>
        <v>498249856</v>
      </c>
      <c r="U369" s="5"/>
      <c r="V369" s="38">
        <f t="shared" si="64"/>
        <v>9759175</v>
      </c>
      <c r="W369" s="5"/>
      <c r="X369" s="38">
        <f t="shared" si="64"/>
        <v>155456498</v>
      </c>
      <c r="Y369" s="5"/>
      <c r="Z369" s="38">
        <f t="shared" ref="Z369" si="65">SUM(Z365:Z368)</f>
        <v>130579368</v>
      </c>
      <c r="AA369" s="5"/>
      <c r="AB369" s="38">
        <f t="shared" ref="AB369" si="66">SUM(AB365:AB368)</f>
        <v>1003015</v>
      </c>
      <c r="AC369" s="5"/>
      <c r="AD369" s="38"/>
      <c r="AF369" s="38">
        <f t="shared" si="64"/>
        <v>507124</v>
      </c>
    </row>
    <row r="370" spans="1:32" ht="12.6" thickTop="1">
      <c r="A370" s="40"/>
      <c r="B370" s="531" t="s">
        <v>3460</v>
      </c>
      <c r="C370" s="17"/>
      <c r="D370" s="17"/>
      <c r="E370" s="17"/>
      <c r="F370" s="30">
        <v>350</v>
      </c>
      <c r="G370" s="530">
        <f>G359+G360-G28+G25-G50</f>
        <v>0</v>
      </c>
      <c r="I370" s="530">
        <f>I359+I360-I28+I25-I50</f>
        <v>0</v>
      </c>
      <c r="L370" s="530">
        <f>L359+L360-L28+L25-L50</f>
        <v>0</v>
      </c>
      <c r="N370" s="530">
        <f>N359+N360-N28+N25-N50</f>
        <v>0</v>
      </c>
      <c r="P370" s="530">
        <f>P359+P360-P28+P25-P50</f>
        <v>0</v>
      </c>
      <c r="R370" s="530">
        <f>R359+R360-R28+R25-R50</f>
        <v>0</v>
      </c>
      <c r="T370" s="530">
        <f>T359+T360-T28+T25-T50</f>
        <v>0</v>
      </c>
      <c r="V370" s="530">
        <f>V359+V360-V28+V25-V50</f>
        <v>0</v>
      </c>
      <c r="X370" s="530">
        <f>X359+X360-X28+X25-X50</f>
        <v>0</v>
      </c>
      <c r="Z370" s="530">
        <f>Z359+Z360-Z28+Z25-Z50</f>
        <v>0</v>
      </c>
      <c r="AB370" s="530">
        <f>AB359+AB360-AB28+AB25-AB50</f>
        <v>0</v>
      </c>
      <c r="AD370" s="530"/>
      <c r="AF370" s="530">
        <f>AF359+AF360-AF28+AF25-AF50</f>
        <v>0</v>
      </c>
    </row>
    <row r="371" spans="1:32" ht="12">
      <c r="A371" s="40"/>
      <c r="B371" s="17"/>
      <c r="C371" s="17"/>
      <c r="D371" s="17"/>
      <c r="E371" s="17"/>
      <c r="F371" s="20">
        <v>351</v>
      </c>
    </row>
    <row r="372" spans="1:32">
      <c r="A372" s="1050"/>
      <c r="B372" s="1051"/>
      <c r="C372" s="1051"/>
      <c r="D372" s="1051"/>
      <c r="E372" s="18"/>
      <c r="F372" s="30">
        <v>352</v>
      </c>
    </row>
    <row r="373" spans="1:32" ht="12">
      <c r="A373" s="18"/>
      <c r="B373" s="27"/>
      <c r="C373" s="27"/>
      <c r="D373" s="27"/>
      <c r="E373" s="17"/>
      <c r="F373" s="30">
        <v>353</v>
      </c>
    </row>
    <row r="374" spans="1:32" ht="15" customHeight="1">
      <c r="A374" s="18" t="s">
        <v>11</v>
      </c>
      <c r="B374" s="27"/>
      <c r="C374" s="27"/>
      <c r="D374" s="27"/>
      <c r="E374" s="27"/>
      <c r="F374" s="20">
        <v>354</v>
      </c>
      <c r="Q374" s="21"/>
      <c r="S374" s="21"/>
    </row>
    <row r="375" spans="1:32" ht="12">
      <c r="A375" s="39" t="str">
        <f>A332</f>
        <v>For the Year Ended June 30, 2023</v>
      </c>
      <c r="B375" s="29"/>
      <c r="C375" s="29"/>
      <c r="D375" s="29"/>
      <c r="E375" s="29"/>
      <c r="F375" s="30">
        <v>355</v>
      </c>
    </row>
    <row r="376" spans="1:32" ht="12">
      <c r="A376" s="27"/>
      <c r="B376" s="17"/>
      <c r="C376" s="17"/>
      <c r="D376" s="17"/>
      <c r="E376" s="17"/>
      <c r="F376" s="30">
        <v>356</v>
      </c>
      <c r="G376" s="21"/>
      <c r="I376" s="21"/>
      <c r="L376" s="21"/>
      <c r="M376" s="21"/>
      <c r="N376" s="21"/>
      <c r="O376" s="21"/>
      <c r="P376" s="21"/>
      <c r="Q376" s="26"/>
      <c r="R376" s="21"/>
      <c r="S376" s="26"/>
      <c r="T376" s="21"/>
      <c r="V376" s="21"/>
      <c r="X376" s="21"/>
      <c r="Z376" s="21"/>
      <c r="AA376" s="21"/>
      <c r="AB376" s="21"/>
      <c r="AC376" s="21"/>
      <c r="AD376" s="21"/>
      <c r="AF376" s="21"/>
    </row>
    <row r="377" spans="1:32" ht="12">
      <c r="A377" s="18" t="s">
        <v>35</v>
      </c>
      <c r="B377" s="17"/>
      <c r="C377" s="17"/>
      <c r="D377" s="17"/>
      <c r="E377" s="17"/>
      <c r="F377" s="20">
        <v>357</v>
      </c>
    </row>
    <row r="378" spans="1:32" ht="34.799999999999997">
      <c r="A378" s="39" t="s">
        <v>36</v>
      </c>
      <c r="B378" s="23"/>
      <c r="C378" s="23"/>
      <c r="D378" s="23"/>
      <c r="E378" s="23"/>
      <c r="F378" s="30">
        <v>358</v>
      </c>
      <c r="G378" s="16" t="str">
        <f>G21</f>
        <v>DGS - Property Management</v>
      </c>
      <c r="H378" s="16"/>
      <c r="I378" s="16" t="str">
        <f>I21</f>
        <v>DGS - General Services</v>
      </c>
      <c r="J378" s="16"/>
      <c r="L378" s="16" t="str">
        <f>L21</f>
        <v>VA Information Technologies Agency</v>
      </c>
      <c r="M378" s="16"/>
      <c r="N378" s="16" t="str">
        <f>N21</f>
        <v>Secretary of Administration</v>
      </c>
      <c r="O378" s="16"/>
      <c r="P378" s="16" t="str">
        <f>P21</f>
        <v>Enterprise Applications</v>
      </c>
      <c r="Q378" s="132"/>
      <c r="R378" s="16" t="str">
        <f>R21</f>
        <v>VA Correctional Enterprises</v>
      </c>
      <c r="S378" s="16"/>
      <c r="T378" s="16" t="str">
        <f>T21</f>
        <v>Health Insurance Fund</v>
      </c>
      <c r="U378" s="16"/>
      <c r="V378" s="16" t="str">
        <f>V21</f>
        <v>DGS - Fleet Management</v>
      </c>
      <c r="W378" s="16"/>
      <c r="X378" s="16" t="str">
        <f>X21</f>
        <v>Treasury - Risk Management</v>
      </c>
      <c r="Y378" s="16"/>
      <c r="Z378" s="16" t="str">
        <f>Z21</f>
        <v>DHRM - Risk Management</v>
      </c>
      <c r="AA378" s="36"/>
      <c r="AB378" s="16" t="str">
        <f>AB21</f>
        <v>DHRM - Line of Duty</v>
      </c>
      <c r="AC378" s="36"/>
      <c r="AD378" s="16"/>
      <c r="AF378" s="16" t="str">
        <f>AF21</f>
        <v>Payroll Service Bureau</v>
      </c>
    </row>
    <row r="379" spans="1:32" ht="12">
      <c r="A379" s="18"/>
      <c r="B379" s="17"/>
      <c r="C379" s="17"/>
      <c r="D379" s="17"/>
      <c r="E379" s="17"/>
      <c r="F379" s="30">
        <v>359</v>
      </c>
      <c r="Q379" s="5"/>
      <c r="S379" s="5"/>
    </row>
    <row r="380" spans="1:32" ht="12">
      <c r="A380" s="17"/>
      <c r="B380" s="24" t="s">
        <v>671</v>
      </c>
      <c r="C380" s="17"/>
      <c r="D380" s="17"/>
      <c r="E380" s="17"/>
      <c r="F380" s="20">
        <v>360</v>
      </c>
      <c r="G380" s="5">
        <f>G248</f>
        <v>12840285</v>
      </c>
      <c r="I380" s="5">
        <f>I248</f>
        <v>3314617</v>
      </c>
      <c r="L380" s="5">
        <f>L248</f>
        <v>-19767566</v>
      </c>
      <c r="M380" s="5"/>
      <c r="N380" s="5">
        <f>N248</f>
        <v>1105600</v>
      </c>
      <c r="O380" s="5"/>
      <c r="P380" s="5">
        <f>P248</f>
        <v>10890686</v>
      </c>
      <c r="Q380" s="5"/>
      <c r="R380" s="5">
        <f t="shared" ref="R380:Z380" si="67">R248</f>
        <v>3577617</v>
      </c>
      <c r="S380" s="5"/>
      <c r="T380" s="5">
        <f t="shared" si="67"/>
        <v>-41975506</v>
      </c>
      <c r="U380" s="5"/>
      <c r="V380" s="5">
        <f t="shared" si="67"/>
        <v>-906440</v>
      </c>
      <c r="W380" s="5"/>
      <c r="X380" s="5">
        <f t="shared" si="67"/>
        <v>-21174328</v>
      </c>
      <c r="Y380" s="5"/>
      <c r="Z380" s="5">
        <f t="shared" si="67"/>
        <v>91183711</v>
      </c>
      <c r="AA380" s="5"/>
      <c r="AB380" s="5">
        <f>AB248</f>
        <v>-633175</v>
      </c>
      <c r="AC380" s="5"/>
      <c r="AD380" s="5"/>
      <c r="AF380" s="5">
        <f>AF248</f>
        <v>180251</v>
      </c>
    </row>
    <row r="381" spans="1:32" ht="12">
      <c r="A381" s="17"/>
      <c r="B381" s="17"/>
      <c r="C381" s="18" t="s">
        <v>37</v>
      </c>
      <c r="D381" s="17"/>
      <c r="E381" s="17"/>
      <c r="F381" s="30">
        <v>361</v>
      </c>
      <c r="G381" s="5"/>
      <c r="I381" s="5"/>
      <c r="L381" s="5"/>
      <c r="M381" s="5"/>
      <c r="N381" s="5"/>
      <c r="O381" s="5"/>
      <c r="P381" s="5"/>
      <c r="Q381" s="5"/>
      <c r="R381" s="5"/>
      <c r="S381" s="5"/>
      <c r="T381" s="5"/>
      <c r="U381" s="5"/>
      <c r="V381" s="5"/>
      <c r="W381" s="5"/>
      <c r="X381" s="5"/>
      <c r="Y381" s="5"/>
      <c r="Z381" s="5"/>
      <c r="AA381" s="5"/>
      <c r="AB381" s="5"/>
      <c r="AC381" s="5"/>
      <c r="AD381" s="5"/>
      <c r="AF381" s="5"/>
    </row>
    <row r="382" spans="1:32" ht="12">
      <c r="A382" s="17"/>
      <c r="B382" s="17"/>
      <c r="C382" s="18" t="s">
        <v>354</v>
      </c>
      <c r="D382" s="17"/>
      <c r="E382" s="17"/>
      <c r="F382" s="30">
        <v>362</v>
      </c>
      <c r="G382" s="5"/>
      <c r="I382" s="5"/>
      <c r="L382" s="5"/>
      <c r="M382" s="5"/>
      <c r="N382" s="5"/>
      <c r="O382" s="5"/>
      <c r="P382" s="5"/>
      <c r="Q382" s="5"/>
      <c r="R382" s="5"/>
      <c r="S382" s="5"/>
      <c r="T382" s="5"/>
      <c r="U382" s="5"/>
      <c r="V382" s="5"/>
      <c r="W382" s="5"/>
      <c r="X382" s="5"/>
      <c r="Y382" s="5"/>
      <c r="Z382" s="5"/>
      <c r="AA382" s="5"/>
      <c r="AB382" s="5"/>
      <c r="AC382" s="5"/>
      <c r="AD382" s="5"/>
      <c r="AF382" s="5"/>
    </row>
    <row r="383" spans="1:32" ht="12">
      <c r="A383" s="17"/>
      <c r="B383" s="17"/>
      <c r="C383" s="17"/>
      <c r="D383" s="24" t="s">
        <v>672</v>
      </c>
      <c r="E383" s="17"/>
      <c r="F383" s="20">
        <v>363</v>
      </c>
      <c r="G383" s="5">
        <f>G235</f>
        <v>28342282</v>
      </c>
      <c r="I383" s="5">
        <f>I235</f>
        <v>320000</v>
      </c>
      <c r="L383" s="5">
        <f>L235</f>
        <v>43386975</v>
      </c>
      <c r="M383" s="5"/>
      <c r="N383" s="5">
        <f>N235</f>
        <v>0</v>
      </c>
      <c r="O383" s="5"/>
      <c r="P383" s="5">
        <f>P235</f>
        <v>15679106</v>
      </c>
      <c r="Q383" s="5"/>
      <c r="R383" s="5">
        <f t="shared" ref="R383:Z383" si="68">R235</f>
        <v>804241</v>
      </c>
      <c r="S383" s="5"/>
      <c r="T383" s="5">
        <f t="shared" si="68"/>
        <v>0</v>
      </c>
      <c r="U383" s="5"/>
      <c r="V383" s="5">
        <f t="shared" si="68"/>
        <v>8651606</v>
      </c>
      <c r="W383" s="5"/>
      <c r="X383" s="5">
        <f t="shared" si="68"/>
        <v>20729</v>
      </c>
      <c r="Y383" s="5"/>
      <c r="Z383" s="5">
        <f t="shared" si="68"/>
        <v>0</v>
      </c>
      <c r="AA383" s="5"/>
      <c r="AB383" s="5">
        <f>AB235</f>
        <v>0</v>
      </c>
      <c r="AC383" s="5"/>
      <c r="AD383" s="5"/>
      <c r="AF383" s="5">
        <f>AF235</f>
        <v>4212</v>
      </c>
    </row>
    <row r="384" spans="1:32" ht="12">
      <c r="A384" s="17"/>
      <c r="B384" s="17"/>
      <c r="C384" s="17"/>
      <c r="D384" s="24" t="s">
        <v>579</v>
      </c>
      <c r="E384" s="17"/>
      <c r="F384" s="30">
        <v>364</v>
      </c>
      <c r="G384" s="31"/>
      <c r="I384" s="31"/>
      <c r="L384" s="31"/>
      <c r="M384" s="5"/>
      <c r="N384" s="31"/>
      <c r="O384" s="5"/>
      <c r="P384" s="31"/>
      <c r="Q384" s="5"/>
      <c r="R384" s="31"/>
      <c r="S384" s="5"/>
      <c r="T384" s="31"/>
      <c r="V384" s="31"/>
      <c r="X384" s="31"/>
      <c r="Z384" s="31"/>
      <c r="AA384" s="5"/>
      <c r="AB384" s="31"/>
      <c r="AC384" s="5"/>
      <c r="AD384" s="31"/>
      <c r="AF384" s="31"/>
    </row>
    <row r="385" spans="1:32" ht="12">
      <c r="A385" s="17"/>
      <c r="B385" s="17"/>
      <c r="C385" s="17"/>
      <c r="D385" s="24" t="s">
        <v>284</v>
      </c>
      <c r="E385" s="17"/>
      <c r="F385" s="30">
        <v>365</v>
      </c>
      <c r="G385" s="31"/>
      <c r="I385" s="31"/>
      <c r="L385" s="31"/>
      <c r="M385" s="5"/>
      <c r="N385" s="31"/>
      <c r="O385" s="5"/>
      <c r="P385" s="31"/>
      <c r="Q385" s="5"/>
      <c r="R385" s="31"/>
      <c r="S385" s="5"/>
      <c r="T385" s="31"/>
      <c r="V385" s="31"/>
      <c r="X385" s="31"/>
      <c r="Z385" s="31"/>
      <c r="AA385" s="5"/>
      <c r="AB385" s="31"/>
      <c r="AC385" s="5"/>
      <c r="AD385" s="31"/>
      <c r="AF385" s="31"/>
    </row>
    <row r="386" spans="1:32" ht="12">
      <c r="A386" s="17"/>
      <c r="B386" s="17"/>
      <c r="C386" s="17"/>
      <c r="D386" s="24" t="s">
        <v>355</v>
      </c>
      <c r="E386" s="17"/>
      <c r="F386" s="20">
        <v>366</v>
      </c>
      <c r="G386" s="31"/>
      <c r="I386" s="31"/>
      <c r="L386" s="31"/>
      <c r="M386" s="5"/>
      <c r="N386" s="31"/>
      <c r="O386" s="5"/>
      <c r="P386" s="31"/>
      <c r="Q386" s="5"/>
      <c r="R386" s="31">
        <v>23911</v>
      </c>
      <c r="S386" s="5"/>
      <c r="T386" s="31"/>
      <c r="V386" s="31"/>
      <c r="X386" s="31"/>
      <c r="Z386" s="31"/>
      <c r="AA386" s="5"/>
      <c r="AB386" s="31"/>
      <c r="AC386" s="5"/>
      <c r="AD386" s="31"/>
      <c r="AF386" s="31"/>
    </row>
    <row r="387" spans="1:32" ht="12">
      <c r="A387" s="17"/>
      <c r="B387" s="17"/>
      <c r="C387" s="17"/>
      <c r="D387" s="24" t="s">
        <v>356</v>
      </c>
      <c r="E387" s="17"/>
      <c r="F387" s="30">
        <v>367</v>
      </c>
      <c r="G387" s="31">
        <v>-7190190</v>
      </c>
      <c r="I387" s="31"/>
      <c r="L387" s="237">
        <v>-2635326</v>
      </c>
      <c r="M387" s="5"/>
      <c r="N387" s="237"/>
      <c r="O387" s="5"/>
      <c r="P387" s="31"/>
      <c r="Q387" s="5"/>
      <c r="R387" s="31"/>
      <c r="S387" s="5"/>
      <c r="T387" s="31"/>
      <c r="V387" s="31"/>
      <c r="X387" s="31"/>
      <c r="Z387" s="31"/>
      <c r="AA387" s="5"/>
      <c r="AB387" s="237"/>
      <c r="AC387" s="5"/>
      <c r="AD387" s="237"/>
      <c r="AF387" s="237"/>
    </row>
    <row r="388" spans="1:32" ht="12">
      <c r="A388" s="17"/>
      <c r="B388" s="17"/>
      <c r="C388" s="17"/>
      <c r="D388" s="40"/>
      <c r="E388" s="17"/>
      <c r="F388" s="30">
        <v>368</v>
      </c>
      <c r="G388" s="5"/>
      <c r="I388" s="5"/>
      <c r="L388" s="5"/>
      <c r="M388" s="5"/>
      <c r="N388" s="5"/>
      <c r="O388" s="5"/>
      <c r="P388" s="5"/>
      <c r="Q388" s="5"/>
      <c r="R388" s="5"/>
      <c r="S388" s="5"/>
      <c r="T388" s="5"/>
      <c r="V388" s="5"/>
      <c r="X388" s="5"/>
      <c r="Z388" s="5"/>
      <c r="AA388" s="5"/>
      <c r="AB388" s="5"/>
      <c r="AC388" s="5"/>
      <c r="AD388" s="5"/>
      <c r="AF388" s="5"/>
    </row>
    <row r="389" spans="1:32" ht="12">
      <c r="A389" s="17"/>
      <c r="B389" s="17"/>
      <c r="C389" s="40" t="s">
        <v>357</v>
      </c>
      <c r="D389" s="17"/>
      <c r="E389" s="17"/>
      <c r="F389" s="20">
        <v>369</v>
      </c>
      <c r="G389" s="5"/>
      <c r="I389" s="5"/>
      <c r="L389" s="5"/>
      <c r="M389" s="5"/>
      <c r="N389" s="5"/>
      <c r="O389" s="5"/>
      <c r="P389" s="5"/>
      <c r="Q389" s="5"/>
      <c r="R389" s="5"/>
      <c r="S389" s="5"/>
      <c r="T389" s="5"/>
      <c r="V389" s="5"/>
      <c r="X389" s="5"/>
      <c r="Z389" s="5"/>
      <c r="AA389" s="5"/>
      <c r="AB389" s="5"/>
      <c r="AC389" s="5"/>
      <c r="AD389" s="5"/>
      <c r="AF389" s="5"/>
    </row>
    <row r="390" spans="1:32" ht="12">
      <c r="A390" s="17"/>
      <c r="B390" s="17"/>
      <c r="C390" s="17"/>
      <c r="D390" s="24" t="s">
        <v>477</v>
      </c>
      <c r="E390" s="17"/>
      <c r="F390" s="30">
        <v>370</v>
      </c>
      <c r="G390" s="31">
        <v>-70706</v>
      </c>
      <c r="I390" s="31">
        <v>4093</v>
      </c>
      <c r="L390" s="31">
        <v>-805664</v>
      </c>
      <c r="M390" s="5"/>
      <c r="N390" s="31"/>
      <c r="O390" s="5"/>
      <c r="P390" s="31"/>
      <c r="Q390" s="5"/>
      <c r="R390" s="237">
        <v>2455386</v>
      </c>
      <c r="S390" s="5"/>
      <c r="T390" s="31">
        <v>13261476</v>
      </c>
      <c r="V390" s="237">
        <v>-1805448</v>
      </c>
      <c r="X390" s="31">
        <v>-1795</v>
      </c>
      <c r="Z390" s="31">
        <v>-1267</v>
      </c>
      <c r="AA390" s="5"/>
      <c r="AB390" s="237">
        <v>30375</v>
      </c>
      <c r="AC390" s="5"/>
      <c r="AD390" s="237"/>
      <c r="AF390" s="237"/>
    </row>
    <row r="391" spans="1:32" ht="12">
      <c r="A391" s="17"/>
      <c r="B391" s="17"/>
      <c r="C391" s="17"/>
      <c r="D391" s="24" t="s">
        <v>358</v>
      </c>
      <c r="E391" s="17"/>
      <c r="F391" s="30">
        <v>371</v>
      </c>
      <c r="G391" s="31">
        <v>247006</v>
      </c>
      <c r="I391" s="237">
        <v>-5589498</v>
      </c>
      <c r="L391" s="31">
        <v>-2296543</v>
      </c>
      <c r="M391" s="5"/>
      <c r="N391" s="31">
        <v>-136226</v>
      </c>
      <c r="O391" s="5"/>
      <c r="P391" s="237"/>
      <c r="Q391" s="5"/>
      <c r="R391" s="237">
        <v>-3410090</v>
      </c>
      <c r="S391" s="5"/>
      <c r="T391" s="31">
        <v>-208564</v>
      </c>
      <c r="V391" s="237">
        <v>2651152</v>
      </c>
      <c r="X391" s="31">
        <v>-1013</v>
      </c>
      <c r="Z391" s="31">
        <v>1267</v>
      </c>
      <c r="AA391" s="5"/>
      <c r="AB391" s="237">
        <v>-240</v>
      </c>
      <c r="AC391" s="5"/>
      <c r="AD391" s="237"/>
      <c r="AF391" s="237"/>
    </row>
    <row r="392" spans="1:32" ht="12">
      <c r="A392" s="17"/>
      <c r="B392" s="17"/>
      <c r="C392" s="17"/>
      <c r="D392" s="24" t="s">
        <v>571</v>
      </c>
      <c r="E392" s="17"/>
      <c r="F392" s="20">
        <v>372</v>
      </c>
      <c r="G392" s="31"/>
      <c r="I392" s="237"/>
      <c r="L392" s="31"/>
      <c r="M392" s="5"/>
      <c r="N392" s="31"/>
      <c r="O392" s="5"/>
      <c r="P392" s="237"/>
      <c r="Q392" s="5"/>
      <c r="R392" s="237"/>
      <c r="S392" s="5"/>
      <c r="T392" s="31"/>
      <c r="V392" s="237"/>
      <c r="X392" s="31"/>
      <c r="Z392" s="31"/>
      <c r="AA392" s="5"/>
      <c r="AB392" s="31"/>
      <c r="AC392" s="5"/>
      <c r="AD392" s="31"/>
      <c r="AF392" s="31"/>
    </row>
    <row r="393" spans="1:32" ht="12">
      <c r="A393" s="17"/>
      <c r="B393" s="17"/>
      <c r="C393" s="17"/>
      <c r="D393" s="24" t="s">
        <v>475</v>
      </c>
      <c r="E393" s="17"/>
      <c r="F393" s="30">
        <v>373</v>
      </c>
      <c r="G393" s="31">
        <v>53982</v>
      </c>
      <c r="I393" s="237">
        <v>1604224</v>
      </c>
      <c r="L393" s="31"/>
      <c r="M393" s="5"/>
      <c r="N393" s="31"/>
      <c r="O393" s="5"/>
      <c r="P393" s="237"/>
      <c r="Q393" s="5"/>
      <c r="R393" s="237">
        <v>-809223</v>
      </c>
      <c r="S393" s="5"/>
      <c r="T393" s="31"/>
      <c r="V393" s="237">
        <v>5635</v>
      </c>
      <c r="X393" s="31"/>
      <c r="Z393" s="31"/>
      <c r="AA393" s="5"/>
      <c r="AB393" s="31"/>
      <c r="AC393" s="5"/>
      <c r="AD393" s="31"/>
      <c r="AF393" s="31"/>
    </row>
    <row r="394" spans="1:32" ht="12">
      <c r="A394" s="17"/>
      <c r="B394" s="17"/>
      <c r="C394" s="17"/>
      <c r="D394" s="24" t="s">
        <v>476</v>
      </c>
      <c r="E394" s="17"/>
      <c r="F394" s="30">
        <v>374</v>
      </c>
      <c r="G394" s="31">
        <v>502430</v>
      </c>
      <c r="I394" s="237"/>
      <c r="L394" s="31">
        <v>-892832</v>
      </c>
      <c r="M394" s="5"/>
      <c r="N394" s="31"/>
      <c r="O394" s="5"/>
      <c r="P394" s="237">
        <v>611</v>
      </c>
      <c r="Q394" s="5"/>
      <c r="R394" s="237"/>
      <c r="S394" s="5"/>
      <c r="T394" s="31"/>
      <c r="V394" s="237"/>
      <c r="X394" s="31">
        <v>941173</v>
      </c>
      <c r="Z394" s="31"/>
      <c r="AA394" s="5"/>
      <c r="AB394" s="31"/>
      <c r="AC394" s="5"/>
      <c r="AD394" s="31"/>
      <c r="AF394" s="31">
        <v>10543</v>
      </c>
    </row>
    <row r="395" spans="1:32" ht="12">
      <c r="A395" s="17"/>
      <c r="B395" s="17"/>
      <c r="C395" s="17"/>
      <c r="D395" s="24" t="s">
        <v>206</v>
      </c>
      <c r="E395" s="17"/>
      <c r="F395" s="20">
        <v>375</v>
      </c>
      <c r="G395" s="31"/>
      <c r="I395" s="237"/>
      <c r="L395" s="31"/>
      <c r="M395" s="5"/>
      <c r="N395" s="31"/>
      <c r="O395" s="5"/>
      <c r="P395" s="237"/>
      <c r="Q395" s="5"/>
      <c r="R395" s="31"/>
      <c r="S395" s="5"/>
      <c r="T395" s="31"/>
      <c r="V395" s="237"/>
      <c r="X395" s="237"/>
      <c r="Z395" s="237"/>
      <c r="AA395" s="5"/>
      <c r="AB395" s="237"/>
      <c r="AC395" s="5"/>
      <c r="AD395" s="237"/>
      <c r="AF395" s="237"/>
    </row>
    <row r="396" spans="1:32" ht="12">
      <c r="A396" s="17"/>
      <c r="B396" s="17"/>
      <c r="C396" s="17"/>
      <c r="D396" s="24" t="s">
        <v>359</v>
      </c>
      <c r="E396" s="17"/>
      <c r="F396" s="30">
        <v>376</v>
      </c>
      <c r="G396" s="237">
        <v>889869</v>
      </c>
      <c r="I396" s="237">
        <v>3802795</v>
      </c>
      <c r="L396" s="31">
        <v>-1434724</v>
      </c>
      <c r="M396" s="5"/>
      <c r="N396" s="31">
        <v>330698</v>
      </c>
      <c r="O396" s="5"/>
      <c r="P396" s="237">
        <v>-485379</v>
      </c>
      <c r="Q396" s="5"/>
      <c r="R396" s="31">
        <v>-240927</v>
      </c>
      <c r="S396" s="5"/>
      <c r="T396" s="31">
        <v>13363750</v>
      </c>
      <c r="V396" s="237">
        <v>1669793</v>
      </c>
      <c r="X396" s="237">
        <v>195453</v>
      </c>
      <c r="Z396" s="237">
        <v>-818907</v>
      </c>
      <c r="AA396" s="5"/>
      <c r="AB396" s="237">
        <v>-59343</v>
      </c>
      <c r="AC396" s="5"/>
      <c r="AD396" s="237"/>
      <c r="AF396" s="237">
        <v>10709</v>
      </c>
    </row>
    <row r="397" spans="1:32" ht="12">
      <c r="A397" s="17"/>
      <c r="B397" s="17"/>
      <c r="C397" s="17"/>
      <c r="D397" s="24" t="s">
        <v>478</v>
      </c>
      <c r="E397" s="17"/>
      <c r="F397" s="30">
        <v>377</v>
      </c>
      <c r="G397" s="237"/>
      <c r="I397" s="237"/>
      <c r="L397" s="31"/>
      <c r="M397" s="5"/>
      <c r="N397" s="31"/>
      <c r="O397" s="5"/>
      <c r="P397" s="237"/>
      <c r="Q397" s="5"/>
      <c r="R397" s="31"/>
      <c r="S397" s="5"/>
      <c r="T397" s="31"/>
      <c r="V397" s="237"/>
      <c r="X397" s="237"/>
      <c r="Z397" s="237"/>
      <c r="AA397" s="5"/>
      <c r="AB397" s="237"/>
      <c r="AC397" s="5"/>
      <c r="AD397" s="237"/>
      <c r="AF397" s="237">
        <v>9485</v>
      </c>
    </row>
    <row r="398" spans="1:32" ht="12">
      <c r="A398" s="17"/>
      <c r="B398" s="17"/>
      <c r="C398" s="17"/>
      <c r="D398" s="24" t="s">
        <v>367</v>
      </c>
      <c r="E398" s="17"/>
      <c r="F398" s="20">
        <v>378</v>
      </c>
      <c r="G398" s="237">
        <v>-601874</v>
      </c>
      <c r="I398" s="237">
        <v>-156399</v>
      </c>
      <c r="L398" s="31">
        <v>-3603</v>
      </c>
      <c r="M398" s="5"/>
      <c r="N398" s="31">
        <v>1639</v>
      </c>
      <c r="O398" s="5"/>
      <c r="P398" s="237">
        <v>-2061</v>
      </c>
      <c r="Q398" s="5"/>
      <c r="R398" s="31">
        <v>-19362</v>
      </c>
      <c r="S398" s="5"/>
      <c r="T398" s="31"/>
      <c r="V398" s="237">
        <v>144190</v>
      </c>
      <c r="X398" s="237">
        <v>1368</v>
      </c>
      <c r="Z398" s="237">
        <v>128</v>
      </c>
      <c r="AA398" s="5"/>
      <c r="AB398" s="237"/>
      <c r="AC398" s="5"/>
      <c r="AD398" s="237"/>
      <c r="AF398" s="237">
        <v>2150</v>
      </c>
    </row>
    <row r="399" spans="1:32" ht="12">
      <c r="A399" s="17"/>
      <c r="B399" s="17"/>
      <c r="C399" s="17"/>
      <c r="D399" s="24" t="s">
        <v>15</v>
      </c>
      <c r="E399" s="17"/>
      <c r="F399" s="30">
        <v>379</v>
      </c>
      <c r="G399" s="237">
        <v>7987</v>
      </c>
      <c r="I399" s="237">
        <v>5549</v>
      </c>
      <c r="L399" s="31">
        <v>58924</v>
      </c>
      <c r="M399" s="5"/>
      <c r="N399" s="31">
        <v>2798</v>
      </c>
      <c r="O399" s="5"/>
      <c r="P399" s="237">
        <v>-971</v>
      </c>
      <c r="Q399" s="5"/>
      <c r="R399" s="31">
        <v>13561</v>
      </c>
      <c r="S399" s="5"/>
      <c r="T399" s="31">
        <v>3549</v>
      </c>
      <c r="V399" s="237">
        <v>456</v>
      </c>
      <c r="X399" s="237">
        <v>-15674</v>
      </c>
      <c r="Z399" s="237">
        <v>31296</v>
      </c>
      <c r="AA399" s="5"/>
      <c r="AB399" s="237"/>
      <c r="AC399" s="5"/>
      <c r="AD399" s="237"/>
      <c r="AF399" s="237">
        <v>1429</v>
      </c>
    </row>
    <row r="400" spans="1:32" ht="12">
      <c r="A400" s="17"/>
      <c r="B400" s="17"/>
      <c r="C400" s="17"/>
      <c r="D400" s="24" t="s">
        <v>546</v>
      </c>
      <c r="E400" s="17"/>
      <c r="F400" s="30">
        <v>380</v>
      </c>
      <c r="G400" s="237"/>
      <c r="I400" s="237"/>
      <c r="L400" s="31"/>
      <c r="M400" s="5"/>
      <c r="N400" s="31"/>
      <c r="O400" s="5"/>
      <c r="P400" s="237"/>
      <c r="Q400" s="5"/>
      <c r="R400" s="237"/>
      <c r="S400" s="5"/>
      <c r="T400" s="31"/>
      <c r="V400" s="31"/>
      <c r="X400" s="237"/>
      <c r="Z400" s="237"/>
      <c r="AA400" s="5"/>
      <c r="AB400" s="31"/>
      <c r="AC400" s="5"/>
      <c r="AD400" s="31"/>
      <c r="AF400" s="31"/>
    </row>
    <row r="401" spans="1:32" ht="12">
      <c r="A401" s="17"/>
      <c r="B401" s="17"/>
      <c r="C401" s="17"/>
      <c r="D401" s="24" t="s">
        <v>552</v>
      </c>
      <c r="E401" s="17"/>
      <c r="F401" s="20">
        <v>381</v>
      </c>
      <c r="G401" s="237"/>
      <c r="I401" s="31"/>
      <c r="L401" s="237"/>
      <c r="M401" s="5"/>
      <c r="N401" s="237"/>
      <c r="O401" s="5"/>
      <c r="P401" s="237"/>
      <c r="Q401" s="5"/>
      <c r="R401" s="31"/>
      <c r="S401" s="5"/>
      <c r="T401" s="31"/>
      <c r="V401" s="31"/>
      <c r="X401" s="237"/>
      <c r="Z401" s="237"/>
      <c r="AA401" s="5"/>
      <c r="AB401" s="31"/>
      <c r="AC401" s="5"/>
      <c r="AD401" s="31"/>
      <c r="AF401" s="31"/>
    </row>
    <row r="402" spans="1:32" ht="12" hidden="1">
      <c r="A402" s="17"/>
      <c r="B402" s="17"/>
      <c r="C402" s="17"/>
      <c r="D402" s="24"/>
      <c r="E402" s="17"/>
      <c r="F402" s="30">
        <v>382</v>
      </c>
      <c r="G402" s="237"/>
      <c r="I402" s="31"/>
      <c r="L402" s="31"/>
      <c r="M402" s="5"/>
      <c r="N402" s="31"/>
      <c r="O402" s="5"/>
      <c r="P402" s="31"/>
      <c r="Q402" s="5"/>
      <c r="R402" s="31"/>
      <c r="S402" s="5"/>
      <c r="T402" s="31"/>
      <c r="V402" s="31"/>
      <c r="X402" s="237"/>
      <c r="Z402" s="237"/>
      <c r="AA402" s="5"/>
      <c r="AB402" s="31"/>
      <c r="AC402" s="5"/>
      <c r="AD402" s="31"/>
      <c r="AF402" s="31"/>
    </row>
    <row r="403" spans="1:32" ht="12">
      <c r="A403" s="17"/>
      <c r="B403" s="17"/>
      <c r="C403" s="17"/>
      <c r="D403" s="24" t="s">
        <v>547</v>
      </c>
      <c r="E403" s="17"/>
      <c r="F403" s="30">
        <v>383</v>
      </c>
      <c r="G403" s="237">
        <v>-4862574</v>
      </c>
      <c r="I403" s="31"/>
      <c r="L403" s="31">
        <v>-26804036</v>
      </c>
      <c r="M403" s="5"/>
      <c r="N403" s="31">
        <v>-98734</v>
      </c>
      <c r="O403" s="5"/>
      <c r="P403" s="31"/>
      <c r="Q403" s="5"/>
      <c r="R403" s="31">
        <v>-3272650</v>
      </c>
      <c r="S403" s="5"/>
      <c r="T403" s="31"/>
      <c r="V403" s="31">
        <v>-116289</v>
      </c>
      <c r="X403" s="237">
        <v>-459637</v>
      </c>
      <c r="Z403" s="237">
        <v>-5776810</v>
      </c>
      <c r="AA403" s="5"/>
      <c r="AB403" s="31"/>
      <c r="AC403" s="5"/>
      <c r="AD403" s="31"/>
      <c r="AF403" s="31"/>
    </row>
    <row r="404" spans="1:32" ht="12">
      <c r="A404" s="17"/>
      <c r="B404" s="17"/>
      <c r="C404" s="17"/>
      <c r="D404" s="24" t="s">
        <v>548</v>
      </c>
      <c r="E404" s="17"/>
      <c r="F404" s="20">
        <v>384</v>
      </c>
      <c r="G404" s="237"/>
      <c r="I404" s="31"/>
      <c r="L404" s="31"/>
      <c r="M404" s="5"/>
      <c r="N404" s="31"/>
      <c r="O404" s="5"/>
      <c r="P404" s="31"/>
      <c r="Q404" s="5"/>
      <c r="R404" s="31"/>
      <c r="S404" s="5"/>
      <c r="T404" s="31">
        <v>-22467744</v>
      </c>
      <c r="V404" s="31"/>
      <c r="X404" s="237">
        <v>10205000</v>
      </c>
      <c r="Z404" s="237">
        <v>-2782000</v>
      </c>
      <c r="AA404" s="5"/>
      <c r="AB404" s="31">
        <v>-2990</v>
      </c>
      <c r="AC404" s="5"/>
      <c r="AD404" s="31"/>
      <c r="AF404" s="31"/>
    </row>
    <row r="405" spans="1:32" ht="12">
      <c r="A405" s="17"/>
      <c r="B405" s="17"/>
      <c r="C405" s="17"/>
      <c r="D405" s="24" t="s">
        <v>553</v>
      </c>
      <c r="E405" s="17"/>
      <c r="F405" s="30">
        <v>385</v>
      </c>
      <c r="G405" s="237"/>
      <c r="I405" s="31"/>
      <c r="L405" s="31"/>
      <c r="M405" s="5"/>
      <c r="N405" s="31"/>
      <c r="O405" s="5"/>
      <c r="P405" s="31"/>
      <c r="Q405" s="5"/>
      <c r="R405" s="31"/>
      <c r="S405" s="5"/>
      <c r="T405" s="31"/>
      <c r="V405" s="31"/>
      <c r="X405" s="237">
        <v>9983000</v>
      </c>
      <c r="Z405" s="237">
        <v>-74978000</v>
      </c>
      <c r="AA405" s="5"/>
      <c r="AB405" s="31"/>
      <c r="AC405" s="5"/>
      <c r="AD405" s="31"/>
      <c r="AF405" s="31"/>
    </row>
    <row r="406" spans="1:32" ht="12">
      <c r="A406" s="17"/>
      <c r="B406" s="17"/>
      <c r="C406" s="17"/>
      <c r="D406" s="24" t="s">
        <v>2707</v>
      </c>
      <c r="E406" s="17"/>
      <c r="F406" s="30">
        <v>386</v>
      </c>
      <c r="G406" s="31"/>
      <c r="I406" s="31"/>
      <c r="L406" s="31"/>
      <c r="M406" s="5"/>
      <c r="N406" s="31"/>
      <c r="O406" s="5"/>
      <c r="P406" s="31"/>
      <c r="Q406" s="5"/>
      <c r="R406" s="31"/>
      <c r="S406" s="5"/>
      <c r="T406" s="31"/>
      <c r="V406" s="31"/>
      <c r="X406" s="31"/>
      <c r="Z406" s="31"/>
      <c r="AA406" s="5"/>
      <c r="AB406" s="31"/>
      <c r="AC406" s="5"/>
      <c r="AD406" s="31"/>
      <c r="AF406" s="31"/>
    </row>
    <row r="407" spans="1:32" ht="12">
      <c r="A407" s="17"/>
      <c r="B407" s="17"/>
      <c r="C407" s="17"/>
      <c r="D407" s="24" t="s">
        <v>2707</v>
      </c>
      <c r="E407" s="17"/>
      <c r="F407" s="20">
        <v>387</v>
      </c>
      <c r="G407" s="31"/>
      <c r="I407" s="31"/>
      <c r="L407" s="31"/>
      <c r="M407" s="5"/>
      <c r="N407" s="31"/>
      <c r="O407" s="5"/>
      <c r="P407" s="31"/>
      <c r="Q407" s="5"/>
      <c r="R407" s="31"/>
      <c r="S407" s="5"/>
      <c r="T407" s="31"/>
      <c r="V407" s="31"/>
      <c r="X407" s="31"/>
      <c r="Z407" s="31"/>
      <c r="AA407" s="5"/>
      <c r="AB407" s="31"/>
      <c r="AC407" s="5"/>
      <c r="AD407" s="31"/>
      <c r="AF407" s="31"/>
    </row>
    <row r="408" spans="1:32" ht="12">
      <c r="A408" s="17"/>
      <c r="B408" s="17"/>
      <c r="C408" s="17"/>
      <c r="D408" s="24"/>
      <c r="E408" s="17"/>
      <c r="F408" s="30">
        <v>388</v>
      </c>
      <c r="G408" s="5"/>
      <c r="I408" s="5"/>
      <c r="L408" s="5"/>
      <c r="M408" s="5"/>
      <c r="N408" s="5"/>
      <c r="O408" s="5"/>
      <c r="P408" s="5"/>
      <c r="Q408" s="5"/>
      <c r="R408" s="5"/>
      <c r="S408" s="5"/>
      <c r="T408" s="5"/>
      <c r="V408" s="5"/>
      <c r="X408" s="5"/>
      <c r="Z408" s="5"/>
      <c r="AA408" s="5"/>
      <c r="AB408" s="5"/>
      <c r="AC408" s="5"/>
      <c r="AD408" s="5"/>
      <c r="AF408" s="5"/>
    </row>
    <row r="409" spans="1:32" ht="12">
      <c r="A409" s="17"/>
      <c r="B409" s="17"/>
      <c r="C409" s="17"/>
      <c r="D409" s="40" t="s">
        <v>368</v>
      </c>
      <c r="E409" s="17"/>
      <c r="F409" s="30">
        <v>389</v>
      </c>
      <c r="G409" s="31"/>
      <c r="I409" s="31"/>
      <c r="L409" s="31"/>
      <c r="M409" s="5"/>
      <c r="N409" s="31"/>
      <c r="O409" s="5"/>
      <c r="P409" s="31"/>
      <c r="Q409" s="5"/>
      <c r="R409" s="31"/>
      <c r="S409" s="5"/>
      <c r="T409" s="31"/>
      <c r="V409" s="31"/>
      <c r="X409" s="31"/>
      <c r="Z409" s="31"/>
      <c r="AA409" s="5"/>
      <c r="AB409" s="31"/>
      <c r="AC409" s="5"/>
      <c r="AD409" s="31"/>
      <c r="AF409" s="31"/>
    </row>
    <row r="410" spans="1:32" ht="12">
      <c r="A410" s="17"/>
      <c r="B410" s="17"/>
      <c r="C410" s="17"/>
      <c r="D410" s="40" t="s">
        <v>52</v>
      </c>
      <c r="E410" s="17"/>
      <c r="F410" s="20">
        <v>390</v>
      </c>
      <c r="G410" s="31"/>
      <c r="I410" s="31"/>
      <c r="L410" s="31"/>
      <c r="M410" s="5"/>
      <c r="N410" s="31"/>
      <c r="O410" s="5"/>
      <c r="P410" s="31"/>
      <c r="Q410" s="5"/>
      <c r="R410" s="31"/>
      <c r="S410" s="5"/>
      <c r="T410" s="31"/>
      <c r="V410" s="31"/>
      <c r="X410" s="31"/>
      <c r="Z410" s="31"/>
      <c r="AA410" s="5"/>
      <c r="AB410" s="31"/>
      <c r="AC410" s="5"/>
      <c r="AD410" s="31"/>
      <c r="AF410" s="31"/>
    </row>
    <row r="411" spans="1:32" ht="12">
      <c r="A411" s="17"/>
      <c r="B411" s="17"/>
      <c r="C411" s="17"/>
      <c r="D411" s="40" t="s">
        <v>53</v>
      </c>
      <c r="E411" s="17"/>
      <c r="F411" s="30">
        <v>391</v>
      </c>
      <c r="G411" s="31">
        <v>333951</v>
      </c>
      <c r="I411" s="31">
        <v>-21923</v>
      </c>
      <c r="L411" s="31"/>
      <c r="M411" s="5"/>
      <c r="N411" s="31"/>
      <c r="O411" s="5"/>
      <c r="P411" s="31"/>
      <c r="Q411" s="5"/>
      <c r="R411" s="31">
        <v>-100</v>
      </c>
      <c r="S411" s="5"/>
      <c r="T411" s="31"/>
      <c r="V411" s="31"/>
      <c r="X411" s="31"/>
      <c r="Z411" s="31"/>
      <c r="AA411" s="5"/>
      <c r="AB411" s="31"/>
      <c r="AC411" s="5"/>
      <c r="AD411" s="31"/>
      <c r="AF411" s="31"/>
    </row>
    <row r="412" spans="1:32">
      <c r="A412" s="17"/>
      <c r="B412" s="17"/>
      <c r="C412" s="17"/>
      <c r="D412" s="17" t="s">
        <v>481</v>
      </c>
      <c r="F412" s="30">
        <v>392</v>
      </c>
      <c r="G412" s="34">
        <f>SUM(G409:G411)</f>
        <v>333951</v>
      </c>
      <c r="I412" s="34">
        <f>SUM(I409:I411)</f>
        <v>-21923</v>
      </c>
      <c r="L412" s="34">
        <f>SUM(L409:L411)</f>
        <v>0</v>
      </c>
      <c r="M412" s="5"/>
      <c r="N412" s="34">
        <f>SUM(N409:N411)</f>
        <v>0</v>
      </c>
      <c r="O412" s="5"/>
      <c r="P412" s="34">
        <f>SUM(P409:P411)</f>
        <v>0</v>
      </c>
      <c r="Q412" s="5"/>
      <c r="R412" s="34">
        <f>SUM(R409:R411)</f>
        <v>-100</v>
      </c>
      <c r="S412" s="5"/>
      <c r="T412" s="34">
        <f>SUM(T409:T411)</f>
        <v>0</v>
      </c>
      <c r="U412" s="5"/>
      <c r="V412" s="34">
        <f>SUM(V409:V411)</f>
        <v>0</v>
      </c>
      <c r="W412" s="5"/>
      <c r="X412" s="34">
        <f>SUM(X409:X411)</f>
        <v>0</v>
      </c>
      <c r="Y412" s="5"/>
      <c r="Z412" s="34">
        <f>SUM(Z409:Z411)</f>
        <v>0</v>
      </c>
      <c r="AA412" s="5"/>
      <c r="AB412" s="34">
        <f>SUM(AB409:AB411)</f>
        <v>0</v>
      </c>
      <c r="AC412" s="5"/>
      <c r="AD412" s="34"/>
      <c r="AF412" s="34">
        <f>SUM(AF409:AF411)</f>
        <v>0</v>
      </c>
    </row>
    <row r="413" spans="1:32">
      <c r="A413" s="17"/>
      <c r="B413" s="17"/>
      <c r="C413" s="17"/>
      <c r="D413" s="17"/>
      <c r="F413" s="20">
        <v>393</v>
      </c>
      <c r="G413" s="5"/>
      <c r="I413" s="5"/>
      <c r="L413" s="5"/>
      <c r="M413" s="5"/>
      <c r="N413" s="5"/>
      <c r="O413" s="5"/>
      <c r="P413" s="5"/>
      <c r="Q413" s="5"/>
      <c r="R413" s="5"/>
      <c r="S413" s="5"/>
      <c r="T413" s="5"/>
      <c r="V413" s="5"/>
      <c r="X413" s="5"/>
      <c r="Z413" s="5"/>
      <c r="AA413" s="5"/>
      <c r="AB413" s="5"/>
      <c r="AC413" s="5"/>
      <c r="AD413" s="5"/>
      <c r="AF413" s="5"/>
    </row>
    <row r="414" spans="1:32" ht="12">
      <c r="A414" s="17"/>
      <c r="B414" s="17"/>
      <c r="C414" s="17"/>
      <c r="D414" s="40" t="s">
        <v>368</v>
      </c>
      <c r="E414" s="17"/>
      <c r="F414" s="30">
        <v>394</v>
      </c>
      <c r="G414" s="31"/>
      <c r="I414" s="31"/>
      <c r="L414" s="31"/>
      <c r="M414" s="5"/>
      <c r="N414" s="31"/>
      <c r="O414" s="5"/>
      <c r="P414" s="31"/>
      <c r="Q414" s="5"/>
      <c r="R414" s="31"/>
      <c r="S414" s="5"/>
      <c r="T414" s="31"/>
      <c r="V414" s="31"/>
      <c r="X414" s="31"/>
      <c r="Z414" s="31"/>
      <c r="AA414" s="5"/>
      <c r="AB414" s="31"/>
      <c r="AC414" s="5"/>
      <c r="AD414" s="31"/>
      <c r="AF414" s="31"/>
    </row>
    <row r="415" spans="1:32" ht="12">
      <c r="A415" s="17"/>
      <c r="B415" s="17"/>
      <c r="C415" s="17"/>
      <c r="D415" s="40" t="s">
        <v>52</v>
      </c>
      <c r="E415" s="17"/>
      <c r="F415" s="30">
        <v>395</v>
      </c>
      <c r="G415" s="31"/>
      <c r="I415" s="31"/>
      <c r="L415" s="31"/>
      <c r="M415" s="5"/>
      <c r="N415" s="31"/>
      <c r="O415" s="5"/>
      <c r="P415" s="31"/>
      <c r="Q415" s="5"/>
      <c r="R415" s="31"/>
      <c r="S415" s="5"/>
      <c r="T415" s="31"/>
      <c r="V415" s="31"/>
      <c r="X415" s="31"/>
      <c r="Z415" s="31"/>
      <c r="AA415" s="5"/>
      <c r="AB415" s="31"/>
      <c r="AC415" s="5"/>
      <c r="AD415" s="31"/>
      <c r="AF415" s="31"/>
    </row>
    <row r="416" spans="1:32" ht="12">
      <c r="A416" s="17"/>
      <c r="B416" s="17"/>
      <c r="C416" s="17"/>
      <c r="D416" s="40" t="s">
        <v>53</v>
      </c>
      <c r="E416" s="17"/>
      <c r="F416" s="20">
        <v>396</v>
      </c>
      <c r="G416" s="31"/>
      <c r="I416" s="31"/>
      <c r="L416" s="31"/>
      <c r="M416" s="5"/>
      <c r="N416" s="31"/>
      <c r="O416" s="5"/>
      <c r="P416" s="31"/>
      <c r="Q416" s="5"/>
      <c r="R416" s="31"/>
      <c r="S416" s="5"/>
      <c r="T416" s="31"/>
      <c r="V416" s="31"/>
      <c r="X416" s="31"/>
      <c r="Z416" s="31"/>
      <c r="AA416" s="5"/>
      <c r="AB416" s="31"/>
      <c r="AC416" s="5"/>
      <c r="AD416" s="31"/>
      <c r="AF416" s="31"/>
    </row>
    <row r="417" spans="1:32">
      <c r="A417" s="17"/>
      <c r="B417" s="17"/>
      <c r="C417" s="17"/>
      <c r="D417" s="17" t="s">
        <v>89</v>
      </c>
      <c r="F417" s="30">
        <v>397</v>
      </c>
      <c r="G417" s="34">
        <f>SUM(G414:G416)</f>
        <v>0</v>
      </c>
      <c r="I417" s="34">
        <f>SUM(I414:I416)</f>
        <v>0</v>
      </c>
      <c r="L417" s="34">
        <f>SUM(L414:L416)</f>
        <v>0</v>
      </c>
      <c r="M417" s="5"/>
      <c r="N417" s="34">
        <f>SUM(N414:N416)</f>
        <v>0</v>
      </c>
      <c r="O417" s="5"/>
      <c r="P417" s="34">
        <f>SUM(P414:P416)</f>
        <v>0</v>
      </c>
      <c r="Q417" s="5"/>
      <c r="R417" s="34">
        <f>SUM(R414:R416)</f>
        <v>0</v>
      </c>
      <c r="S417" s="5"/>
      <c r="T417" s="34">
        <f>SUM(T414:T416)</f>
        <v>0</v>
      </c>
      <c r="U417" s="5"/>
      <c r="V417" s="34">
        <f>SUM(V414:V416)</f>
        <v>0</v>
      </c>
      <c r="W417" s="5"/>
      <c r="X417" s="34">
        <f>SUM(X414:X416)</f>
        <v>0</v>
      </c>
      <c r="Y417" s="5"/>
      <c r="Z417" s="34">
        <f>SUM(Z414:Z416)</f>
        <v>0</v>
      </c>
      <c r="AA417" s="5"/>
      <c r="AB417" s="34">
        <f>SUM(AB414:AB416)</f>
        <v>0</v>
      </c>
      <c r="AC417" s="5"/>
      <c r="AD417" s="34"/>
      <c r="AF417" s="34">
        <f>SUM(AF414:AF416)</f>
        <v>0</v>
      </c>
    </row>
    <row r="418" spans="1:32" ht="12.6" customHeight="1">
      <c r="A418" s="17"/>
      <c r="B418" s="17"/>
      <c r="C418" s="17"/>
      <c r="D418" s="17"/>
      <c r="E418" s="24"/>
      <c r="F418" s="30">
        <v>398</v>
      </c>
      <c r="G418" s="5"/>
      <c r="I418" s="5"/>
      <c r="L418" s="5"/>
      <c r="M418" s="5"/>
      <c r="N418" s="5"/>
      <c r="O418" s="5"/>
      <c r="P418" s="5"/>
      <c r="Q418" s="5"/>
      <c r="R418" s="5"/>
      <c r="S418" s="5"/>
      <c r="T418" s="5"/>
      <c r="V418" s="5"/>
      <c r="X418" s="5"/>
      <c r="Z418" s="5"/>
      <c r="AA418" s="5"/>
      <c r="AB418" s="5"/>
      <c r="AC418" s="5"/>
      <c r="AD418" s="5"/>
      <c r="AF418" s="5"/>
    </row>
    <row r="419" spans="1:32" ht="12" hidden="1">
      <c r="A419" s="17"/>
      <c r="B419" s="17"/>
      <c r="C419" s="17"/>
      <c r="D419" s="40" t="s">
        <v>626</v>
      </c>
      <c r="E419" s="17"/>
      <c r="F419" s="20">
        <v>399</v>
      </c>
      <c r="G419" s="31"/>
      <c r="I419" s="31"/>
      <c r="L419" s="31"/>
      <c r="M419" s="5"/>
      <c r="N419" s="31"/>
      <c r="O419" s="5"/>
      <c r="P419" s="31"/>
      <c r="Q419" s="5"/>
      <c r="R419" s="31"/>
      <c r="S419" s="5"/>
      <c r="T419" s="31"/>
      <c r="V419" s="31"/>
      <c r="X419" s="31"/>
      <c r="Z419" s="31"/>
      <c r="AA419" s="5"/>
      <c r="AB419" s="31"/>
      <c r="AC419" s="5"/>
      <c r="AD419" s="31"/>
      <c r="AF419" s="31"/>
    </row>
    <row r="420" spans="1:32" ht="12" hidden="1">
      <c r="A420" s="17"/>
      <c r="B420" s="17"/>
      <c r="C420" s="17"/>
      <c r="D420" s="40" t="s">
        <v>340</v>
      </c>
      <c r="E420" s="17"/>
      <c r="F420" s="30">
        <v>400</v>
      </c>
      <c r="G420" s="31"/>
      <c r="I420" s="31"/>
      <c r="L420" s="31"/>
      <c r="M420" s="5"/>
      <c r="N420" s="31"/>
      <c r="O420" s="5"/>
      <c r="P420" s="31"/>
      <c r="Q420" s="5"/>
      <c r="R420" s="31"/>
      <c r="S420" s="5"/>
      <c r="T420" s="31"/>
      <c r="V420" s="31"/>
      <c r="X420" s="31"/>
      <c r="Z420" s="31"/>
      <c r="AA420" s="5"/>
      <c r="AB420" s="31"/>
      <c r="AC420" s="5"/>
      <c r="AD420" s="31"/>
      <c r="AF420" s="31"/>
    </row>
    <row r="421" spans="1:32" ht="12">
      <c r="A421" s="17"/>
      <c r="B421" s="17"/>
      <c r="C421" s="17"/>
      <c r="D421" s="40" t="s">
        <v>51</v>
      </c>
      <c r="E421" s="17"/>
      <c r="F421" s="30">
        <v>401</v>
      </c>
      <c r="G421" s="31">
        <v>-379592</v>
      </c>
      <c r="I421" s="31">
        <v>-221948</v>
      </c>
      <c r="L421" s="31">
        <v>718767</v>
      </c>
      <c r="M421" s="5"/>
      <c r="N421" s="31"/>
      <c r="O421" s="5"/>
      <c r="P421" s="31">
        <v>109886</v>
      </c>
      <c r="Q421" s="5"/>
      <c r="R421" s="31">
        <v>-5996</v>
      </c>
      <c r="S421" s="5"/>
      <c r="T421" s="31">
        <v>50684</v>
      </c>
      <c r="V421" s="31">
        <v>-29204</v>
      </c>
      <c r="X421" s="31">
        <v>-55858</v>
      </c>
      <c r="Z421" s="31">
        <v>7255</v>
      </c>
      <c r="AA421" s="5"/>
      <c r="AB421" s="237"/>
      <c r="AC421" s="5"/>
      <c r="AD421" s="237"/>
      <c r="AF421" s="237">
        <v>89637</v>
      </c>
    </row>
    <row r="422" spans="1:32" ht="12">
      <c r="A422" s="17"/>
      <c r="B422" s="17"/>
      <c r="C422" s="17"/>
      <c r="D422" s="40" t="s">
        <v>3284</v>
      </c>
      <c r="E422" s="17"/>
      <c r="F422" s="20">
        <v>402</v>
      </c>
      <c r="G422" s="31">
        <v>1258912</v>
      </c>
      <c r="I422" s="31">
        <v>0</v>
      </c>
      <c r="L422" s="31"/>
      <c r="M422" s="5"/>
      <c r="N422" s="31"/>
      <c r="O422" s="5"/>
      <c r="P422" s="31"/>
      <c r="Q422" s="5"/>
      <c r="R422" s="31"/>
      <c r="S422" s="5"/>
      <c r="T422" s="31"/>
      <c r="V422" s="31"/>
      <c r="X422" s="31"/>
      <c r="Z422" s="31"/>
      <c r="AA422" s="5"/>
      <c r="AB422" s="31"/>
      <c r="AC422" s="5"/>
      <c r="AD422" s="31"/>
      <c r="AF422" s="31"/>
    </row>
    <row r="423" spans="1:32" ht="11.25" customHeight="1">
      <c r="A423" s="17"/>
      <c r="B423" s="17"/>
      <c r="C423" s="17"/>
      <c r="D423" s="40" t="s">
        <v>462</v>
      </c>
      <c r="E423" s="17"/>
      <c r="F423" s="30">
        <v>403</v>
      </c>
      <c r="G423" s="31">
        <v>32339</v>
      </c>
      <c r="I423" s="31">
        <v>-159333</v>
      </c>
      <c r="L423" s="31"/>
      <c r="M423" s="5"/>
      <c r="N423" s="31"/>
      <c r="O423" s="5"/>
      <c r="P423" s="31"/>
      <c r="Q423" s="5"/>
      <c r="R423" s="31"/>
      <c r="S423" s="5"/>
      <c r="T423" s="31"/>
      <c r="V423" s="31"/>
      <c r="X423" s="31"/>
      <c r="Z423" s="31"/>
      <c r="AA423" s="5"/>
      <c r="AB423" s="31"/>
      <c r="AC423" s="5"/>
      <c r="AD423" s="31"/>
      <c r="AF423" s="31"/>
    </row>
    <row r="424" spans="1:32" ht="12">
      <c r="A424" s="17"/>
      <c r="B424" s="17"/>
      <c r="C424" s="17"/>
      <c r="D424" s="40" t="s">
        <v>3289</v>
      </c>
      <c r="E424" s="17"/>
      <c r="F424" s="30">
        <v>404</v>
      </c>
      <c r="G424" s="31">
        <v>0</v>
      </c>
      <c r="I424" s="31"/>
      <c r="L424" s="31"/>
      <c r="M424" s="5"/>
      <c r="N424" s="31"/>
      <c r="O424" s="5"/>
      <c r="P424" s="31"/>
      <c r="Q424" s="5"/>
      <c r="R424" s="31"/>
      <c r="S424" s="5"/>
      <c r="T424" s="31"/>
      <c r="V424" s="31"/>
      <c r="X424" s="31"/>
      <c r="Z424" s="31"/>
      <c r="AA424" s="5"/>
      <c r="AB424" s="31"/>
      <c r="AC424" s="5"/>
      <c r="AD424" s="31"/>
      <c r="AF424" s="31"/>
    </row>
    <row r="425" spans="1:32" ht="12">
      <c r="A425" s="17"/>
      <c r="B425" s="17"/>
      <c r="C425" s="17"/>
      <c r="D425" s="40" t="s">
        <v>3285</v>
      </c>
      <c r="E425" s="17"/>
      <c r="F425" s="20">
        <v>405</v>
      </c>
      <c r="G425" s="31">
        <v>454253</v>
      </c>
      <c r="I425" s="31"/>
      <c r="L425" s="31"/>
      <c r="M425" s="5"/>
      <c r="N425" s="31"/>
      <c r="O425" s="5"/>
      <c r="P425" s="31"/>
      <c r="Q425" s="5"/>
      <c r="R425" s="31"/>
      <c r="S425" s="5"/>
      <c r="T425" s="31"/>
      <c r="V425" s="31"/>
      <c r="X425" s="31"/>
      <c r="Z425" s="31"/>
      <c r="AA425" s="5"/>
      <c r="AB425" s="31"/>
      <c r="AC425" s="5"/>
      <c r="AD425" s="31"/>
      <c r="AF425" s="31"/>
    </row>
    <row r="426" spans="1:32" ht="12">
      <c r="A426" s="17"/>
      <c r="B426" s="17"/>
      <c r="C426" s="17"/>
      <c r="D426" s="40" t="s">
        <v>463</v>
      </c>
      <c r="E426" s="17"/>
      <c r="F426" s="30">
        <v>406</v>
      </c>
      <c r="G426" s="31"/>
      <c r="I426" s="31"/>
      <c r="L426" s="31"/>
      <c r="M426" s="5"/>
      <c r="N426" s="31"/>
      <c r="O426" s="5"/>
      <c r="P426" s="31"/>
      <c r="Q426" s="5"/>
      <c r="R426" s="31"/>
      <c r="S426" s="5"/>
      <c r="T426" s="31"/>
      <c r="V426" s="31"/>
      <c r="X426" s="31"/>
      <c r="Z426" s="31"/>
      <c r="AA426" s="5"/>
      <c r="AB426" s="31"/>
      <c r="AC426" s="5"/>
      <c r="AD426" s="31"/>
      <c r="AF426" s="31"/>
    </row>
    <row r="427" spans="1:32" ht="12">
      <c r="A427" s="17"/>
      <c r="B427" s="17"/>
      <c r="C427" s="17"/>
      <c r="D427" s="40" t="s">
        <v>84</v>
      </c>
      <c r="E427" s="17"/>
      <c r="F427" s="30">
        <v>407</v>
      </c>
      <c r="G427" s="31"/>
      <c r="I427" s="31"/>
      <c r="L427" s="31"/>
      <c r="M427" s="5"/>
      <c r="N427" s="31"/>
      <c r="O427" s="5"/>
      <c r="P427" s="31"/>
      <c r="Q427" s="5"/>
      <c r="R427" s="31"/>
      <c r="S427" s="5"/>
      <c r="T427" s="31"/>
      <c r="V427" s="31"/>
      <c r="X427" s="31"/>
      <c r="Z427" s="31"/>
      <c r="AA427" s="5"/>
      <c r="AB427" s="31"/>
      <c r="AC427" s="5"/>
      <c r="AD427" s="31"/>
      <c r="AF427" s="31"/>
    </row>
    <row r="428" spans="1:32" ht="12">
      <c r="A428" s="17"/>
      <c r="B428" s="17"/>
      <c r="C428" s="17"/>
      <c r="D428" s="40" t="s">
        <v>510</v>
      </c>
      <c r="E428" s="17"/>
      <c r="F428" s="20">
        <v>408</v>
      </c>
      <c r="G428" s="34">
        <f>SUM(G421:G427)</f>
        <v>1365912</v>
      </c>
      <c r="I428" s="34">
        <f>SUM(I421:I427)</f>
        <v>-381281</v>
      </c>
      <c r="L428" s="34">
        <f>SUM(L421:L427)</f>
        <v>718767</v>
      </c>
      <c r="M428" s="5"/>
      <c r="N428" s="34">
        <f>SUM(N421:N427)</f>
        <v>0</v>
      </c>
      <c r="O428" s="5"/>
      <c r="P428" s="34">
        <f>SUM(P421:P427)</f>
        <v>109886</v>
      </c>
      <c r="Q428" s="5"/>
      <c r="R428" s="34">
        <f>SUM(R421:R427)</f>
        <v>-5996</v>
      </c>
      <c r="S428" s="5"/>
      <c r="T428" s="34">
        <f>SUM(T421:T427)</f>
        <v>50684</v>
      </c>
      <c r="U428" s="5"/>
      <c r="V428" s="34">
        <f>SUM(V421:V427)</f>
        <v>-29204</v>
      </c>
      <c r="W428" s="5"/>
      <c r="X428" s="34">
        <f>SUM(X421:X427)</f>
        <v>-55858</v>
      </c>
      <c r="Y428" s="5"/>
      <c r="Z428" s="34">
        <f>SUM(Z421:Z427)</f>
        <v>7255</v>
      </c>
      <c r="AA428" s="5"/>
      <c r="AB428" s="34">
        <f>SUM(AB421:AB427)</f>
        <v>0</v>
      </c>
      <c r="AC428" s="5"/>
      <c r="AD428" s="34"/>
      <c r="AF428" s="34">
        <f>SUM(AF421:AF427)</f>
        <v>89637</v>
      </c>
    </row>
    <row r="429" spans="1:32" ht="12">
      <c r="A429" s="17"/>
      <c r="B429" s="17"/>
      <c r="C429" s="17"/>
      <c r="D429" s="40"/>
      <c r="E429" s="17"/>
      <c r="F429" s="30">
        <v>409</v>
      </c>
      <c r="G429" s="5"/>
      <c r="I429" s="5"/>
      <c r="L429" s="5"/>
      <c r="M429" s="5"/>
      <c r="N429" s="5"/>
      <c r="O429" s="5"/>
      <c r="P429" s="5"/>
      <c r="Q429" s="5"/>
      <c r="R429" s="5"/>
      <c r="S429" s="5"/>
      <c r="T429" s="5"/>
      <c r="V429" s="5"/>
      <c r="X429" s="5"/>
      <c r="Z429" s="5"/>
      <c r="AA429" s="5"/>
      <c r="AB429" s="5"/>
      <c r="AC429" s="5"/>
      <c r="AD429" s="5"/>
      <c r="AF429" s="5"/>
    </row>
    <row r="430" spans="1:32" ht="12" hidden="1">
      <c r="A430" s="17"/>
      <c r="B430" s="17"/>
      <c r="C430" s="17"/>
      <c r="D430" s="40" t="s">
        <v>626</v>
      </c>
      <c r="E430" s="17"/>
      <c r="F430" s="30">
        <v>410</v>
      </c>
      <c r="G430" s="31"/>
      <c r="I430" s="31"/>
      <c r="L430" s="31"/>
      <c r="M430" s="5"/>
      <c r="N430" s="31"/>
      <c r="O430" s="5"/>
      <c r="P430" s="31"/>
      <c r="Q430" s="5"/>
      <c r="R430" s="31"/>
      <c r="S430" s="5"/>
      <c r="T430" s="31"/>
      <c r="V430" s="31"/>
      <c r="X430" s="31"/>
      <c r="Z430" s="31"/>
      <c r="AA430" s="5"/>
      <c r="AB430" s="31"/>
      <c r="AC430" s="5"/>
      <c r="AD430" s="31"/>
      <c r="AF430" s="31"/>
    </row>
    <row r="431" spans="1:32" ht="12" hidden="1">
      <c r="A431" s="17"/>
      <c r="B431" s="17"/>
      <c r="C431" s="17"/>
      <c r="D431" s="40" t="s">
        <v>340</v>
      </c>
      <c r="E431" s="17"/>
      <c r="F431" s="20">
        <v>411</v>
      </c>
      <c r="G431" s="31"/>
      <c r="I431" s="31"/>
      <c r="L431" s="31"/>
      <c r="M431" s="5"/>
      <c r="N431" s="31"/>
      <c r="O431" s="5"/>
      <c r="P431" s="31"/>
      <c r="Q431" s="5"/>
      <c r="R431" s="31"/>
      <c r="S431" s="5"/>
      <c r="T431" s="31"/>
      <c r="V431" s="31"/>
      <c r="X431" s="31"/>
      <c r="Z431" s="31"/>
      <c r="AA431" s="5"/>
      <c r="AB431" s="31"/>
      <c r="AC431" s="5"/>
      <c r="AD431" s="31"/>
      <c r="AF431" s="31"/>
    </row>
    <row r="432" spans="1:32" ht="12">
      <c r="A432" s="17"/>
      <c r="B432" s="17"/>
      <c r="C432" s="17"/>
      <c r="D432" s="40" t="s">
        <v>51</v>
      </c>
      <c r="E432" s="17"/>
      <c r="F432" s="30">
        <v>412</v>
      </c>
      <c r="G432" s="31">
        <v>319925</v>
      </c>
      <c r="I432" s="31">
        <v>156679</v>
      </c>
      <c r="L432" s="31">
        <v>-375443</v>
      </c>
      <c r="M432" s="5"/>
      <c r="N432" s="31">
        <v>31777</v>
      </c>
      <c r="O432" s="5"/>
      <c r="P432" s="31">
        <v>-170700</v>
      </c>
      <c r="Q432" s="5"/>
      <c r="R432" s="31">
        <v>29857</v>
      </c>
      <c r="S432" s="5"/>
      <c r="T432" s="31"/>
      <c r="V432" s="31">
        <v>37868</v>
      </c>
      <c r="X432" s="31">
        <v>74270</v>
      </c>
      <c r="Z432" s="31"/>
      <c r="AA432" s="5"/>
      <c r="AB432" s="237"/>
      <c r="AC432" s="5"/>
      <c r="AD432" s="237"/>
      <c r="AF432" s="237">
        <v>-86733</v>
      </c>
    </row>
    <row r="433" spans="1:32" ht="12">
      <c r="A433" s="17"/>
      <c r="B433" s="17"/>
      <c r="C433" s="17"/>
      <c r="D433" s="40" t="s">
        <v>3284</v>
      </c>
      <c r="E433" s="17"/>
      <c r="F433" s="30">
        <v>413</v>
      </c>
      <c r="G433" s="31">
        <v>15886770</v>
      </c>
      <c r="I433" s="31">
        <v>0</v>
      </c>
      <c r="L433" s="31"/>
      <c r="M433" s="5"/>
      <c r="N433" s="31"/>
      <c r="O433" s="5"/>
      <c r="P433" s="31"/>
      <c r="Q433" s="5"/>
      <c r="R433" s="31"/>
      <c r="S433" s="5"/>
      <c r="T433" s="31"/>
      <c r="V433" s="31"/>
      <c r="X433" s="31"/>
      <c r="Z433" s="31"/>
      <c r="AA433" s="5"/>
      <c r="AB433" s="31"/>
      <c r="AC433" s="5"/>
      <c r="AD433" s="31"/>
      <c r="AF433" s="31"/>
    </row>
    <row r="434" spans="1:32" ht="12">
      <c r="A434" s="17"/>
      <c r="B434" s="17"/>
      <c r="C434" s="17"/>
      <c r="D434" s="40" t="s">
        <v>462</v>
      </c>
      <c r="E434" s="17"/>
      <c r="F434" s="20">
        <v>414</v>
      </c>
      <c r="G434" s="31">
        <v>-1300171</v>
      </c>
      <c r="I434" s="31">
        <v>963723</v>
      </c>
      <c r="L434" s="31"/>
      <c r="M434" s="5"/>
      <c r="N434" s="31"/>
      <c r="O434" s="5"/>
      <c r="P434" s="31"/>
      <c r="Q434" s="5"/>
      <c r="R434" s="31"/>
      <c r="S434" s="5"/>
      <c r="T434" s="31"/>
      <c r="V434" s="31"/>
      <c r="X434" s="31"/>
      <c r="Z434" s="31"/>
      <c r="AA434" s="5"/>
      <c r="AB434" s="31"/>
      <c r="AC434" s="5"/>
      <c r="AD434" s="31"/>
      <c r="AF434" s="31"/>
    </row>
    <row r="435" spans="1:32" ht="12">
      <c r="A435" s="17"/>
      <c r="B435" s="17"/>
      <c r="C435" s="17"/>
      <c r="D435" s="40" t="s">
        <v>3289</v>
      </c>
      <c r="E435" s="17"/>
      <c r="F435" s="30">
        <v>415</v>
      </c>
      <c r="G435" s="31">
        <v>0</v>
      </c>
      <c r="I435" s="31"/>
      <c r="L435" s="31"/>
      <c r="M435" s="5"/>
      <c r="N435" s="31"/>
      <c r="O435" s="5"/>
      <c r="P435" s="31"/>
      <c r="Q435" s="5"/>
      <c r="R435" s="31"/>
      <c r="S435" s="5"/>
      <c r="T435" s="31"/>
      <c r="V435" s="31"/>
      <c r="X435" s="31"/>
      <c r="Z435" s="31"/>
      <c r="AA435" s="5"/>
      <c r="AB435" s="31"/>
      <c r="AC435" s="5"/>
      <c r="AD435" s="31"/>
      <c r="AF435" s="31"/>
    </row>
    <row r="436" spans="1:32" ht="12">
      <c r="A436" s="17"/>
      <c r="B436" s="17"/>
      <c r="C436" s="17"/>
      <c r="D436" s="40" t="s">
        <v>3285</v>
      </c>
      <c r="E436" s="17"/>
      <c r="F436" s="30">
        <v>416</v>
      </c>
      <c r="G436" s="31">
        <v>474962</v>
      </c>
      <c r="I436" s="31"/>
      <c r="L436" s="31"/>
      <c r="M436" s="5"/>
      <c r="N436" s="31"/>
      <c r="O436" s="5"/>
      <c r="P436" s="31"/>
      <c r="Q436" s="5"/>
      <c r="R436" s="31"/>
      <c r="S436" s="5"/>
      <c r="T436" s="31"/>
      <c r="V436" s="31"/>
      <c r="X436" s="31"/>
      <c r="Z436" s="31"/>
      <c r="AA436" s="5"/>
      <c r="AB436" s="31"/>
      <c r="AC436" s="5"/>
      <c r="AD436" s="31"/>
      <c r="AF436" s="31"/>
    </row>
    <row r="437" spans="1:32" ht="12">
      <c r="A437" s="17"/>
      <c r="B437" s="17"/>
      <c r="C437" s="17"/>
      <c r="D437" s="40" t="s">
        <v>463</v>
      </c>
      <c r="E437" s="17"/>
      <c r="F437" s="20">
        <v>417</v>
      </c>
      <c r="G437" s="31"/>
      <c r="I437" s="31"/>
      <c r="L437" s="31"/>
      <c r="M437" s="5"/>
      <c r="N437" s="31"/>
      <c r="O437" s="5"/>
      <c r="P437" s="31"/>
      <c r="Q437" s="5"/>
      <c r="R437" s="31"/>
      <c r="S437" s="5"/>
      <c r="T437" s="31"/>
      <c r="V437" s="31"/>
      <c r="X437" s="31"/>
      <c r="Z437" s="31"/>
      <c r="AA437" s="5"/>
      <c r="AB437" s="31"/>
      <c r="AC437" s="5"/>
      <c r="AD437" s="31"/>
      <c r="AF437" s="31"/>
    </row>
    <row r="438" spans="1:32" ht="12">
      <c r="A438" s="17"/>
      <c r="B438" s="17"/>
      <c r="C438" s="17"/>
      <c r="D438" s="40" t="s">
        <v>84</v>
      </c>
      <c r="E438" s="17"/>
      <c r="F438" s="30">
        <v>418</v>
      </c>
      <c r="G438" s="31"/>
      <c r="I438" s="31"/>
      <c r="L438" s="31"/>
      <c r="M438" s="5"/>
      <c r="N438" s="31"/>
      <c r="O438" s="5"/>
      <c r="P438" s="31"/>
      <c r="Q438" s="5"/>
      <c r="R438" s="31"/>
      <c r="S438" s="5"/>
      <c r="T438" s="31"/>
      <c r="V438" s="31"/>
      <c r="X438" s="31"/>
      <c r="Z438" s="31"/>
      <c r="AA438" s="5"/>
      <c r="AB438" s="31"/>
      <c r="AC438" s="5"/>
      <c r="AD438" s="31"/>
      <c r="AF438" s="31"/>
    </row>
    <row r="439" spans="1:32" ht="12">
      <c r="A439" s="17"/>
      <c r="B439" s="17"/>
      <c r="C439" s="17"/>
      <c r="D439" s="40" t="s">
        <v>87</v>
      </c>
      <c r="E439" s="17"/>
      <c r="F439" s="30">
        <v>419</v>
      </c>
      <c r="G439" s="88">
        <v>0</v>
      </c>
      <c r="I439" s="88">
        <v>0</v>
      </c>
      <c r="L439" s="88">
        <v>0</v>
      </c>
      <c r="M439" s="5"/>
      <c r="N439" s="88">
        <v>0</v>
      </c>
      <c r="O439" s="5"/>
      <c r="P439" s="88">
        <v>0</v>
      </c>
      <c r="Q439" s="5"/>
      <c r="R439" s="88">
        <v>0</v>
      </c>
      <c r="S439" s="5"/>
      <c r="T439" s="88">
        <v>0</v>
      </c>
      <c r="V439" s="88">
        <v>0</v>
      </c>
      <c r="X439" s="88">
        <v>0</v>
      </c>
      <c r="Z439" s="88">
        <v>0</v>
      </c>
      <c r="AA439" s="5"/>
      <c r="AB439" s="88">
        <v>0</v>
      </c>
      <c r="AC439" s="5"/>
      <c r="AD439" s="88"/>
      <c r="AF439" s="88">
        <v>0</v>
      </c>
    </row>
    <row r="440" spans="1:32" ht="12">
      <c r="A440" s="17"/>
      <c r="B440" s="17"/>
      <c r="C440" s="17"/>
      <c r="D440" s="40" t="s">
        <v>275</v>
      </c>
      <c r="E440" s="17"/>
      <c r="F440" s="20">
        <v>420</v>
      </c>
      <c r="G440" s="88">
        <v>0</v>
      </c>
      <c r="I440" s="88">
        <v>0</v>
      </c>
      <c r="L440" s="88">
        <v>0</v>
      </c>
      <c r="M440" s="5"/>
      <c r="N440" s="88">
        <v>0</v>
      </c>
      <c r="O440" s="5"/>
      <c r="P440" s="88"/>
      <c r="Q440" s="5"/>
      <c r="R440" s="88">
        <v>0</v>
      </c>
      <c r="S440" s="5"/>
      <c r="T440" s="88">
        <v>0</v>
      </c>
      <c r="V440" s="88">
        <v>0</v>
      </c>
      <c r="X440" s="88">
        <v>0</v>
      </c>
      <c r="Z440" s="88">
        <v>0</v>
      </c>
      <c r="AA440" s="5"/>
      <c r="AB440" s="88">
        <v>0</v>
      </c>
      <c r="AC440" s="5"/>
      <c r="AD440" s="88"/>
      <c r="AF440" s="88">
        <v>0</v>
      </c>
    </row>
    <row r="441" spans="1:32" ht="12">
      <c r="A441" s="17"/>
      <c r="B441" s="17"/>
      <c r="C441" s="17"/>
      <c r="D441" s="40" t="s">
        <v>90</v>
      </c>
      <c r="E441" s="17"/>
      <c r="F441" s="30">
        <v>421</v>
      </c>
      <c r="G441" s="34">
        <f>SUM(G432:G440)</f>
        <v>15381486</v>
      </c>
      <c r="I441" s="34">
        <f>SUM(I432:I440)</f>
        <v>1120402</v>
      </c>
      <c r="L441" s="34">
        <f>SUM(L432:L440)</f>
        <v>-375443</v>
      </c>
      <c r="M441" s="5"/>
      <c r="N441" s="34">
        <f>SUM(N432:N440)</f>
        <v>31777</v>
      </c>
      <c r="O441" s="5"/>
      <c r="P441" s="34">
        <f>SUM(P432:P440)</f>
        <v>-170700</v>
      </c>
      <c r="Q441" s="5"/>
      <c r="R441" s="34">
        <f>SUM(R432:R440)</f>
        <v>29857</v>
      </c>
      <c r="S441" s="5"/>
      <c r="T441" s="34">
        <f>SUM(T432:T440)</f>
        <v>0</v>
      </c>
      <c r="U441" s="5"/>
      <c r="V441" s="34">
        <f>SUM(V432:V440)</f>
        <v>37868</v>
      </c>
      <c r="W441" s="5"/>
      <c r="X441" s="34">
        <f>SUM(X432:X440)</f>
        <v>74270</v>
      </c>
      <c r="Y441" s="5"/>
      <c r="Z441" s="34">
        <f>SUM(Z432:Z440)</f>
        <v>0</v>
      </c>
      <c r="AA441" s="5"/>
      <c r="AB441" s="34">
        <f>SUM(AB432:AB440)</f>
        <v>0</v>
      </c>
      <c r="AC441" s="5"/>
      <c r="AD441" s="34"/>
      <c r="AF441" s="34">
        <f>SUM(AF432:AF440)</f>
        <v>-86733</v>
      </c>
    </row>
    <row r="442" spans="1:32" ht="12">
      <c r="A442" s="17"/>
      <c r="B442" s="17"/>
      <c r="C442" s="17"/>
      <c r="D442" s="40"/>
      <c r="E442" s="17"/>
      <c r="F442" s="30">
        <v>422</v>
      </c>
      <c r="G442" s="5"/>
      <c r="I442" s="5"/>
      <c r="L442" s="5"/>
      <c r="M442" s="5"/>
      <c r="N442" s="5"/>
      <c r="O442" s="5"/>
      <c r="P442" s="5"/>
      <c r="Q442" s="5"/>
      <c r="R442" s="5"/>
      <c r="S442" s="5"/>
      <c r="T442" s="5"/>
      <c r="V442" s="5"/>
      <c r="X442" s="5"/>
      <c r="Z442" s="5"/>
      <c r="AA442" s="5"/>
      <c r="AB442" s="5"/>
      <c r="AC442" s="5"/>
      <c r="AD442" s="5"/>
      <c r="AF442" s="5"/>
    </row>
    <row r="443" spans="1:32">
      <c r="B443" s="17"/>
      <c r="C443" s="40" t="s">
        <v>833</v>
      </c>
      <c r="D443" s="40"/>
      <c r="E443" s="17"/>
      <c r="F443" s="20">
        <v>423</v>
      </c>
      <c r="G443" s="5"/>
      <c r="I443" s="5"/>
      <c r="L443" s="5"/>
      <c r="M443" s="5"/>
      <c r="N443" s="5"/>
      <c r="O443" s="5"/>
      <c r="P443" s="5"/>
      <c r="Q443" s="5"/>
      <c r="R443" s="5"/>
      <c r="S443" s="5"/>
      <c r="T443" s="5"/>
      <c r="V443" s="5"/>
      <c r="X443" s="5"/>
      <c r="Z443" s="5"/>
      <c r="AA443" s="5"/>
      <c r="AB443" s="5"/>
      <c r="AC443" s="5"/>
      <c r="AD443" s="5"/>
      <c r="AF443" s="5"/>
    </row>
    <row r="444" spans="1:32">
      <c r="A444" s="17"/>
      <c r="D444" s="40" t="s">
        <v>834</v>
      </c>
      <c r="E444" s="17"/>
      <c r="F444" s="30">
        <v>424</v>
      </c>
      <c r="G444" s="31"/>
      <c r="I444" s="31"/>
      <c r="L444" s="31"/>
      <c r="M444" s="5"/>
      <c r="N444" s="31"/>
      <c r="O444" s="5"/>
      <c r="P444" s="31"/>
      <c r="Q444" s="5"/>
      <c r="R444" s="31"/>
      <c r="S444" s="5"/>
      <c r="T444" s="31"/>
      <c r="V444" s="31"/>
      <c r="X444" s="31"/>
      <c r="Z444" s="31"/>
      <c r="AA444" s="5"/>
      <c r="AB444" s="31"/>
      <c r="AC444" s="5"/>
      <c r="AD444" s="31"/>
      <c r="AF444" s="31"/>
    </row>
    <row r="445" spans="1:32">
      <c r="A445" s="17"/>
      <c r="D445" s="40" t="s">
        <v>835</v>
      </c>
      <c r="E445" s="17"/>
      <c r="F445" s="30">
        <v>425</v>
      </c>
      <c r="G445" s="31">
        <v>-285760</v>
      </c>
      <c r="I445" s="31"/>
      <c r="L445" s="31"/>
      <c r="M445" s="5"/>
      <c r="N445" s="31"/>
      <c r="O445" s="5"/>
      <c r="P445" s="31"/>
      <c r="Q445" s="5"/>
      <c r="R445" s="31"/>
      <c r="S445" s="5"/>
      <c r="T445" s="31"/>
      <c r="V445" s="31"/>
      <c r="X445" s="31"/>
      <c r="Z445" s="31"/>
      <c r="AA445" s="5"/>
      <c r="AB445" s="31"/>
      <c r="AC445" s="5"/>
      <c r="AD445" s="31"/>
      <c r="AF445" s="31"/>
    </row>
    <row r="446" spans="1:32" ht="12">
      <c r="A446" s="17"/>
      <c r="B446" s="17"/>
      <c r="C446" s="17"/>
      <c r="D446" s="40" t="s">
        <v>837</v>
      </c>
      <c r="E446" s="17"/>
      <c r="F446" s="20">
        <v>426</v>
      </c>
      <c r="G446" s="88">
        <f>SUM(G444:G445)</f>
        <v>-285760</v>
      </c>
      <c r="I446" s="88">
        <f>SUM(I444:I445)</f>
        <v>0</v>
      </c>
      <c r="L446" s="88">
        <f>SUM(L444:L445)</f>
        <v>0</v>
      </c>
      <c r="M446" s="5"/>
      <c r="N446" s="88">
        <f>SUM(N444:N445)</f>
        <v>0</v>
      </c>
      <c r="O446" s="5"/>
      <c r="P446" s="88">
        <f>SUM(P444:P445)</f>
        <v>0</v>
      </c>
      <c r="Q446" s="5"/>
      <c r="R446" s="88">
        <f>SUM(R444:R445)</f>
        <v>0</v>
      </c>
      <c r="S446" s="5"/>
      <c r="T446" s="88">
        <f>SUM(T444:T445)</f>
        <v>0</v>
      </c>
      <c r="V446" s="88">
        <f>SUM(V444:V445)</f>
        <v>0</v>
      </c>
      <c r="X446" s="88">
        <f>SUM(X444:X445)</f>
        <v>0</v>
      </c>
      <c r="Z446" s="88">
        <f>SUM(Z444:Z445)</f>
        <v>0</v>
      </c>
      <c r="AA446" s="5"/>
      <c r="AB446" s="88">
        <f>SUM(AB444:AB445)</f>
        <v>0</v>
      </c>
      <c r="AC446" s="5"/>
      <c r="AD446" s="88"/>
      <c r="AF446" s="88">
        <f>SUM(AF444:AF445)</f>
        <v>0</v>
      </c>
    </row>
    <row r="447" spans="1:32" ht="12">
      <c r="A447" s="17"/>
      <c r="B447" s="17"/>
      <c r="C447" s="17"/>
      <c r="D447" s="40"/>
      <c r="E447" s="17"/>
      <c r="F447" s="30">
        <v>427</v>
      </c>
      <c r="G447" s="5"/>
      <c r="I447" s="5"/>
      <c r="L447" s="5"/>
      <c r="M447" s="5"/>
      <c r="N447" s="5"/>
      <c r="O447" s="5"/>
      <c r="P447" s="5"/>
      <c r="Q447" s="5"/>
      <c r="R447" s="5"/>
      <c r="S447" s="5"/>
      <c r="T447" s="5"/>
      <c r="V447" s="5"/>
      <c r="X447" s="5"/>
      <c r="Z447" s="5"/>
      <c r="AA447" s="5"/>
      <c r="AB447" s="5"/>
      <c r="AC447" s="5"/>
      <c r="AD447" s="5"/>
      <c r="AF447" s="5"/>
    </row>
    <row r="448" spans="1:32" ht="12.6" thickBot="1">
      <c r="A448" s="24" t="s">
        <v>598</v>
      </c>
      <c r="B448" s="17"/>
      <c r="C448" s="17"/>
      <c r="D448" s="17"/>
      <c r="E448" s="17"/>
      <c r="F448" s="30">
        <v>428</v>
      </c>
      <c r="G448" s="38">
        <f>G441+G428+G417+G412+SUM(G390:G407)+SUM(G384:G387)+G383+G380+G446</f>
        <v>46954086</v>
      </c>
      <c r="I448" s="38">
        <f>I441+I428+I417+I412+SUM(I390:I407)+SUM(I384:I387)+I383+I380+I446</f>
        <v>4022579</v>
      </c>
      <c r="L448" s="38">
        <f>L441+L428+L417+L412+SUM(L390:L407)+SUM(L384:L387)+L383+L380+L446</f>
        <v>-10851071</v>
      </c>
      <c r="M448" s="5"/>
      <c r="N448" s="38">
        <f>N441+N428+N417+N412+SUM(N390:N407)+SUM(N384:N387)+N383+N380+N446</f>
        <v>1237552</v>
      </c>
      <c r="O448" s="5"/>
      <c r="P448" s="38">
        <f>P441+P428+P417+P412+SUM(P390:P407)+SUM(P384:P387)+P383+P380+P446</f>
        <v>26021178</v>
      </c>
      <c r="Q448" s="5"/>
      <c r="R448" s="38">
        <f>R441+R428+R417+R412+SUM(R390:R407)+SUM(R384:R387)+R383+R380+R446</f>
        <v>-853775</v>
      </c>
      <c r="S448" s="5"/>
      <c r="T448" s="38">
        <f>T441+T428+T417+T412+SUM(T390:T407)+SUM(T384:T387)+T383+T380+T446</f>
        <v>-37972355</v>
      </c>
      <c r="U448" s="5"/>
      <c r="V448" s="38">
        <f>V441+V428+V417+V412+SUM(V390:V407)+SUM(V384:V387)+V383+V380+V446</f>
        <v>10303319</v>
      </c>
      <c r="W448" s="5"/>
      <c r="X448" s="38">
        <f>X441+X428+X417+X412+SUM(X390:X407)+SUM(X384:X387)+X383+X380+X446</f>
        <v>-287312</v>
      </c>
      <c r="Y448" s="5"/>
      <c r="Z448" s="38">
        <f>Z441+Z428+Z417+Z412+SUM(Z390:Z407)+SUM(Z384:Z387)+Z383+Z380+Z446</f>
        <v>6866673</v>
      </c>
      <c r="AA448" s="5"/>
      <c r="AB448" s="38">
        <f>AB441+AB428+AB417+AB412+SUM(AB390:AB407)+SUM(AB384:AB387)+AB383+AB380+AB446</f>
        <v>-665373</v>
      </c>
      <c r="AC448" s="5"/>
      <c r="AD448" s="38"/>
      <c r="AF448" s="38">
        <f>AF441+AF428+AF417+AF412+SUM(AF390:AF407)+SUM(AF384:AF387)+AF383+AF380+AF446</f>
        <v>221683</v>
      </c>
    </row>
    <row r="449" spans="1:32" ht="12.6" thickTop="1">
      <c r="A449" s="27"/>
      <c r="B449" s="17"/>
      <c r="C449" s="17"/>
      <c r="D449" s="531" t="s">
        <v>3457</v>
      </c>
      <c r="E449" s="17"/>
      <c r="F449" s="20">
        <v>429</v>
      </c>
      <c r="G449" s="530">
        <f>G448-G308</f>
        <v>0</v>
      </c>
      <c r="I449" s="530">
        <f>I448-I308</f>
        <v>0</v>
      </c>
      <c r="L449" s="530">
        <f>L448-L308</f>
        <v>0</v>
      </c>
      <c r="M449" s="78"/>
      <c r="N449" s="530">
        <f>N448-N308</f>
        <v>0</v>
      </c>
      <c r="O449" s="78"/>
      <c r="P449" s="530">
        <f>P448-P308</f>
        <v>0</v>
      </c>
      <c r="R449" s="530">
        <f>R448-R308</f>
        <v>0</v>
      </c>
      <c r="T449" s="530">
        <f>T448-T308</f>
        <v>0</v>
      </c>
      <c r="V449" s="530">
        <f>V448-V308</f>
        <v>0</v>
      </c>
      <c r="X449" s="530">
        <f>X448-X308</f>
        <v>0</v>
      </c>
      <c r="Z449" s="530">
        <f>Z448-Z308</f>
        <v>0</v>
      </c>
      <c r="AA449" s="5"/>
      <c r="AB449" s="530">
        <f>AB448-AB308</f>
        <v>0</v>
      </c>
      <c r="AC449" s="5"/>
      <c r="AD449" s="530"/>
      <c r="AF449" s="530">
        <f>AF448-AF308</f>
        <v>0</v>
      </c>
    </row>
    <row r="450" spans="1:32" ht="12">
      <c r="A450" s="18" t="s">
        <v>68</v>
      </c>
      <c r="B450" s="17"/>
      <c r="C450" s="17"/>
      <c r="D450" s="17"/>
      <c r="E450" s="17"/>
      <c r="F450" s="30">
        <v>430</v>
      </c>
      <c r="G450" s="47"/>
      <c r="I450" s="47"/>
      <c r="L450" s="47"/>
      <c r="M450" s="47"/>
      <c r="N450" s="47"/>
      <c r="O450" s="47"/>
      <c r="P450" s="47"/>
      <c r="R450" s="47"/>
      <c r="T450" s="47"/>
      <c r="V450" s="47"/>
      <c r="X450" s="47"/>
      <c r="Z450" s="47"/>
      <c r="AA450" s="47"/>
      <c r="AB450" s="47"/>
      <c r="AC450" s="47"/>
      <c r="AD450" s="47"/>
      <c r="AF450" s="47"/>
    </row>
    <row r="451" spans="1:32" ht="12">
      <c r="A451" s="18"/>
      <c r="B451" s="17"/>
      <c r="C451" s="17"/>
      <c r="D451" s="17"/>
      <c r="E451" s="17"/>
      <c r="F451" s="30">
        <v>431</v>
      </c>
      <c r="G451" s="5"/>
      <c r="I451" s="5"/>
      <c r="L451" s="5"/>
      <c r="M451" s="5"/>
      <c r="N451" s="5"/>
      <c r="O451" s="5"/>
      <c r="P451" s="5"/>
      <c r="Q451" s="26"/>
      <c r="R451" s="5"/>
      <c r="S451" s="26"/>
      <c r="T451" s="5"/>
      <c r="V451" s="5"/>
      <c r="X451" s="5"/>
      <c r="Z451" s="5"/>
      <c r="AA451" s="5"/>
      <c r="AB451" s="5"/>
      <c r="AC451" s="5"/>
      <c r="AD451" s="5"/>
      <c r="AF451" s="5"/>
    </row>
    <row r="452" spans="1:32" ht="12">
      <c r="A452" s="40" t="s">
        <v>717</v>
      </c>
      <c r="B452" s="17"/>
      <c r="C452" s="17"/>
      <c r="D452" s="17"/>
      <c r="E452" s="17"/>
      <c r="F452" s="20">
        <v>432</v>
      </c>
      <c r="G452" s="5"/>
      <c r="I452" s="5"/>
      <c r="L452" s="5"/>
      <c r="M452" s="5"/>
      <c r="N452" s="5"/>
      <c r="O452" s="5"/>
      <c r="P452" s="5"/>
      <c r="Q452" s="26"/>
      <c r="R452" s="5"/>
      <c r="S452" s="26"/>
      <c r="T452" s="5"/>
      <c r="V452" s="5"/>
      <c r="X452" s="5"/>
      <c r="Z452" s="5"/>
      <c r="AA452" s="5"/>
      <c r="AB452" s="5"/>
      <c r="AC452" s="5"/>
      <c r="AD452" s="5"/>
      <c r="AF452" s="5"/>
    </row>
    <row r="453" spans="1:32" ht="12">
      <c r="A453" s="27"/>
      <c r="B453" s="17"/>
      <c r="C453" s="17"/>
      <c r="D453" s="17"/>
      <c r="E453" s="17"/>
      <c r="F453" s="30">
        <v>433</v>
      </c>
      <c r="G453" s="5"/>
      <c r="I453" s="5"/>
      <c r="L453" s="5"/>
      <c r="M453" s="5"/>
      <c r="N453" s="5"/>
      <c r="O453" s="5"/>
      <c r="P453" s="5"/>
      <c r="Q453" s="26"/>
      <c r="R453" s="5"/>
      <c r="S453" s="26"/>
      <c r="T453" s="5"/>
      <c r="V453" s="5"/>
      <c r="X453" s="5"/>
      <c r="Z453" s="5"/>
      <c r="AA453" s="5"/>
      <c r="AB453" s="5"/>
      <c r="AC453" s="5"/>
      <c r="AD453" s="5"/>
      <c r="AF453" s="5"/>
    </row>
    <row r="454" spans="1:32" ht="12">
      <c r="A454" s="17"/>
      <c r="B454" s="24" t="s">
        <v>607</v>
      </c>
      <c r="C454" s="17"/>
      <c r="D454" s="17"/>
      <c r="E454" s="17"/>
      <c r="F454" s="30">
        <v>434</v>
      </c>
      <c r="G454" s="31"/>
      <c r="I454" s="31"/>
      <c r="L454" s="31"/>
      <c r="M454" s="5"/>
      <c r="N454" s="31"/>
      <c r="O454" s="5"/>
      <c r="P454" s="31"/>
      <c r="Q454" s="26"/>
      <c r="R454" s="31"/>
      <c r="S454" s="26"/>
      <c r="T454" s="31"/>
      <c r="V454" s="31">
        <v>3258106</v>
      </c>
      <c r="X454" s="31"/>
      <c r="Z454" s="31"/>
      <c r="AA454" s="5"/>
      <c r="AB454" s="31"/>
      <c r="AC454" s="5"/>
      <c r="AD454" s="31"/>
      <c r="AF454" s="31"/>
    </row>
    <row r="455" spans="1:32" ht="12">
      <c r="A455" s="17"/>
      <c r="B455" s="24" t="s">
        <v>3288</v>
      </c>
      <c r="C455" s="17"/>
      <c r="D455" s="17"/>
      <c r="E455" s="17"/>
      <c r="F455" s="20">
        <v>435</v>
      </c>
      <c r="G455" s="31">
        <v>41322865</v>
      </c>
      <c r="I455" s="31"/>
      <c r="L455" s="31">
        <v>20818977</v>
      </c>
      <c r="M455" s="5"/>
      <c r="N455" s="31"/>
      <c r="O455" s="5"/>
      <c r="P455" s="31"/>
      <c r="Q455" s="26"/>
      <c r="R455" s="31"/>
      <c r="S455" s="26"/>
      <c r="T455" s="31"/>
      <c r="V455" s="31"/>
      <c r="X455" s="31"/>
      <c r="Z455" s="31"/>
      <c r="AA455" s="5"/>
      <c r="AB455" s="31"/>
      <c r="AC455" s="5"/>
      <c r="AD455" s="31"/>
      <c r="AF455" s="31"/>
    </row>
    <row r="456" spans="1:32" ht="12">
      <c r="A456" s="17"/>
      <c r="B456" s="24" t="s">
        <v>3216</v>
      </c>
      <c r="C456" s="17"/>
      <c r="D456" s="17"/>
      <c r="E456" s="17"/>
      <c r="F456" s="30">
        <v>436</v>
      </c>
      <c r="G456" s="31">
        <v>0</v>
      </c>
      <c r="I456" s="31"/>
      <c r="L456" s="31">
        <v>0</v>
      </c>
      <c r="M456" s="5"/>
      <c r="N456" s="31"/>
      <c r="O456" s="5"/>
      <c r="P456" s="31"/>
      <c r="Q456" s="26"/>
      <c r="R456" s="31"/>
      <c r="S456" s="26"/>
      <c r="T456" s="31"/>
      <c r="V456" s="31"/>
      <c r="X456" s="31"/>
      <c r="Z456" s="31"/>
      <c r="AA456" s="5"/>
      <c r="AB456" s="31"/>
      <c r="AC456" s="5"/>
      <c r="AD456" s="31"/>
      <c r="AF456" s="31"/>
    </row>
    <row r="457" spans="1:32" ht="12">
      <c r="A457" s="17"/>
      <c r="B457" s="24" t="s">
        <v>3287</v>
      </c>
      <c r="C457" s="17"/>
      <c r="D457" s="17"/>
      <c r="E457" s="17"/>
      <c r="F457" s="30">
        <v>437</v>
      </c>
      <c r="G457" s="31">
        <v>1331462</v>
      </c>
      <c r="I457" s="31"/>
      <c r="L457" s="31">
        <v>2742482</v>
      </c>
      <c r="M457" s="5"/>
      <c r="N457" s="31"/>
      <c r="O457" s="5"/>
      <c r="P457" s="31"/>
      <c r="Q457" s="26"/>
      <c r="R457" s="31">
        <v>197998</v>
      </c>
      <c r="S457" s="26"/>
      <c r="T457" s="31"/>
      <c r="V457" s="31"/>
      <c r="X457" s="31"/>
      <c r="Z457" s="31"/>
      <c r="AA457" s="5"/>
      <c r="AB457" s="31"/>
      <c r="AC457" s="5"/>
      <c r="AD457" s="31"/>
      <c r="AF457" s="31"/>
    </row>
    <row r="458" spans="1:32" ht="12" hidden="1">
      <c r="A458" s="17"/>
      <c r="B458" s="24" t="s">
        <v>509</v>
      </c>
      <c r="C458" s="17"/>
      <c r="D458" s="17"/>
      <c r="E458" s="17"/>
      <c r="F458" s="20">
        <v>438</v>
      </c>
      <c r="G458" s="31"/>
      <c r="I458" s="31"/>
      <c r="L458" s="31"/>
      <c r="M458" s="5"/>
      <c r="N458" s="31"/>
      <c r="O458" s="5"/>
      <c r="P458" s="31"/>
      <c r="Q458" s="26"/>
      <c r="R458" s="31"/>
      <c r="S458" s="26"/>
      <c r="T458" s="31"/>
      <c r="V458" s="31"/>
      <c r="X458" s="31"/>
      <c r="Z458" s="31"/>
      <c r="AA458" s="5"/>
      <c r="AB458" s="31"/>
      <c r="AC458" s="5"/>
      <c r="AD458" s="31"/>
      <c r="AF458" s="31"/>
    </row>
    <row r="459" spans="1:32" ht="12">
      <c r="A459" s="17"/>
      <c r="B459" s="24" t="s">
        <v>608</v>
      </c>
      <c r="C459" s="17"/>
      <c r="D459" s="17"/>
      <c r="E459" s="17"/>
      <c r="F459" s="30">
        <v>439</v>
      </c>
      <c r="G459" s="31"/>
      <c r="I459" s="31"/>
      <c r="L459" s="31"/>
      <c r="M459" s="5"/>
      <c r="N459" s="31"/>
      <c r="O459" s="5"/>
      <c r="P459" s="31"/>
      <c r="Q459" s="26"/>
      <c r="R459" s="31"/>
      <c r="S459" s="26"/>
      <c r="T459" s="31"/>
      <c r="V459" s="31"/>
      <c r="X459" s="31"/>
      <c r="Z459" s="31"/>
      <c r="AA459" s="5"/>
      <c r="AB459" s="31"/>
      <c r="AC459" s="5"/>
      <c r="AD459" s="31"/>
      <c r="AF459" s="31"/>
    </row>
    <row r="460" spans="1:32" ht="12.75" customHeight="1">
      <c r="A460" s="17"/>
      <c r="B460" s="24" t="s">
        <v>449</v>
      </c>
      <c r="C460" s="17"/>
      <c r="D460" s="17"/>
      <c r="E460" s="17"/>
      <c r="F460" s="30">
        <v>440</v>
      </c>
      <c r="G460" s="31"/>
      <c r="I460" s="31"/>
      <c r="L460" s="31"/>
      <c r="M460" s="5"/>
      <c r="N460" s="31"/>
      <c r="O460" s="5"/>
      <c r="P460" s="31"/>
      <c r="Q460" s="26"/>
      <c r="R460" s="31"/>
      <c r="S460" s="26"/>
      <c r="T460" s="31"/>
      <c r="V460" s="31"/>
      <c r="X460" s="31"/>
      <c r="Z460" s="31"/>
      <c r="AA460" s="5"/>
      <c r="AB460" s="31"/>
      <c r="AC460" s="5"/>
      <c r="AD460" s="31"/>
      <c r="AF460" s="31"/>
    </row>
    <row r="461" spans="1:32" ht="12">
      <c r="A461" s="17"/>
      <c r="B461" s="24" t="s">
        <v>366</v>
      </c>
      <c r="C461" s="17"/>
      <c r="D461" s="17"/>
      <c r="E461" s="17"/>
      <c r="F461" s="20">
        <v>441</v>
      </c>
      <c r="G461" s="31"/>
      <c r="I461" s="31"/>
      <c r="L461" s="31"/>
      <c r="M461" s="5"/>
      <c r="N461" s="31"/>
      <c r="O461" s="5"/>
      <c r="P461" s="31">
        <v>-260774</v>
      </c>
      <c r="Q461" s="26"/>
      <c r="R461" s="31"/>
      <c r="S461" s="26"/>
      <c r="T461" s="31"/>
      <c r="V461" s="31"/>
      <c r="X461" s="31"/>
      <c r="Z461" s="31"/>
      <c r="AA461" s="5"/>
      <c r="AB461" s="31"/>
      <c r="AC461" s="5"/>
      <c r="AD461" s="31"/>
      <c r="AF461" s="31"/>
    </row>
    <row r="462" spans="1:32" ht="12">
      <c r="A462" s="17"/>
      <c r="B462" s="24" t="s">
        <v>570</v>
      </c>
      <c r="C462" s="17"/>
      <c r="D462" s="17"/>
      <c r="E462" s="133"/>
      <c r="F462" s="30">
        <v>442</v>
      </c>
      <c r="G462" s="31"/>
      <c r="I462" s="31"/>
      <c r="L462" s="31"/>
      <c r="M462" s="5"/>
      <c r="N462" s="31"/>
      <c r="O462" s="5"/>
      <c r="P462" s="31"/>
      <c r="Q462" s="26"/>
      <c r="R462" s="31"/>
      <c r="S462" s="26"/>
      <c r="T462" s="31"/>
      <c r="V462" s="31"/>
      <c r="X462" s="31"/>
      <c r="Z462" s="31"/>
      <c r="AA462" s="5"/>
      <c r="AB462" s="31"/>
      <c r="AC462" s="5"/>
      <c r="AD462" s="31"/>
      <c r="AF462" s="31"/>
    </row>
    <row r="463" spans="1:32" ht="12">
      <c r="A463" s="27"/>
      <c r="B463" s="17"/>
      <c r="C463" s="17"/>
      <c r="D463" s="17"/>
      <c r="E463" s="17"/>
      <c r="F463" s="30">
        <v>443</v>
      </c>
      <c r="G463" s="5"/>
      <c r="I463" s="5"/>
      <c r="L463" s="5"/>
      <c r="M463" s="5"/>
      <c r="N463" s="5"/>
      <c r="O463" s="5"/>
      <c r="P463" s="5"/>
      <c r="Q463" s="26"/>
      <c r="R463" s="5"/>
      <c r="S463" s="26"/>
      <c r="T463" s="5"/>
      <c r="V463" s="5"/>
      <c r="X463" s="5"/>
      <c r="Z463" s="5"/>
      <c r="AA463" s="5"/>
      <c r="AB463" s="5"/>
      <c r="AC463" s="5"/>
      <c r="AD463" s="5"/>
      <c r="AF463" s="5"/>
    </row>
    <row r="464" spans="1:32" ht="12.6" thickBot="1">
      <c r="A464" s="24" t="s">
        <v>609</v>
      </c>
      <c r="B464" s="17"/>
      <c r="C464" s="17"/>
      <c r="D464" s="17"/>
      <c r="E464" s="17"/>
      <c r="F464" s="30">
        <v>444</v>
      </c>
      <c r="G464" s="38">
        <f>SUM(G454:G462)</f>
        <v>42654327</v>
      </c>
      <c r="I464" s="38">
        <f>SUM(I454:I463)</f>
        <v>0</v>
      </c>
      <c r="L464" s="38">
        <f>SUM(L454:L463)</f>
        <v>23561459</v>
      </c>
      <c r="M464" s="5"/>
      <c r="N464" s="38">
        <f>SUM(N454:N463)</f>
        <v>0</v>
      </c>
      <c r="O464" s="5"/>
      <c r="P464" s="38">
        <f>SUM(P454:P463)</f>
        <v>-260774</v>
      </c>
      <c r="Q464" s="5"/>
      <c r="R464" s="38">
        <f t="shared" ref="R464:AF464" si="69">SUM(R454:R463)</f>
        <v>197998</v>
      </c>
      <c r="S464" s="5"/>
      <c r="T464" s="38">
        <f t="shared" si="69"/>
        <v>0</v>
      </c>
      <c r="U464" s="5"/>
      <c r="V464" s="38">
        <f t="shared" si="69"/>
        <v>3258106</v>
      </c>
      <c r="W464" s="5"/>
      <c r="X464" s="38">
        <f t="shared" si="69"/>
        <v>0</v>
      </c>
      <c r="Y464" s="5"/>
      <c r="Z464" s="38">
        <f t="shared" ref="Z464" si="70">SUM(Z454:Z463)</f>
        <v>0</v>
      </c>
      <c r="AA464" s="5"/>
      <c r="AB464" s="38">
        <f t="shared" ref="AB464" si="71">SUM(AB454:AB463)</f>
        <v>0</v>
      </c>
      <c r="AC464" s="5"/>
      <c r="AD464" s="38"/>
      <c r="AF464" s="38">
        <f t="shared" si="69"/>
        <v>0</v>
      </c>
    </row>
    <row r="465" spans="1:33" ht="12.6" thickTop="1">
      <c r="A465" s="24"/>
      <c r="B465" s="17"/>
      <c r="C465" s="17"/>
      <c r="D465" s="17"/>
      <c r="E465" s="17"/>
      <c r="F465" s="20"/>
      <c r="I465" s="5"/>
    </row>
    <row r="466" spans="1:33">
      <c r="A466" s="17"/>
      <c r="B466" s="17"/>
      <c r="C466" s="17"/>
      <c r="D466" s="17"/>
      <c r="E466" s="17"/>
      <c r="G466" s="219"/>
      <c r="I466" s="219"/>
    </row>
    <row r="468" spans="1:33" ht="13.8" thickBot="1">
      <c r="A468" s="134"/>
      <c r="B468" s="134"/>
      <c r="C468" s="134"/>
      <c r="D468" s="134"/>
      <c r="E468" s="134"/>
      <c r="F468" s="134"/>
      <c r="G468" s="135"/>
      <c r="H468" s="135"/>
      <c r="I468" s="135"/>
      <c r="J468" s="135"/>
    </row>
    <row r="469" spans="1:33" hidden="1">
      <c r="B469" s="467"/>
      <c r="C469" s="467"/>
      <c r="D469" s="467"/>
      <c r="E469" s="467"/>
      <c r="F469" s="467"/>
      <c r="G469" s="468"/>
      <c r="H469" s="468"/>
      <c r="I469" s="468"/>
      <c r="J469" s="468"/>
      <c r="K469" s="468"/>
      <c r="L469" s="468"/>
      <c r="M469" s="468"/>
      <c r="N469" s="468"/>
      <c r="O469" s="468"/>
      <c r="P469" s="468"/>
      <c r="Q469" s="468"/>
      <c r="R469" s="468"/>
      <c r="S469" s="468"/>
      <c r="T469" s="468"/>
      <c r="U469" s="468"/>
      <c r="V469" s="468"/>
      <c r="W469" s="468"/>
      <c r="X469" s="468"/>
      <c r="Y469" s="468"/>
      <c r="Z469" s="468"/>
      <c r="AA469" s="468"/>
      <c r="AB469" s="468"/>
      <c r="AC469" s="468"/>
      <c r="AD469" s="468"/>
      <c r="AE469" s="468"/>
      <c r="AF469" s="468"/>
      <c r="AG469" s="468"/>
    </row>
    <row r="470" spans="1:33" hidden="1">
      <c r="B470" s="467"/>
      <c r="C470" s="467"/>
      <c r="D470" s="467"/>
      <c r="E470" s="469" t="s">
        <v>403</v>
      </c>
      <c r="F470" s="467"/>
      <c r="G470" s="468"/>
      <c r="H470" s="468"/>
      <c r="I470" s="468"/>
      <c r="J470" s="468"/>
      <c r="K470" s="468"/>
      <c r="L470" s="468"/>
      <c r="M470" s="468"/>
      <c r="N470" s="468"/>
      <c r="O470" s="468"/>
      <c r="P470" s="468"/>
      <c r="Q470" s="468"/>
      <c r="R470" s="468"/>
      <c r="S470" s="468"/>
      <c r="T470" s="468"/>
      <c r="U470" s="468"/>
      <c r="V470" s="468"/>
      <c r="W470" s="468"/>
      <c r="X470" s="468"/>
      <c r="Y470" s="468"/>
      <c r="Z470" s="468"/>
      <c r="AA470" s="468"/>
      <c r="AB470" s="468"/>
      <c r="AC470" s="468"/>
      <c r="AD470" s="468"/>
      <c r="AE470" s="468"/>
      <c r="AF470" s="468"/>
      <c r="AG470" s="468"/>
    </row>
    <row r="471" spans="1:33" ht="34.799999999999997" hidden="1">
      <c r="B471" s="467"/>
      <c r="C471" s="467"/>
      <c r="D471" s="470"/>
      <c r="E471" s="471"/>
      <c r="F471" s="467">
        <v>1</v>
      </c>
      <c r="G471" s="472" t="str">
        <f>G21</f>
        <v>DGS - Property Management</v>
      </c>
      <c r="H471" s="473"/>
      <c r="I471" s="472" t="str">
        <f>I21</f>
        <v>DGS - General Services</v>
      </c>
      <c r="J471" s="473"/>
      <c r="K471" s="468"/>
      <c r="L471" s="474" t="s">
        <v>2726</v>
      </c>
      <c r="M471" s="473"/>
      <c r="N471" s="474" t="s">
        <v>145</v>
      </c>
      <c r="O471" s="473"/>
      <c r="P471" s="472" t="str">
        <f>P378</f>
        <v>Enterprise Applications</v>
      </c>
      <c r="Q471" s="475"/>
      <c r="R471" s="474" t="s">
        <v>210</v>
      </c>
      <c r="S471" s="473"/>
      <c r="T471" s="472" t="s">
        <v>212</v>
      </c>
      <c r="U471" s="473"/>
      <c r="V471" s="474" t="s">
        <v>213</v>
      </c>
      <c r="W471" s="473"/>
      <c r="X471" s="472" t="s">
        <v>214</v>
      </c>
      <c r="Y471" s="473"/>
      <c r="Z471" s="472" t="s">
        <v>215</v>
      </c>
      <c r="AA471" s="473"/>
      <c r="AB471" s="476" t="s">
        <v>2758</v>
      </c>
      <c r="AC471" s="473"/>
      <c r="AD471" s="476"/>
      <c r="AE471" s="477"/>
      <c r="AF471" s="474" t="s">
        <v>591</v>
      </c>
      <c r="AG471" s="468"/>
    </row>
    <row r="472" spans="1:33" hidden="1">
      <c r="B472" s="467"/>
      <c r="C472" s="467"/>
      <c r="D472" s="478"/>
      <c r="E472" s="479" t="s">
        <v>100</v>
      </c>
      <c r="F472" s="467">
        <v>2</v>
      </c>
      <c r="G472" s="468"/>
      <c r="H472" s="468"/>
      <c r="I472" s="468"/>
      <c r="J472" s="468"/>
      <c r="K472" s="468"/>
      <c r="L472" s="468"/>
      <c r="M472" s="468"/>
      <c r="N472" s="468"/>
      <c r="O472" s="468"/>
      <c r="P472" s="468"/>
      <c r="Q472" s="468"/>
      <c r="R472" s="468"/>
      <c r="S472" s="468"/>
      <c r="T472" s="468"/>
      <c r="U472" s="468"/>
      <c r="V472" s="468"/>
      <c r="W472" s="468"/>
      <c r="X472" s="468"/>
      <c r="Y472" s="468"/>
      <c r="Z472" s="468"/>
      <c r="AA472" s="468"/>
      <c r="AB472" s="468"/>
      <c r="AC472" s="468"/>
      <c r="AD472" s="468"/>
      <c r="AE472" s="468"/>
      <c r="AF472" s="468"/>
      <c r="AG472" s="468"/>
    </row>
    <row r="473" spans="1:33" hidden="1">
      <c r="B473" s="467"/>
      <c r="C473" s="467"/>
      <c r="D473" s="479"/>
      <c r="E473" s="479" t="s">
        <v>101</v>
      </c>
      <c r="F473" s="467">
        <v>3</v>
      </c>
      <c r="G473" s="480"/>
      <c r="H473" s="468"/>
      <c r="I473" s="480"/>
      <c r="J473" s="468"/>
      <c r="K473" s="468"/>
      <c r="L473" s="481"/>
      <c r="M473" s="482"/>
      <c r="N473" s="481"/>
      <c r="O473" s="482"/>
      <c r="P473" s="481"/>
      <c r="Q473" s="468"/>
      <c r="R473" s="481"/>
      <c r="S473" s="468"/>
      <c r="T473" s="481"/>
      <c r="U473" s="468"/>
      <c r="V473" s="481"/>
      <c r="W473" s="468"/>
      <c r="X473" s="481"/>
      <c r="Y473" s="468"/>
      <c r="Z473" s="481"/>
      <c r="AA473" s="482"/>
      <c r="AB473" s="481"/>
      <c r="AC473" s="482"/>
      <c r="AD473" s="481"/>
      <c r="AE473" s="468"/>
      <c r="AF473" s="481"/>
      <c r="AG473" s="483">
        <f>SUM(G473:AF473)</f>
        <v>0</v>
      </c>
    </row>
    <row r="474" spans="1:33" hidden="1">
      <c r="B474" s="467"/>
      <c r="C474" s="467"/>
      <c r="D474" s="479"/>
      <c r="E474" s="479" t="s">
        <v>103</v>
      </c>
      <c r="F474" s="467">
        <v>4</v>
      </c>
      <c r="G474" s="480"/>
      <c r="H474" s="468"/>
      <c r="I474" s="480"/>
      <c r="J474" s="468"/>
      <c r="K474" s="468"/>
      <c r="L474" s="481"/>
      <c r="M474" s="482"/>
      <c r="N474" s="481"/>
      <c r="O474" s="482"/>
      <c r="P474" s="481"/>
      <c r="Q474" s="468"/>
      <c r="R474" s="481"/>
      <c r="S474" s="468"/>
      <c r="T474" s="481"/>
      <c r="U474" s="468"/>
      <c r="V474" s="481"/>
      <c r="W474" s="468"/>
      <c r="X474" s="481"/>
      <c r="Y474" s="468"/>
      <c r="Z474" s="481"/>
      <c r="AA474" s="482"/>
      <c r="AB474" s="481"/>
      <c r="AC474" s="482"/>
      <c r="AD474" s="481"/>
      <c r="AE474" s="468"/>
      <c r="AF474" s="481"/>
      <c r="AG474" s="483">
        <f>SUM(G474:AF474)</f>
        <v>0</v>
      </c>
    </row>
    <row r="475" spans="1:33" hidden="1">
      <c r="B475" s="467"/>
      <c r="C475" s="467"/>
      <c r="D475" s="479"/>
      <c r="E475" s="479" t="s">
        <v>137</v>
      </c>
      <c r="F475" s="467">
        <v>5</v>
      </c>
      <c r="G475" s="480"/>
      <c r="H475" s="468"/>
      <c r="I475" s="480"/>
      <c r="J475" s="468"/>
      <c r="K475" s="468"/>
      <c r="L475" s="481"/>
      <c r="M475" s="482"/>
      <c r="N475" s="481"/>
      <c r="O475" s="482"/>
      <c r="P475" s="481"/>
      <c r="Q475" s="468"/>
      <c r="R475" s="481"/>
      <c r="S475" s="468"/>
      <c r="T475" s="481"/>
      <c r="U475" s="468"/>
      <c r="V475" s="481"/>
      <c r="W475" s="468"/>
      <c r="X475" s="481"/>
      <c r="Y475" s="468"/>
      <c r="Z475" s="481"/>
      <c r="AA475" s="482"/>
      <c r="AB475" s="481"/>
      <c r="AC475" s="482"/>
      <c r="AD475" s="481"/>
      <c r="AE475" s="468"/>
      <c r="AF475" s="481"/>
      <c r="AG475" s="483">
        <f>SUM(G475:AF475)</f>
        <v>0</v>
      </c>
    </row>
    <row r="476" spans="1:33" hidden="1">
      <c r="B476" s="467"/>
      <c r="C476" s="467"/>
      <c r="D476" s="479"/>
      <c r="E476" s="479" t="s">
        <v>138</v>
      </c>
      <c r="F476" s="467">
        <v>6</v>
      </c>
      <c r="G476" s="480"/>
      <c r="H476" s="468"/>
      <c r="I476" s="480"/>
      <c r="J476" s="468"/>
      <c r="K476" s="468"/>
      <c r="L476" s="481"/>
      <c r="M476" s="482"/>
      <c r="N476" s="481"/>
      <c r="O476" s="482"/>
      <c r="P476" s="481"/>
      <c r="Q476" s="468"/>
      <c r="R476" s="481"/>
      <c r="S476" s="468"/>
      <c r="T476" s="481"/>
      <c r="U476" s="468"/>
      <c r="V476" s="481"/>
      <c r="W476" s="468"/>
      <c r="X476" s="481"/>
      <c r="Y476" s="468"/>
      <c r="Z476" s="481"/>
      <c r="AA476" s="482"/>
      <c r="AB476" s="481"/>
      <c r="AC476" s="482"/>
      <c r="AD476" s="481"/>
      <c r="AE476" s="468"/>
      <c r="AF476" s="481"/>
      <c r="AG476" s="483">
        <f>SUM(G476:AF476)</f>
        <v>0</v>
      </c>
    </row>
    <row r="477" spans="1:33" hidden="1">
      <c r="B477" s="467"/>
      <c r="C477" s="467"/>
      <c r="D477" s="478"/>
      <c r="E477" s="479" t="s">
        <v>139</v>
      </c>
      <c r="F477" s="467">
        <v>7</v>
      </c>
      <c r="G477" s="480"/>
      <c r="H477" s="468"/>
      <c r="I477" s="480"/>
      <c r="J477" s="468"/>
      <c r="K477" s="468"/>
      <c r="L477" s="481"/>
      <c r="M477" s="482"/>
      <c r="N477" s="481"/>
      <c r="O477" s="482"/>
      <c r="P477" s="481"/>
      <c r="Q477" s="468"/>
      <c r="R477" s="481"/>
      <c r="S477" s="468"/>
      <c r="T477" s="481"/>
      <c r="U477" s="468"/>
      <c r="V477" s="481"/>
      <c r="W477" s="468"/>
      <c r="X477" s="481"/>
      <c r="Y477" s="468"/>
      <c r="Z477" s="481"/>
      <c r="AA477" s="482"/>
      <c r="AB477" s="481"/>
      <c r="AC477" s="482"/>
      <c r="AD477" s="481"/>
      <c r="AE477" s="468"/>
      <c r="AF477" s="481"/>
      <c r="AG477" s="483">
        <f>SUM(G477:AF477)</f>
        <v>0</v>
      </c>
    </row>
    <row r="478" spans="1:33" hidden="1">
      <c r="B478" s="467"/>
      <c r="C478" s="467"/>
      <c r="D478" s="478"/>
      <c r="E478" s="479"/>
      <c r="F478" s="467"/>
      <c r="G478" s="484"/>
      <c r="H478" s="468"/>
      <c r="I478" s="484"/>
      <c r="J478" s="468"/>
      <c r="K478" s="468"/>
      <c r="L478" s="482"/>
      <c r="M478" s="482"/>
      <c r="N478" s="482"/>
      <c r="O478" s="482"/>
      <c r="P478" s="482"/>
      <c r="Q478" s="468"/>
      <c r="R478" s="482"/>
      <c r="S478" s="468"/>
      <c r="T478" s="482"/>
      <c r="U478" s="468"/>
      <c r="V478" s="482"/>
      <c r="W478" s="468"/>
      <c r="X478" s="482"/>
      <c r="Y478" s="468"/>
      <c r="Z478" s="482"/>
      <c r="AA478" s="482"/>
      <c r="AB478" s="482"/>
      <c r="AC478" s="482"/>
      <c r="AD478" s="482"/>
      <c r="AE478" s="468"/>
      <c r="AF478" s="482"/>
      <c r="AG478" s="468"/>
    </row>
    <row r="479" spans="1:33" hidden="1">
      <c r="B479" s="467"/>
      <c r="C479" s="467"/>
      <c r="D479" s="478"/>
      <c r="E479" s="479" t="s">
        <v>104</v>
      </c>
      <c r="F479" s="467">
        <v>8</v>
      </c>
      <c r="G479" s="485">
        <f>SUM(G473:G474)</f>
        <v>0</v>
      </c>
      <c r="H479" s="468"/>
      <c r="I479" s="485">
        <f>SUM(I473:I474)</f>
        <v>0</v>
      </c>
      <c r="J479" s="468"/>
      <c r="K479" s="468"/>
      <c r="L479" s="485">
        <f>SUM(L473:L474)</f>
        <v>0</v>
      </c>
      <c r="M479" s="484"/>
      <c r="N479" s="485">
        <f>SUM(N473:N474)</f>
        <v>0</v>
      </c>
      <c r="O479" s="484"/>
      <c r="P479" s="485">
        <f>SUM(P473:P474)</f>
        <v>0</v>
      </c>
      <c r="Q479" s="484"/>
      <c r="R479" s="485">
        <f t="shared" ref="R479:AF479" si="72">SUM(R473:R474)</f>
        <v>0</v>
      </c>
      <c r="S479" s="484"/>
      <c r="T479" s="485">
        <f t="shared" si="72"/>
        <v>0</v>
      </c>
      <c r="U479" s="484"/>
      <c r="V479" s="485">
        <f t="shared" si="72"/>
        <v>0</v>
      </c>
      <c r="W479" s="484"/>
      <c r="X479" s="485">
        <f t="shared" si="72"/>
        <v>0</v>
      </c>
      <c r="Y479" s="484"/>
      <c r="Z479" s="485">
        <f t="shared" si="72"/>
        <v>0</v>
      </c>
      <c r="AA479" s="484"/>
      <c r="AB479" s="485">
        <f t="shared" ref="AB479" si="73">SUM(AB473:AB474)</f>
        <v>0</v>
      </c>
      <c r="AC479" s="484"/>
      <c r="AD479" s="485"/>
      <c r="AE479" s="468"/>
      <c r="AF479" s="485">
        <f t="shared" si="72"/>
        <v>0</v>
      </c>
      <c r="AG479" s="483">
        <f>SUM(G479:AF479)</f>
        <v>0</v>
      </c>
    </row>
    <row r="480" spans="1:33" hidden="1">
      <c r="B480" s="467"/>
      <c r="C480" s="467"/>
      <c r="D480" s="478"/>
      <c r="E480" s="479"/>
      <c r="F480" s="467">
        <v>9</v>
      </c>
      <c r="G480" s="484"/>
      <c r="H480" s="468"/>
      <c r="I480" s="484"/>
      <c r="J480" s="468"/>
      <c r="K480" s="468"/>
      <c r="L480" s="486"/>
      <c r="M480" s="486"/>
      <c r="N480" s="486"/>
      <c r="O480" s="486"/>
      <c r="P480" s="486"/>
      <c r="Q480" s="468"/>
      <c r="R480" s="486"/>
      <c r="S480" s="468"/>
      <c r="T480" s="486"/>
      <c r="U480" s="468"/>
      <c r="V480" s="486"/>
      <c r="W480" s="468"/>
      <c r="X480" s="486"/>
      <c r="Y480" s="468"/>
      <c r="Z480" s="486"/>
      <c r="AA480" s="486"/>
      <c r="AB480" s="486"/>
      <c r="AC480" s="486"/>
      <c r="AD480" s="486"/>
      <c r="AE480" s="468"/>
      <c r="AF480" s="486"/>
      <c r="AG480" s="468"/>
    </row>
    <row r="481" spans="2:33" hidden="1">
      <c r="B481" s="467"/>
      <c r="C481" s="467"/>
      <c r="D481" s="478"/>
      <c r="E481" s="479" t="s">
        <v>105</v>
      </c>
      <c r="F481" s="467">
        <v>10</v>
      </c>
      <c r="G481" s="484"/>
      <c r="H481" s="468"/>
      <c r="I481" s="484"/>
      <c r="J481" s="468"/>
      <c r="K481" s="468"/>
      <c r="L481" s="486"/>
      <c r="M481" s="486"/>
      <c r="N481" s="486"/>
      <c r="O481" s="486"/>
      <c r="P481" s="486"/>
      <c r="Q481" s="468"/>
      <c r="R481" s="486"/>
      <c r="S481" s="468"/>
      <c r="T481" s="486"/>
      <c r="U481" s="468"/>
      <c r="V481" s="486"/>
      <c r="W481" s="468"/>
      <c r="X481" s="486"/>
      <c r="Y481" s="468"/>
      <c r="Z481" s="486"/>
      <c r="AA481" s="486"/>
      <c r="AB481" s="486"/>
      <c r="AC481" s="486"/>
      <c r="AD481" s="486"/>
      <c r="AE481" s="468"/>
      <c r="AF481" s="486"/>
      <c r="AG481" s="468"/>
    </row>
    <row r="482" spans="2:33" hidden="1">
      <c r="B482" s="467"/>
      <c r="C482" s="467"/>
      <c r="D482" s="479"/>
      <c r="E482" s="479" t="s">
        <v>106</v>
      </c>
      <c r="F482" s="467">
        <v>12</v>
      </c>
      <c r="G482" s="480"/>
      <c r="H482" s="468"/>
      <c r="I482" s="480"/>
      <c r="J482" s="468"/>
      <c r="K482" s="468"/>
      <c r="L482" s="481"/>
      <c r="M482" s="482"/>
      <c r="N482" s="481"/>
      <c r="O482" s="482"/>
      <c r="P482" s="481"/>
      <c r="Q482" s="468"/>
      <c r="R482" s="481"/>
      <c r="S482" s="468"/>
      <c r="T482" s="481"/>
      <c r="U482" s="468"/>
      <c r="V482" s="481"/>
      <c r="W482" s="468"/>
      <c r="X482" s="481"/>
      <c r="Y482" s="468"/>
      <c r="Z482" s="481"/>
      <c r="AA482" s="482"/>
      <c r="AB482" s="481"/>
      <c r="AC482" s="482"/>
      <c r="AD482" s="481"/>
      <c r="AE482" s="468"/>
      <c r="AF482" s="481"/>
      <c r="AG482" s="483">
        <f t="shared" ref="AG482:AG492" si="74">SUM(G482:AF482)</f>
        <v>0</v>
      </c>
    </row>
    <row r="483" spans="2:33" hidden="1">
      <c r="B483" s="467"/>
      <c r="C483" s="467"/>
      <c r="D483" s="479"/>
      <c r="E483" s="479" t="s">
        <v>107</v>
      </c>
      <c r="F483" s="467">
        <v>13</v>
      </c>
      <c r="G483" s="480"/>
      <c r="H483" s="468"/>
      <c r="I483" s="480"/>
      <c r="J483" s="468"/>
      <c r="K483" s="468"/>
      <c r="L483" s="481"/>
      <c r="M483" s="482"/>
      <c r="N483" s="481"/>
      <c r="O483" s="482"/>
      <c r="P483" s="481"/>
      <c r="Q483" s="468"/>
      <c r="R483" s="481"/>
      <c r="S483" s="468"/>
      <c r="T483" s="481"/>
      <c r="U483" s="468"/>
      <c r="V483" s="481"/>
      <c r="W483" s="468"/>
      <c r="X483" s="481"/>
      <c r="Y483" s="468"/>
      <c r="Z483" s="481"/>
      <c r="AA483" s="482"/>
      <c r="AB483" s="481"/>
      <c r="AC483" s="482"/>
      <c r="AD483" s="481"/>
      <c r="AE483" s="468"/>
      <c r="AF483" s="481"/>
      <c r="AG483" s="483">
        <f t="shared" si="74"/>
        <v>0</v>
      </c>
    </row>
    <row r="484" spans="2:33" hidden="1">
      <c r="B484" s="467"/>
      <c r="C484" s="467"/>
      <c r="D484" s="479"/>
      <c r="E484" s="479" t="s">
        <v>108</v>
      </c>
      <c r="F484" s="467">
        <v>14</v>
      </c>
      <c r="G484" s="480"/>
      <c r="H484" s="468"/>
      <c r="I484" s="480"/>
      <c r="J484" s="468"/>
      <c r="K484" s="468"/>
      <c r="L484" s="481"/>
      <c r="M484" s="482"/>
      <c r="N484" s="481"/>
      <c r="O484" s="482"/>
      <c r="P484" s="481"/>
      <c r="Q484" s="468"/>
      <c r="R484" s="481"/>
      <c r="S484" s="468"/>
      <c r="T484" s="481"/>
      <c r="U484" s="468"/>
      <c r="V484" s="481"/>
      <c r="W484" s="468"/>
      <c r="X484" s="481"/>
      <c r="Y484" s="468"/>
      <c r="Z484" s="481"/>
      <c r="AA484" s="482"/>
      <c r="AB484" s="481"/>
      <c r="AC484" s="482"/>
      <c r="AD484" s="481"/>
      <c r="AE484" s="468"/>
      <c r="AF484" s="481"/>
      <c r="AG484" s="483">
        <f t="shared" si="74"/>
        <v>0</v>
      </c>
    </row>
    <row r="485" spans="2:33" hidden="1">
      <c r="B485" s="467"/>
      <c r="C485" s="467"/>
      <c r="D485" s="479"/>
      <c r="E485" s="479" t="s">
        <v>140</v>
      </c>
      <c r="F485" s="467">
        <v>15</v>
      </c>
      <c r="G485" s="480"/>
      <c r="H485" s="468"/>
      <c r="I485" s="480"/>
      <c r="J485" s="468"/>
      <c r="K485" s="468"/>
      <c r="L485" s="481"/>
      <c r="M485" s="482"/>
      <c r="N485" s="481"/>
      <c r="O485" s="482"/>
      <c r="P485" s="481"/>
      <c r="Q485" s="468"/>
      <c r="R485" s="481"/>
      <c r="S485" s="468"/>
      <c r="T485" s="481"/>
      <c r="U485" s="468"/>
      <c r="V485" s="481"/>
      <c r="W485" s="468"/>
      <c r="X485" s="481"/>
      <c r="Y485" s="468"/>
      <c r="Z485" s="481"/>
      <c r="AA485" s="482"/>
      <c r="AB485" s="481"/>
      <c r="AC485" s="482"/>
      <c r="AD485" s="481"/>
      <c r="AE485" s="468"/>
      <c r="AF485" s="481"/>
      <c r="AG485" s="483">
        <f t="shared" si="74"/>
        <v>0</v>
      </c>
    </row>
    <row r="486" spans="2:33" hidden="1">
      <c r="B486" s="467"/>
      <c r="C486" s="467"/>
      <c r="D486" s="479"/>
      <c r="E486" s="479" t="s">
        <v>141</v>
      </c>
      <c r="F486" s="467">
        <v>16</v>
      </c>
      <c r="G486" s="480"/>
      <c r="H486" s="468"/>
      <c r="I486" s="480"/>
      <c r="J486" s="468"/>
      <c r="K486" s="468"/>
      <c r="L486" s="481"/>
      <c r="M486" s="482"/>
      <c r="N486" s="481"/>
      <c r="O486" s="482"/>
      <c r="P486" s="481"/>
      <c r="Q486" s="468"/>
      <c r="R486" s="481"/>
      <c r="S486" s="468"/>
      <c r="T486" s="481"/>
      <c r="U486" s="468"/>
      <c r="V486" s="481"/>
      <c r="W486" s="468"/>
      <c r="X486" s="481"/>
      <c r="Y486" s="468"/>
      <c r="Z486" s="481"/>
      <c r="AA486" s="482"/>
      <c r="AB486" s="481"/>
      <c r="AC486" s="482"/>
      <c r="AD486" s="481"/>
      <c r="AE486" s="468"/>
      <c r="AF486" s="481"/>
      <c r="AG486" s="483">
        <f t="shared" si="74"/>
        <v>0</v>
      </c>
    </row>
    <row r="487" spans="2:33" hidden="1">
      <c r="B487" s="467"/>
      <c r="C487" s="467"/>
      <c r="D487" s="479"/>
      <c r="E487" s="479" t="s">
        <v>3275</v>
      </c>
      <c r="F487" s="467">
        <v>17</v>
      </c>
      <c r="G487" s="483"/>
      <c r="H487" s="468"/>
      <c r="I487" s="483"/>
      <c r="J487" s="468"/>
      <c r="K487" s="468"/>
      <c r="L487" s="483"/>
      <c r="M487" s="483"/>
      <c r="N487" s="483"/>
      <c r="O487" s="483"/>
      <c r="P487" s="483"/>
      <c r="Q487" s="483"/>
      <c r="R487" s="483"/>
      <c r="S487" s="483"/>
      <c r="T487" s="483"/>
      <c r="U487" s="468"/>
      <c r="V487" s="483"/>
      <c r="W487" s="468"/>
      <c r="X487" s="483"/>
      <c r="Y487" s="468"/>
      <c r="Z487" s="483"/>
      <c r="AA487" s="483"/>
      <c r="AB487" s="483"/>
      <c r="AC487" s="483"/>
      <c r="AD487" s="483"/>
      <c r="AE487" s="468"/>
      <c r="AF487" s="483"/>
      <c r="AG487" s="483">
        <f t="shared" si="74"/>
        <v>0</v>
      </c>
    </row>
    <row r="488" spans="2:33" hidden="1">
      <c r="B488" s="467"/>
      <c r="C488" s="467"/>
      <c r="D488" s="479"/>
      <c r="E488" s="479" t="s">
        <v>143</v>
      </c>
      <c r="F488" s="467">
        <v>18</v>
      </c>
      <c r="G488" s="480"/>
      <c r="H488" s="468"/>
      <c r="I488" s="480"/>
      <c r="J488" s="468"/>
      <c r="K488" s="468"/>
      <c r="L488" s="481"/>
      <c r="M488" s="482"/>
      <c r="N488" s="481"/>
      <c r="O488" s="482"/>
      <c r="P488" s="481"/>
      <c r="Q488" s="468"/>
      <c r="R488" s="481"/>
      <c r="S488" s="468"/>
      <c r="T488" s="481"/>
      <c r="U488" s="468"/>
      <c r="V488" s="481"/>
      <c r="W488" s="468"/>
      <c r="X488" s="481"/>
      <c r="Y488" s="468"/>
      <c r="Z488" s="481"/>
      <c r="AA488" s="482"/>
      <c r="AB488" s="481"/>
      <c r="AC488" s="482"/>
      <c r="AD488" s="481"/>
      <c r="AE488" s="468"/>
      <c r="AF488" s="481"/>
      <c r="AG488" s="483">
        <f t="shared" si="74"/>
        <v>0</v>
      </c>
    </row>
    <row r="489" spans="2:33" hidden="1">
      <c r="B489" s="467"/>
      <c r="C489" s="467"/>
      <c r="D489" s="479"/>
      <c r="E489" s="479" t="s">
        <v>154</v>
      </c>
      <c r="F489" s="467">
        <v>19</v>
      </c>
      <c r="G489" s="480"/>
      <c r="H489" s="468"/>
      <c r="I489" s="480"/>
      <c r="J489" s="468"/>
      <c r="K489" s="468"/>
      <c r="L489" s="481"/>
      <c r="M489" s="482"/>
      <c r="N489" s="481"/>
      <c r="O489" s="482"/>
      <c r="P489" s="481"/>
      <c r="Q489" s="468"/>
      <c r="R489" s="481"/>
      <c r="S489" s="468"/>
      <c r="T489" s="481"/>
      <c r="U489" s="468"/>
      <c r="V489" s="481"/>
      <c r="W489" s="468"/>
      <c r="X489" s="481"/>
      <c r="Y489" s="468"/>
      <c r="Z489" s="481"/>
      <c r="AA489" s="482"/>
      <c r="AB489" s="481"/>
      <c r="AC489" s="482"/>
      <c r="AD489" s="481"/>
      <c r="AE489" s="468"/>
      <c r="AF489" s="481"/>
      <c r="AG489" s="483">
        <f t="shared" si="74"/>
        <v>0</v>
      </c>
    </row>
    <row r="490" spans="2:33" hidden="1">
      <c r="B490" s="467"/>
      <c r="C490" s="467"/>
      <c r="D490" s="479"/>
      <c r="E490" s="479" t="s">
        <v>155</v>
      </c>
      <c r="F490" s="467">
        <v>20</v>
      </c>
      <c r="G490" s="480"/>
      <c r="H490" s="468"/>
      <c r="I490" s="480"/>
      <c r="J490" s="468"/>
      <c r="K490" s="468"/>
      <c r="L490" s="481"/>
      <c r="M490" s="482"/>
      <c r="N490" s="481"/>
      <c r="O490" s="482"/>
      <c r="P490" s="481"/>
      <c r="Q490" s="468"/>
      <c r="R490" s="481"/>
      <c r="S490" s="468"/>
      <c r="T490" s="481"/>
      <c r="U490" s="468"/>
      <c r="V490" s="481"/>
      <c r="W490" s="468"/>
      <c r="X490" s="481"/>
      <c r="Y490" s="468"/>
      <c r="Z490" s="481"/>
      <c r="AA490" s="482"/>
      <c r="AB490" s="481"/>
      <c r="AC490" s="482"/>
      <c r="AD490" s="481"/>
      <c r="AE490" s="468"/>
      <c r="AF490" s="481"/>
      <c r="AG490" s="483">
        <f t="shared" si="74"/>
        <v>0</v>
      </c>
    </row>
    <row r="491" spans="2:33" hidden="1">
      <c r="B491" s="467"/>
      <c r="C491" s="467"/>
      <c r="D491" s="479"/>
      <c r="E491" s="479" t="s">
        <v>156</v>
      </c>
      <c r="F491" s="467">
        <v>21</v>
      </c>
      <c r="G491" s="480"/>
      <c r="H491" s="468"/>
      <c r="I491" s="480"/>
      <c r="J491" s="468"/>
      <c r="K491" s="468"/>
      <c r="L491" s="481"/>
      <c r="M491" s="482"/>
      <c r="N491" s="481"/>
      <c r="O491" s="482"/>
      <c r="P491" s="481"/>
      <c r="Q491" s="468"/>
      <c r="R491" s="481"/>
      <c r="S491" s="468"/>
      <c r="T491" s="481"/>
      <c r="U491" s="468"/>
      <c r="V491" s="481"/>
      <c r="W491" s="468"/>
      <c r="X491" s="481"/>
      <c r="Y491" s="468"/>
      <c r="Z491" s="481"/>
      <c r="AA491" s="482"/>
      <c r="AB491" s="481"/>
      <c r="AC491" s="482"/>
      <c r="AD491" s="481"/>
      <c r="AE491" s="468"/>
      <c r="AF491" s="481"/>
      <c r="AG491" s="483">
        <f t="shared" si="74"/>
        <v>0</v>
      </c>
    </row>
    <row r="492" spans="2:33" hidden="1">
      <c r="B492" s="467"/>
      <c r="C492" s="467"/>
      <c r="D492" s="478"/>
      <c r="E492" s="479" t="s">
        <v>109</v>
      </c>
      <c r="F492" s="467">
        <v>22</v>
      </c>
      <c r="G492" s="487">
        <f>SUM(G482:G491)</f>
        <v>0</v>
      </c>
      <c r="H492" s="468"/>
      <c r="I492" s="487">
        <f>SUM(I482:I491)</f>
        <v>0</v>
      </c>
      <c r="J492" s="468"/>
      <c r="K492" s="468"/>
      <c r="L492" s="487">
        <f>SUM(L482:L491)</f>
        <v>0</v>
      </c>
      <c r="M492" s="484"/>
      <c r="N492" s="487">
        <f>SUM(N482:N491)</f>
        <v>0</v>
      </c>
      <c r="O492" s="484"/>
      <c r="P492" s="487">
        <f>SUM(P482:P491)</f>
        <v>0</v>
      </c>
      <c r="Q492" s="484"/>
      <c r="R492" s="487">
        <f>SUM(R482:R491)</f>
        <v>0</v>
      </c>
      <c r="S492" s="484"/>
      <c r="T492" s="487">
        <f>SUM(T482:T491)</f>
        <v>0</v>
      </c>
      <c r="U492" s="484"/>
      <c r="V492" s="487">
        <f>SUM(V482:V491)</f>
        <v>0</v>
      </c>
      <c r="W492" s="484"/>
      <c r="X492" s="487">
        <f>SUM(X482:X491)</f>
        <v>0</v>
      </c>
      <c r="Y492" s="484"/>
      <c r="Z492" s="487">
        <f>SUM(Z482:Z491)</f>
        <v>0</v>
      </c>
      <c r="AA492" s="484"/>
      <c r="AB492" s="487">
        <f>SUM(AB482:AB491)</f>
        <v>0</v>
      </c>
      <c r="AC492" s="484"/>
      <c r="AD492" s="487"/>
      <c r="AE492" s="468"/>
      <c r="AF492" s="487">
        <f>SUM(AF482:AF491)</f>
        <v>0</v>
      </c>
      <c r="AG492" s="483">
        <f t="shared" si="74"/>
        <v>0</v>
      </c>
    </row>
    <row r="493" spans="2:33" hidden="1">
      <c r="B493" s="467"/>
      <c r="C493" s="467"/>
      <c r="D493" s="488"/>
      <c r="E493" s="489"/>
      <c r="F493" s="467">
        <v>23</v>
      </c>
      <c r="G493" s="490"/>
      <c r="H493" s="468"/>
      <c r="I493" s="490"/>
      <c r="J493" s="468"/>
      <c r="K493" s="468"/>
      <c r="L493" s="486"/>
      <c r="M493" s="486"/>
      <c r="N493" s="486"/>
      <c r="O493" s="486"/>
      <c r="P493" s="486"/>
      <c r="Q493" s="468"/>
      <c r="R493" s="486"/>
      <c r="S493" s="468"/>
      <c r="T493" s="486"/>
      <c r="U493" s="468"/>
      <c r="V493" s="486"/>
      <c r="W493" s="468"/>
      <c r="X493" s="486"/>
      <c r="Y493" s="468"/>
      <c r="Z493" s="486"/>
      <c r="AA493" s="486"/>
      <c r="AB493" s="486"/>
      <c r="AC493" s="486"/>
      <c r="AD493" s="486"/>
      <c r="AE493" s="468"/>
      <c r="AF493" s="486"/>
      <c r="AG493" s="468"/>
    </row>
    <row r="494" spans="2:33" hidden="1">
      <c r="B494" s="467"/>
      <c r="C494" s="467"/>
      <c r="D494" s="478"/>
      <c r="E494" s="479" t="s">
        <v>110</v>
      </c>
      <c r="F494" s="467">
        <v>24</v>
      </c>
      <c r="G494" s="490"/>
      <c r="H494" s="468"/>
      <c r="I494" s="490"/>
      <c r="J494" s="468"/>
      <c r="K494" s="468"/>
      <c r="L494" s="486"/>
      <c r="M494" s="486"/>
      <c r="N494" s="486"/>
      <c r="O494" s="486"/>
      <c r="P494" s="486"/>
      <c r="Q494" s="468"/>
      <c r="R494" s="486"/>
      <c r="S494" s="468"/>
      <c r="T494" s="486"/>
      <c r="U494" s="468"/>
      <c r="V494" s="486"/>
      <c r="W494" s="468"/>
      <c r="X494" s="486"/>
      <c r="Y494" s="468"/>
      <c r="Z494" s="486"/>
      <c r="AA494" s="486"/>
      <c r="AB494" s="486"/>
      <c r="AC494" s="486"/>
      <c r="AD494" s="486"/>
      <c r="AE494" s="468"/>
      <c r="AF494" s="486"/>
      <c r="AG494" s="468"/>
    </row>
    <row r="495" spans="2:33" hidden="1">
      <c r="B495" s="467"/>
      <c r="C495" s="467"/>
      <c r="D495" s="479"/>
      <c r="E495" s="479" t="s">
        <v>111</v>
      </c>
      <c r="F495" s="467">
        <v>25</v>
      </c>
      <c r="G495" s="480"/>
      <c r="H495" s="468"/>
      <c r="I495" s="480"/>
      <c r="J495" s="468"/>
      <c r="K495" s="468"/>
      <c r="L495" s="481"/>
      <c r="M495" s="482"/>
      <c r="N495" s="481"/>
      <c r="O495" s="482"/>
      <c r="P495" s="481"/>
      <c r="Q495" s="468"/>
      <c r="R495" s="481"/>
      <c r="S495" s="468"/>
      <c r="T495" s="481"/>
      <c r="U495" s="468"/>
      <c r="V495" s="481"/>
      <c r="W495" s="468"/>
      <c r="X495" s="481"/>
      <c r="Y495" s="468"/>
      <c r="Z495" s="481"/>
      <c r="AA495" s="482"/>
      <c r="AB495" s="481"/>
      <c r="AC495" s="482"/>
      <c r="AD495" s="481"/>
      <c r="AE495" s="468"/>
      <c r="AF495" s="481"/>
      <c r="AG495" s="483">
        <f t="shared" ref="AG495:AG505" si="75">SUM(G495:AF495)</f>
        <v>0</v>
      </c>
    </row>
    <row r="496" spans="2:33" hidden="1">
      <c r="B496" s="467"/>
      <c r="C496" s="467"/>
      <c r="D496" s="479"/>
      <c r="E496" s="479" t="s">
        <v>112</v>
      </c>
      <c r="F496" s="467">
        <v>26</v>
      </c>
      <c r="G496" s="480"/>
      <c r="H496" s="468"/>
      <c r="I496" s="480"/>
      <c r="J496" s="468"/>
      <c r="K496" s="468"/>
      <c r="L496" s="481"/>
      <c r="M496" s="482"/>
      <c r="N496" s="481"/>
      <c r="O496" s="482"/>
      <c r="P496" s="481"/>
      <c r="Q496" s="468"/>
      <c r="R496" s="481"/>
      <c r="S496" s="468"/>
      <c r="T496" s="481"/>
      <c r="U496" s="468"/>
      <c r="V496" s="481"/>
      <c r="W496" s="468"/>
      <c r="X496" s="481"/>
      <c r="Y496" s="468"/>
      <c r="Z496" s="481"/>
      <c r="AA496" s="482"/>
      <c r="AB496" s="481"/>
      <c r="AC496" s="482"/>
      <c r="AD496" s="481"/>
      <c r="AE496" s="468"/>
      <c r="AF496" s="481"/>
      <c r="AG496" s="483">
        <f t="shared" si="75"/>
        <v>0</v>
      </c>
    </row>
    <row r="497" spans="1:33" hidden="1">
      <c r="B497" s="467"/>
      <c r="C497" s="467"/>
      <c r="D497" s="479"/>
      <c r="E497" s="479" t="s">
        <v>113</v>
      </c>
      <c r="F497" s="467">
        <v>27</v>
      </c>
      <c r="G497" s="480"/>
      <c r="H497" s="468"/>
      <c r="I497" s="480"/>
      <c r="J497" s="468"/>
      <c r="K497" s="468"/>
      <c r="L497" s="481"/>
      <c r="M497" s="482"/>
      <c r="N497" s="481"/>
      <c r="O497" s="482"/>
      <c r="P497" s="481"/>
      <c r="Q497" s="468"/>
      <c r="R497" s="481"/>
      <c r="S497" s="468"/>
      <c r="T497" s="481"/>
      <c r="U497" s="468"/>
      <c r="V497" s="481"/>
      <c r="W497" s="468"/>
      <c r="X497" s="481"/>
      <c r="Y497" s="468"/>
      <c r="Z497" s="481"/>
      <c r="AA497" s="482"/>
      <c r="AB497" s="481"/>
      <c r="AC497" s="482"/>
      <c r="AD497" s="481"/>
      <c r="AE497" s="468"/>
      <c r="AF497" s="481"/>
      <c r="AG497" s="483">
        <f t="shared" si="75"/>
        <v>0</v>
      </c>
    </row>
    <row r="498" spans="1:33" hidden="1">
      <c r="B498" s="467"/>
      <c r="C498" s="467"/>
      <c r="D498" s="479"/>
      <c r="E498" s="479" t="s">
        <v>140</v>
      </c>
      <c r="F498" s="467">
        <v>28</v>
      </c>
      <c r="G498" s="480"/>
      <c r="H498" s="468"/>
      <c r="I498" s="480"/>
      <c r="J498" s="468"/>
      <c r="K498" s="468"/>
      <c r="L498" s="481"/>
      <c r="M498" s="482"/>
      <c r="N498" s="481"/>
      <c r="O498" s="482"/>
      <c r="P498" s="481"/>
      <c r="Q498" s="468"/>
      <c r="R498" s="481"/>
      <c r="S498" s="468"/>
      <c r="T498" s="481"/>
      <c r="U498" s="468"/>
      <c r="V498" s="481"/>
      <c r="W498" s="468"/>
      <c r="X498" s="481"/>
      <c r="Y498" s="468"/>
      <c r="Z498" s="481"/>
      <c r="AA498" s="482"/>
      <c r="AB498" s="481"/>
      <c r="AC498" s="482"/>
      <c r="AD498" s="481"/>
      <c r="AE498" s="468"/>
      <c r="AF498" s="481"/>
      <c r="AG498" s="483">
        <f t="shared" si="75"/>
        <v>0</v>
      </c>
    </row>
    <row r="499" spans="1:33" hidden="1">
      <c r="B499" s="467"/>
      <c r="C499" s="467"/>
      <c r="D499" s="479"/>
      <c r="E499" s="479" t="s">
        <v>141</v>
      </c>
      <c r="F499" s="467">
        <v>29</v>
      </c>
      <c r="G499" s="480"/>
      <c r="H499" s="468"/>
      <c r="I499" s="480"/>
      <c r="J499" s="468"/>
      <c r="K499" s="468"/>
      <c r="L499" s="481"/>
      <c r="M499" s="482"/>
      <c r="N499" s="481"/>
      <c r="O499" s="482"/>
      <c r="P499" s="481"/>
      <c r="Q499" s="468"/>
      <c r="R499" s="481"/>
      <c r="S499" s="468"/>
      <c r="T499" s="481"/>
      <c r="U499" s="468"/>
      <c r="V499" s="481"/>
      <c r="W499" s="468"/>
      <c r="X499" s="481"/>
      <c r="Y499" s="468"/>
      <c r="Z499" s="481"/>
      <c r="AA499" s="482"/>
      <c r="AB499" s="481"/>
      <c r="AC499" s="482"/>
      <c r="AD499" s="481"/>
      <c r="AE499" s="468"/>
      <c r="AF499" s="481"/>
      <c r="AG499" s="483">
        <f t="shared" si="75"/>
        <v>0</v>
      </c>
    </row>
    <row r="500" spans="1:33" hidden="1">
      <c r="B500" s="467"/>
      <c r="C500" s="467"/>
      <c r="D500" s="479"/>
      <c r="E500" s="479" t="s">
        <v>3275</v>
      </c>
      <c r="F500" s="467">
        <v>30</v>
      </c>
      <c r="G500" s="483"/>
      <c r="H500" s="468"/>
      <c r="I500" s="483"/>
      <c r="J500" s="468"/>
      <c r="K500" s="468"/>
      <c r="L500" s="483"/>
      <c r="M500" s="483"/>
      <c r="N500" s="483"/>
      <c r="O500" s="483"/>
      <c r="P500" s="483"/>
      <c r="Q500" s="483"/>
      <c r="R500" s="483"/>
      <c r="S500" s="483"/>
      <c r="T500" s="483"/>
      <c r="U500" s="468"/>
      <c r="V500" s="483"/>
      <c r="W500" s="468"/>
      <c r="X500" s="483"/>
      <c r="Y500" s="468"/>
      <c r="Z500" s="483"/>
      <c r="AA500" s="483"/>
      <c r="AB500" s="483"/>
      <c r="AC500" s="483"/>
      <c r="AD500" s="483"/>
      <c r="AE500" s="468"/>
      <c r="AF500" s="483"/>
      <c r="AG500" s="483">
        <f t="shared" si="75"/>
        <v>0</v>
      </c>
    </row>
    <row r="501" spans="1:33" hidden="1">
      <c r="B501" s="467"/>
      <c r="C501" s="467"/>
      <c r="D501" s="479"/>
      <c r="E501" s="479" t="s">
        <v>143</v>
      </c>
      <c r="F501" s="467">
        <v>31</v>
      </c>
      <c r="G501" s="480"/>
      <c r="H501" s="468"/>
      <c r="I501" s="480"/>
      <c r="J501" s="468"/>
      <c r="K501" s="468"/>
      <c r="L501" s="481"/>
      <c r="M501" s="482"/>
      <c r="N501" s="481"/>
      <c r="O501" s="482"/>
      <c r="P501" s="481"/>
      <c r="Q501" s="468"/>
      <c r="R501" s="481"/>
      <c r="S501" s="468"/>
      <c r="T501" s="481"/>
      <c r="U501" s="468"/>
      <c r="V501" s="481"/>
      <c r="W501" s="468"/>
      <c r="X501" s="481"/>
      <c r="Y501" s="468"/>
      <c r="Z501" s="481"/>
      <c r="AA501" s="482"/>
      <c r="AB501" s="481"/>
      <c r="AC501" s="482"/>
      <c r="AD501" s="481"/>
      <c r="AE501" s="468"/>
      <c r="AF501" s="481"/>
      <c r="AG501" s="483">
        <f t="shared" si="75"/>
        <v>0</v>
      </c>
    </row>
    <row r="502" spans="1:33" hidden="1">
      <c r="B502" s="467"/>
      <c r="C502" s="467"/>
      <c r="D502" s="479"/>
      <c r="E502" s="479" t="s">
        <v>154</v>
      </c>
      <c r="F502" s="467">
        <v>32</v>
      </c>
      <c r="G502" s="480"/>
      <c r="H502" s="468"/>
      <c r="I502" s="480"/>
      <c r="J502" s="468"/>
      <c r="K502" s="468"/>
      <c r="L502" s="481"/>
      <c r="M502" s="482"/>
      <c r="N502" s="481"/>
      <c r="O502" s="482"/>
      <c r="P502" s="481"/>
      <c r="Q502" s="468"/>
      <c r="R502" s="481"/>
      <c r="S502" s="468"/>
      <c r="T502" s="481"/>
      <c r="U502" s="468"/>
      <c r="V502" s="481"/>
      <c r="W502" s="468"/>
      <c r="X502" s="481"/>
      <c r="Y502" s="468"/>
      <c r="Z502" s="481"/>
      <c r="AA502" s="482"/>
      <c r="AB502" s="481"/>
      <c r="AC502" s="482"/>
      <c r="AD502" s="481"/>
      <c r="AE502" s="468"/>
      <c r="AF502" s="481"/>
      <c r="AG502" s="483">
        <f t="shared" si="75"/>
        <v>0</v>
      </c>
    </row>
    <row r="503" spans="1:33" hidden="1">
      <c r="B503" s="467"/>
      <c r="C503" s="467"/>
      <c r="D503" s="479"/>
      <c r="E503" s="479" t="s">
        <v>155</v>
      </c>
      <c r="F503" s="467">
        <v>33</v>
      </c>
      <c r="G503" s="480"/>
      <c r="H503" s="468"/>
      <c r="I503" s="480"/>
      <c r="J503" s="468"/>
      <c r="K503" s="468"/>
      <c r="L503" s="481"/>
      <c r="M503" s="482"/>
      <c r="N503" s="481"/>
      <c r="O503" s="482"/>
      <c r="P503" s="481"/>
      <c r="Q503" s="468"/>
      <c r="R503" s="481"/>
      <c r="S503" s="468"/>
      <c r="T503" s="481"/>
      <c r="U503" s="468"/>
      <c r="V503" s="481"/>
      <c r="W503" s="468"/>
      <c r="X503" s="481"/>
      <c r="Y503" s="468"/>
      <c r="Z503" s="481"/>
      <c r="AA503" s="482"/>
      <c r="AB503" s="481"/>
      <c r="AC503" s="482"/>
      <c r="AD503" s="481"/>
      <c r="AE503" s="468"/>
      <c r="AF503" s="481"/>
      <c r="AG503" s="483">
        <f t="shared" si="75"/>
        <v>0</v>
      </c>
    </row>
    <row r="504" spans="1:33" hidden="1">
      <c r="B504" s="467"/>
      <c r="C504" s="467"/>
      <c r="D504" s="479"/>
      <c r="E504" s="479" t="s">
        <v>156</v>
      </c>
      <c r="F504" s="467">
        <v>34</v>
      </c>
      <c r="G504" s="480"/>
      <c r="H504" s="468"/>
      <c r="I504" s="480"/>
      <c r="J504" s="468"/>
      <c r="K504" s="468"/>
      <c r="L504" s="481"/>
      <c r="M504" s="482"/>
      <c r="N504" s="481"/>
      <c r="O504" s="482"/>
      <c r="P504" s="481"/>
      <c r="Q504" s="468"/>
      <c r="R504" s="481"/>
      <c r="S504" s="468"/>
      <c r="T504" s="481"/>
      <c r="U504" s="468"/>
      <c r="V504" s="481"/>
      <c r="W504" s="468"/>
      <c r="X504" s="481"/>
      <c r="Y504" s="468"/>
      <c r="Z504" s="481"/>
      <c r="AA504" s="482"/>
      <c r="AB504" s="481"/>
      <c r="AC504" s="482"/>
      <c r="AD504" s="481"/>
      <c r="AE504" s="468"/>
      <c r="AF504" s="481"/>
      <c r="AG504" s="483">
        <f t="shared" si="75"/>
        <v>0</v>
      </c>
    </row>
    <row r="505" spans="1:33" hidden="1">
      <c r="B505" s="467"/>
      <c r="C505" s="467"/>
      <c r="D505" s="478"/>
      <c r="E505" s="479" t="s">
        <v>114</v>
      </c>
      <c r="F505" s="467">
        <v>35</v>
      </c>
      <c r="G505" s="487">
        <f>SUM(G495:G504)</f>
        <v>0</v>
      </c>
      <c r="H505" s="468"/>
      <c r="I505" s="487">
        <f>SUM(I495:I504)</f>
        <v>0</v>
      </c>
      <c r="J505" s="468"/>
      <c r="K505" s="468"/>
      <c r="L505" s="487">
        <f>SUM(L495:L504)</f>
        <v>0</v>
      </c>
      <c r="M505" s="484"/>
      <c r="N505" s="487">
        <f>SUM(N495:N504)</f>
        <v>0</v>
      </c>
      <c r="O505" s="484"/>
      <c r="P505" s="487">
        <f>SUM(P495:P504)</f>
        <v>0</v>
      </c>
      <c r="Q505" s="484"/>
      <c r="R505" s="487">
        <f>SUM(R495:R504)</f>
        <v>0</v>
      </c>
      <c r="S505" s="484"/>
      <c r="T505" s="487">
        <f>SUM(T495:T504)</f>
        <v>0</v>
      </c>
      <c r="U505" s="484"/>
      <c r="V505" s="487">
        <f>SUM(V495:V504)</f>
        <v>0</v>
      </c>
      <c r="W505" s="484"/>
      <c r="X505" s="487">
        <f>SUM(X495:X504)</f>
        <v>0</v>
      </c>
      <c r="Y505" s="484"/>
      <c r="Z505" s="487">
        <f>SUM(Z495:Z504)</f>
        <v>0</v>
      </c>
      <c r="AA505" s="484"/>
      <c r="AB505" s="487">
        <f>SUM(AB495:AB504)</f>
        <v>0</v>
      </c>
      <c r="AC505" s="484"/>
      <c r="AD505" s="487"/>
      <c r="AE505" s="468"/>
      <c r="AF505" s="487">
        <f>SUM(AF495:AF504)</f>
        <v>0</v>
      </c>
      <c r="AG505" s="483">
        <f t="shared" si="75"/>
        <v>0</v>
      </c>
    </row>
    <row r="506" spans="1:33" hidden="1">
      <c r="B506" s="467"/>
      <c r="C506" s="467"/>
      <c r="D506" s="478"/>
      <c r="E506" s="479" t="s">
        <v>115</v>
      </c>
      <c r="F506" s="467">
        <v>36</v>
      </c>
      <c r="G506" s="490"/>
      <c r="H506" s="468"/>
      <c r="I506" s="490"/>
      <c r="J506" s="468"/>
      <c r="K506" s="468"/>
      <c r="L506" s="486"/>
      <c r="M506" s="486"/>
      <c r="N506" s="486"/>
      <c r="O506" s="486"/>
      <c r="P506" s="486"/>
      <c r="Q506" s="468"/>
      <c r="R506" s="486"/>
      <c r="S506" s="468"/>
      <c r="T506" s="486"/>
      <c r="U506" s="468"/>
      <c r="V506" s="486"/>
      <c r="W506" s="468"/>
      <c r="X506" s="486"/>
      <c r="Y506" s="468"/>
      <c r="Z506" s="486"/>
      <c r="AA506" s="486"/>
      <c r="AB506" s="486"/>
      <c r="AC506" s="486"/>
      <c r="AD506" s="486"/>
      <c r="AE506" s="468"/>
      <c r="AF506" s="486"/>
      <c r="AG506" s="468"/>
    </row>
    <row r="507" spans="1:33" hidden="1">
      <c r="B507" s="467"/>
      <c r="C507" s="467"/>
      <c r="D507" s="478"/>
      <c r="E507" s="479" t="s">
        <v>189</v>
      </c>
      <c r="F507" s="467">
        <v>37</v>
      </c>
      <c r="G507" s="485">
        <f>G492-G505</f>
        <v>0</v>
      </c>
      <c r="H507" s="468"/>
      <c r="I507" s="485">
        <f>I492-I505</f>
        <v>0</v>
      </c>
      <c r="J507" s="468"/>
      <c r="K507" s="468"/>
      <c r="L507" s="485">
        <f>L492-L505</f>
        <v>0</v>
      </c>
      <c r="M507" s="484"/>
      <c r="N507" s="485">
        <f>N492-N505</f>
        <v>0</v>
      </c>
      <c r="O507" s="484"/>
      <c r="P507" s="485">
        <f>P492-P505</f>
        <v>0</v>
      </c>
      <c r="Q507" s="484"/>
      <c r="R507" s="485">
        <f t="shared" ref="R507:Z507" si="76">R492-R505</f>
        <v>0</v>
      </c>
      <c r="S507" s="484"/>
      <c r="T507" s="485">
        <f t="shared" si="76"/>
        <v>0</v>
      </c>
      <c r="U507" s="484"/>
      <c r="V507" s="485">
        <f t="shared" si="76"/>
        <v>0</v>
      </c>
      <c r="W507" s="484"/>
      <c r="X507" s="485">
        <f t="shared" si="76"/>
        <v>0</v>
      </c>
      <c r="Y507" s="484"/>
      <c r="Z507" s="485">
        <f t="shared" si="76"/>
        <v>0</v>
      </c>
      <c r="AA507" s="484"/>
      <c r="AB507" s="485">
        <f>AB492-AB505</f>
        <v>0</v>
      </c>
      <c r="AC507" s="484"/>
      <c r="AD507" s="485"/>
      <c r="AE507" s="468"/>
      <c r="AF507" s="485">
        <f>AF492-AF505</f>
        <v>0</v>
      </c>
      <c r="AG507" s="483">
        <f>SUM(G507:AF507)</f>
        <v>0</v>
      </c>
    </row>
    <row r="508" spans="1:33" hidden="1">
      <c r="B508" s="467"/>
      <c r="C508" s="467"/>
      <c r="D508" s="478"/>
      <c r="E508" s="479"/>
      <c r="F508" s="467">
        <v>38</v>
      </c>
      <c r="G508" s="490"/>
      <c r="H508" s="468"/>
      <c r="I508" s="490"/>
      <c r="J508" s="468"/>
      <c r="K508" s="468"/>
      <c r="L508" s="486"/>
      <c r="M508" s="486"/>
      <c r="N508" s="486"/>
      <c r="O508" s="486"/>
      <c r="P508" s="486"/>
      <c r="Q508" s="468"/>
      <c r="R508" s="486"/>
      <c r="S508" s="468"/>
      <c r="T508" s="486"/>
      <c r="U508" s="468"/>
      <c r="V508" s="486"/>
      <c r="W508" s="468"/>
      <c r="X508" s="486"/>
      <c r="Y508" s="468"/>
      <c r="Z508" s="486"/>
      <c r="AA508" s="486"/>
      <c r="AB508" s="486"/>
      <c r="AC508" s="486"/>
      <c r="AD508" s="486"/>
      <c r="AE508" s="468"/>
      <c r="AF508" s="486"/>
      <c r="AG508" s="468"/>
    </row>
    <row r="509" spans="1:33" ht="13.8" hidden="1" thickBot="1">
      <c r="B509" s="467"/>
      <c r="C509" s="467"/>
      <c r="D509" s="478"/>
      <c r="E509" s="479" t="s">
        <v>190</v>
      </c>
      <c r="F509" s="467">
        <v>39</v>
      </c>
      <c r="G509" s="491">
        <f>G479+G507</f>
        <v>0</v>
      </c>
      <c r="H509" s="468"/>
      <c r="I509" s="491">
        <f>I479+I507</f>
        <v>0</v>
      </c>
      <c r="J509" s="468"/>
      <c r="K509" s="468"/>
      <c r="L509" s="491">
        <f>L479+L507</f>
        <v>0</v>
      </c>
      <c r="M509" s="484"/>
      <c r="N509" s="491">
        <f>N479+N507</f>
        <v>0</v>
      </c>
      <c r="O509" s="484"/>
      <c r="P509" s="491">
        <f>P479+P507</f>
        <v>0</v>
      </c>
      <c r="Q509" s="484"/>
      <c r="R509" s="491">
        <f t="shared" ref="R509:Z509" si="77">R479+R507</f>
        <v>0</v>
      </c>
      <c r="S509" s="484"/>
      <c r="T509" s="491">
        <f t="shared" si="77"/>
        <v>0</v>
      </c>
      <c r="U509" s="484"/>
      <c r="V509" s="491">
        <f t="shared" si="77"/>
        <v>0</v>
      </c>
      <c r="W509" s="484"/>
      <c r="X509" s="491">
        <f t="shared" si="77"/>
        <v>0</v>
      </c>
      <c r="Y509" s="484"/>
      <c r="Z509" s="491">
        <f t="shared" si="77"/>
        <v>0</v>
      </c>
      <c r="AA509" s="484"/>
      <c r="AB509" s="491">
        <f>AB479+AB507</f>
        <v>0</v>
      </c>
      <c r="AC509" s="484"/>
      <c r="AD509" s="491"/>
      <c r="AE509" s="468"/>
      <c r="AF509" s="491">
        <f>AF479+AF507</f>
        <v>0</v>
      </c>
      <c r="AG509" s="483">
        <f>SUM(G509:AF509)</f>
        <v>0</v>
      </c>
    </row>
    <row r="510" spans="1:33">
      <c r="B510" s="467"/>
      <c r="C510" s="467"/>
      <c r="D510" s="492"/>
      <c r="E510" s="470"/>
      <c r="F510" s="467"/>
      <c r="G510" s="486"/>
      <c r="H510" s="468"/>
      <c r="I510" s="486"/>
      <c r="J510" s="468"/>
      <c r="K510" s="468"/>
      <c r="L510" s="468"/>
      <c r="M510" s="468"/>
      <c r="N510" s="468"/>
      <c r="O510" s="468"/>
      <c r="P510" s="468"/>
      <c r="Q510" s="468"/>
      <c r="R510" s="468"/>
      <c r="S510" s="468"/>
      <c r="T510" s="468"/>
      <c r="U510" s="468"/>
      <c r="V510" s="468"/>
      <c r="W510" s="468"/>
      <c r="X510" s="468"/>
      <c r="Y510" s="468"/>
      <c r="Z510" s="468"/>
      <c r="AA510" s="468"/>
      <c r="AB510" s="468"/>
      <c r="AC510" s="468"/>
      <c r="AD510" s="468"/>
      <c r="AE510" s="468"/>
      <c r="AF510" s="468"/>
      <c r="AG510" s="468"/>
    </row>
    <row r="511" spans="1:33" s="498" customFormat="1">
      <c r="A511" s="494"/>
      <c r="B511" s="494"/>
      <c r="C511" s="494"/>
      <c r="D511" s="495"/>
      <c r="E511" s="496" t="s">
        <v>404</v>
      </c>
      <c r="F511" s="494"/>
      <c r="G511" s="497"/>
      <c r="I511" s="497"/>
    </row>
    <row r="512" spans="1:33" s="498" customFormat="1" ht="34.799999999999997">
      <c r="A512" s="494"/>
      <c r="B512" s="494"/>
      <c r="C512" s="494"/>
      <c r="D512" s="495"/>
      <c r="E512" s="499"/>
      <c r="F512" s="494">
        <v>1</v>
      </c>
      <c r="G512" s="500" t="str">
        <f>G21</f>
        <v>DGS - Property Management</v>
      </c>
      <c r="I512" s="500" t="str">
        <f>I21</f>
        <v>DGS - General Services</v>
      </c>
      <c r="L512" s="500" t="s">
        <v>2726</v>
      </c>
      <c r="M512" s="501"/>
      <c r="N512" s="500" t="s">
        <v>145</v>
      </c>
      <c r="O512" s="501"/>
      <c r="P512" s="500" t="str">
        <f>P471</f>
        <v>Enterprise Applications</v>
      </c>
      <c r="R512" s="500" t="s">
        <v>210</v>
      </c>
      <c r="T512" s="500" t="s">
        <v>212</v>
      </c>
      <c r="V512" s="500" t="s">
        <v>213</v>
      </c>
      <c r="X512" s="500" t="s">
        <v>214</v>
      </c>
      <c r="Z512" s="500" t="s">
        <v>215</v>
      </c>
      <c r="AA512" s="501"/>
      <c r="AB512" s="502" t="s">
        <v>2758</v>
      </c>
      <c r="AC512" s="501"/>
      <c r="AD512" s="502"/>
      <c r="AF512" s="500" t="s">
        <v>591</v>
      </c>
    </row>
    <row r="513" spans="1:33" s="498" customFormat="1">
      <c r="A513" s="494"/>
      <c r="B513" s="494"/>
      <c r="C513" s="494"/>
      <c r="D513" s="495"/>
      <c r="E513" s="495" t="s">
        <v>647</v>
      </c>
      <c r="F513" s="494">
        <v>2</v>
      </c>
      <c r="G513" s="503">
        <v>1157067</v>
      </c>
      <c r="I513" s="503">
        <v>541948</v>
      </c>
      <c r="L513" s="503">
        <v>2686394</v>
      </c>
      <c r="M513" s="504"/>
      <c r="N513" s="503">
        <v>51524</v>
      </c>
      <c r="O513" s="504"/>
      <c r="P513" s="503">
        <v>293393</v>
      </c>
      <c r="R513" s="503">
        <v>956156</v>
      </c>
      <c r="T513" s="503">
        <v>367358</v>
      </c>
      <c r="V513" s="503">
        <v>104864</v>
      </c>
      <c r="X513" s="503">
        <v>133090</v>
      </c>
      <c r="Z513" s="503">
        <v>125387</v>
      </c>
      <c r="AA513" s="504"/>
      <c r="AB513" s="503"/>
      <c r="AC513" s="504"/>
      <c r="AD513" s="503"/>
      <c r="AF513" s="503">
        <v>210762</v>
      </c>
      <c r="AG513" s="505">
        <f t="shared" ref="AG513:AG517" si="78">SUM(G513:AF513)</f>
        <v>6627943</v>
      </c>
    </row>
    <row r="514" spans="1:33" s="498" customFormat="1">
      <c r="A514" s="494"/>
      <c r="B514" s="494"/>
      <c r="C514" s="494"/>
      <c r="D514" s="495"/>
      <c r="E514" s="495" t="s">
        <v>3223</v>
      </c>
      <c r="F514" s="494">
        <v>3</v>
      </c>
      <c r="G514" s="503">
        <v>324012862</v>
      </c>
      <c r="I514" s="503">
        <v>0</v>
      </c>
      <c r="L514" s="503">
        <v>32346409</v>
      </c>
      <c r="M514" s="504"/>
      <c r="N514" s="503"/>
      <c r="O514" s="504"/>
      <c r="P514" s="503"/>
      <c r="R514" s="503">
        <v>490211</v>
      </c>
      <c r="T514" s="503"/>
      <c r="V514" s="503">
        <v>0</v>
      </c>
      <c r="X514" s="503"/>
      <c r="Z514" s="503"/>
      <c r="AA514" s="504"/>
      <c r="AB514" s="503"/>
      <c r="AC514" s="504"/>
      <c r="AD514" s="503"/>
      <c r="AF514" s="503"/>
      <c r="AG514" s="505">
        <f t="shared" si="78"/>
        <v>356849482</v>
      </c>
    </row>
    <row r="515" spans="1:33" s="498" customFormat="1">
      <c r="A515" s="494"/>
      <c r="B515" s="494"/>
      <c r="C515" s="494"/>
      <c r="D515" s="495"/>
      <c r="E515" s="495" t="s">
        <v>277</v>
      </c>
      <c r="F515" s="494">
        <v>4</v>
      </c>
      <c r="G515" s="503">
        <v>6669001</v>
      </c>
      <c r="I515" s="503">
        <v>1161442</v>
      </c>
      <c r="L515" s="503">
        <v>0</v>
      </c>
      <c r="M515" s="504"/>
      <c r="N515" s="503"/>
      <c r="O515" s="504"/>
      <c r="P515" s="503"/>
      <c r="R515" s="503">
        <v>0</v>
      </c>
      <c r="T515" s="503"/>
      <c r="V515" s="503">
        <v>18863209</v>
      </c>
      <c r="X515" s="503"/>
      <c r="Z515" s="503"/>
      <c r="AA515" s="504"/>
      <c r="AB515" s="503"/>
      <c r="AC515" s="504"/>
      <c r="AD515" s="503"/>
      <c r="AF515" s="503"/>
      <c r="AG515" s="505">
        <f t="shared" si="78"/>
        <v>26693652</v>
      </c>
    </row>
    <row r="516" spans="1:33" s="498" customFormat="1">
      <c r="A516" s="494"/>
      <c r="B516" s="494"/>
      <c r="C516" s="494"/>
      <c r="D516" s="495"/>
      <c r="E516" s="495" t="s">
        <v>3270</v>
      </c>
      <c r="F516" s="494">
        <v>5</v>
      </c>
      <c r="G516" s="503">
        <v>0</v>
      </c>
      <c r="I516" s="503"/>
      <c r="L516" s="503">
        <v>0</v>
      </c>
      <c r="M516" s="504"/>
      <c r="N516" s="503"/>
      <c r="O516" s="504"/>
      <c r="P516" s="503"/>
      <c r="R516" s="503">
        <v>0</v>
      </c>
      <c r="T516" s="503"/>
      <c r="V516" s="503"/>
      <c r="X516" s="503"/>
      <c r="Z516" s="503"/>
      <c r="AA516" s="504"/>
      <c r="AB516" s="503"/>
      <c r="AC516" s="504"/>
      <c r="AD516" s="503"/>
      <c r="AF516" s="503"/>
      <c r="AG516" s="505">
        <f t="shared" si="78"/>
        <v>0</v>
      </c>
    </row>
    <row r="517" spans="1:33" s="498" customFormat="1">
      <c r="A517" s="494"/>
      <c r="B517" s="494"/>
      <c r="C517" s="494"/>
      <c r="D517" s="495"/>
      <c r="E517" s="20" t="s">
        <v>3279</v>
      </c>
      <c r="F517" s="494">
        <v>6</v>
      </c>
      <c r="G517" s="503">
        <v>929215</v>
      </c>
      <c r="I517" s="503"/>
      <c r="L517" s="503">
        <v>38971869</v>
      </c>
      <c r="M517" s="504"/>
      <c r="N517" s="503"/>
      <c r="O517" s="504"/>
      <c r="P517" s="503"/>
      <c r="R517" s="503">
        <v>166125</v>
      </c>
      <c r="T517" s="503"/>
      <c r="V517" s="503"/>
      <c r="X517" s="503"/>
      <c r="Z517" s="503"/>
      <c r="AA517" s="504"/>
      <c r="AB517" s="503"/>
      <c r="AC517" s="504"/>
      <c r="AD517" s="503"/>
      <c r="AF517" s="503"/>
      <c r="AG517" s="505">
        <f t="shared" si="78"/>
        <v>40067209</v>
      </c>
    </row>
    <row r="518" spans="1:33" s="498" customFormat="1">
      <c r="A518" s="494"/>
      <c r="B518" s="494"/>
      <c r="C518" s="494"/>
      <c r="D518" s="495"/>
      <c r="E518" s="495" t="s">
        <v>278</v>
      </c>
      <c r="F518" s="494">
        <v>7</v>
      </c>
      <c r="G518" s="503"/>
      <c r="I518" s="503"/>
      <c r="L518" s="503"/>
      <c r="M518" s="504"/>
      <c r="N518" s="503"/>
      <c r="O518" s="504"/>
      <c r="P518" s="503"/>
      <c r="R518" s="503"/>
      <c r="T518" s="503"/>
      <c r="V518" s="503"/>
      <c r="X518" s="503"/>
      <c r="Z518" s="503"/>
      <c r="AA518" s="504"/>
      <c r="AB518" s="503"/>
      <c r="AC518" s="504"/>
      <c r="AD518" s="503"/>
      <c r="AF518" s="503"/>
      <c r="AG518" s="505">
        <f t="shared" ref="AG518:AG519" si="79">SUM(G518:AF518)</f>
        <v>0</v>
      </c>
    </row>
    <row r="519" spans="1:33" s="498" customFormat="1">
      <c r="A519" s="494"/>
      <c r="B519" s="494"/>
      <c r="C519" s="494"/>
      <c r="D519" s="499"/>
      <c r="E519" s="495" t="s">
        <v>617</v>
      </c>
      <c r="F519" s="494">
        <v>8</v>
      </c>
      <c r="G519" s="503"/>
      <c r="I519" s="503"/>
      <c r="L519" s="503"/>
      <c r="M519" s="504"/>
      <c r="N519" s="503"/>
      <c r="O519" s="504"/>
      <c r="P519" s="503"/>
      <c r="R519" s="503"/>
      <c r="T519" s="503"/>
      <c r="V519" s="503"/>
      <c r="X519" s="503"/>
      <c r="Z519" s="503"/>
      <c r="AA519" s="504"/>
      <c r="AB519" s="503"/>
      <c r="AC519" s="504"/>
      <c r="AD519" s="503"/>
      <c r="AF519" s="503"/>
      <c r="AG519" s="505">
        <f t="shared" si="79"/>
        <v>0</v>
      </c>
    </row>
    <row r="520" spans="1:33" ht="23.25" customHeight="1">
      <c r="B520" s="467"/>
      <c r="C520" s="467"/>
      <c r="D520" s="467"/>
      <c r="E520" s="467"/>
      <c r="F520" s="467"/>
      <c r="G520" s="513">
        <f>SUM(G513:G519)</f>
        <v>332768145</v>
      </c>
      <c r="H520" s="513">
        <f>SUM(H513:H519)</f>
        <v>0</v>
      </c>
      <c r="I520" s="513">
        <f>SUM(I513:I519)</f>
        <v>1703390</v>
      </c>
      <c r="J520" s="513">
        <f>SUM(J513:J519)</f>
        <v>0</v>
      </c>
      <c r="K520" s="513"/>
      <c r="L520" s="513">
        <f>SUM(L513:L519)</f>
        <v>74004672</v>
      </c>
      <c r="M520" s="513"/>
      <c r="N520" s="513">
        <f>SUM(N513:N519)</f>
        <v>51524</v>
      </c>
      <c r="O520" s="513"/>
      <c r="P520" s="513">
        <f t="shared" ref="P520:Z520" si="80">SUM(P513:P519)</f>
        <v>293393</v>
      </c>
      <c r="Q520" s="513">
        <f t="shared" si="80"/>
        <v>0</v>
      </c>
      <c r="R520" s="513">
        <f t="shared" si="80"/>
        <v>1612492</v>
      </c>
      <c r="S520" s="513">
        <f t="shared" si="80"/>
        <v>0</v>
      </c>
      <c r="T520" s="513">
        <f t="shared" si="80"/>
        <v>367358</v>
      </c>
      <c r="U520" s="513">
        <f t="shared" si="80"/>
        <v>0</v>
      </c>
      <c r="V520" s="513">
        <f t="shared" si="80"/>
        <v>18968073</v>
      </c>
      <c r="W520" s="513">
        <f t="shared" si="80"/>
        <v>0</v>
      </c>
      <c r="X520" s="513">
        <f t="shared" si="80"/>
        <v>133090</v>
      </c>
      <c r="Y520" s="513">
        <f t="shared" si="80"/>
        <v>0</v>
      </c>
      <c r="Z520" s="513">
        <f t="shared" si="80"/>
        <v>125387</v>
      </c>
      <c r="AA520" s="513"/>
      <c r="AB520" s="513">
        <f>SUM(AB513:AB519)</f>
        <v>0</v>
      </c>
      <c r="AC520" s="513"/>
      <c r="AD520" s="513"/>
      <c r="AE520" s="513"/>
      <c r="AF520" s="513">
        <f>SUM(AF513:AF519)</f>
        <v>210762</v>
      </c>
      <c r="AG520" s="468"/>
    </row>
    <row r="521" spans="1:33" ht="15" customHeight="1">
      <c r="B521" s="531" t="s">
        <v>3458</v>
      </c>
      <c r="C521" s="467"/>
      <c r="D521" s="467"/>
      <c r="E521" s="467"/>
      <c r="F521" s="467"/>
      <c r="G521" s="532">
        <f>G520-G167-G141</f>
        <v>0</v>
      </c>
      <c r="H521" s="513"/>
      <c r="I521" s="532">
        <f>I520-I167-I141</f>
        <v>0</v>
      </c>
      <c r="J521" s="513"/>
      <c r="K521" s="513"/>
      <c r="L521" s="532">
        <f>L520-L167-L141</f>
        <v>0</v>
      </c>
      <c r="M521" s="513"/>
      <c r="N521" s="532">
        <f>N520-N167-N141</f>
        <v>0</v>
      </c>
      <c r="O521" s="513"/>
      <c r="P521" s="532">
        <f>P520-P167-P141</f>
        <v>0</v>
      </c>
      <c r="Q521" s="513"/>
      <c r="R521" s="532">
        <f>R520-R167-R141</f>
        <v>0</v>
      </c>
      <c r="S521" s="513"/>
      <c r="T521" s="532">
        <f>T520-T167-T141</f>
        <v>0</v>
      </c>
      <c r="U521" s="513"/>
      <c r="V521" s="532">
        <f>V520-V167-V141</f>
        <v>0</v>
      </c>
      <c r="W521" s="513"/>
      <c r="X521" s="532">
        <f>X520-X167-X141</f>
        <v>0</v>
      </c>
      <c r="Y521" s="513"/>
      <c r="Z521" s="532">
        <f>Z520-Z167-Z141</f>
        <v>0</v>
      </c>
      <c r="AA521" s="513"/>
      <c r="AB521" s="532">
        <f>AB520-AB167-AB141</f>
        <v>0</v>
      </c>
      <c r="AC521" s="513"/>
      <c r="AD521" s="532"/>
      <c r="AE521" s="513"/>
      <c r="AF521" s="532">
        <f>AF520-AF167-AF141</f>
        <v>0</v>
      </c>
      <c r="AG521" s="468"/>
    </row>
    <row r="522" spans="1:33" s="498" customFormat="1" ht="45.75" customHeight="1">
      <c r="A522" s="494"/>
      <c r="B522" s="494"/>
      <c r="C522" s="494"/>
      <c r="D522" s="506" t="s">
        <v>402</v>
      </c>
      <c r="E522" s="494"/>
      <c r="F522" s="494"/>
    </row>
    <row r="523" spans="1:33" s="498" customFormat="1" ht="273.75" customHeight="1">
      <c r="B523" s="507"/>
      <c r="C523" s="507"/>
      <c r="D523" s="508" t="s">
        <v>682</v>
      </c>
      <c r="E523" s="1044" t="s">
        <v>3986</v>
      </c>
      <c r="F523" s="1043"/>
      <c r="G523" s="1043"/>
      <c r="H523" s="1043"/>
      <c r="I523" s="1043"/>
      <c r="J523" s="1043"/>
      <c r="K523" s="1043"/>
      <c r="L523" s="507"/>
      <c r="M523" s="507"/>
      <c r="N523" s="507"/>
      <c r="O523" s="507"/>
      <c r="P523" s="509"/>
      <c r="Q523" s="507"/>
      <c r="R523" s="509"/>
      <c r="S523" s="509"/>
      <c r="T523" s="509"/>
      <c r="U523" s="509"/>
      <c r="V523" s="509"/>
      <c r="W523" s="509"/>
      <c r="X523" s="509"/>
      <c r="Y523" s="509"/>
      <c r="Z523" s="509"/>
      <c r="AA523" s="509"/>
      <c r="AB523" s="509"/>
      <c r="AC523" s="509"/>
      <c r="AD523" s="509"/>
      <c r="AE523" s="509"/>
      <c r="AF523" s="509"/>
      <c r="AG523" s="509"/>
    </row>
    <row r="524" spans="1:33" s="498" customFormat="1" ht="208.2" customHeight="1">
      <c r="B524" s="507"/>
      <c r="C524" s="507"/>
      <c r="D524" s="508" t="s">
        <v>683</v>
      </c>
      <c r="E524" s="1061" t="s">
        <v>3950</v>
      </c>
      <c r="F524" s="1062"/>
      <c r="G524" s="1062"/>
      <c r="H524" s="1062"/>
      <c r="I524" s="1062"/>
      <c r="J524" s="1062"/>
      <c r="K524" s="1063"/>
      <c r="L524" s="509"/>
      <c r="M524" s="509"/>
      <c r="N524" s="509"/>
      <c r="O524" s="509"/>
      <c r="P524" s="509"/>
      <c r="Q524" s="509"/>
      <c r="R524" s="509"/>
      <c r="S524" s="509"/>
      <c r="T524" s="509"/>
      <c r="U524" s="509"/>
      <c r="V524" s="509"/>
      <c r="W524" s="509"/>
      <c r="X524" s="509"/>
      <c r="Y524" s="509"/>
      <c r="Z524" s="509"/>
      <c r="AA524" s="509"/>
      <c r="AB524" s="509"/>
      <c r="AC524" s="509"/>
      <c r="AD524" s="509"/>
      <c r="AE524" s="509"/>
      <c r="AF524" s="509"/>
      <c r="AG524" s="509"/>
    </row>
    <row r="525" spans="1:33" s="498" customFormat="1" ht="220.2" customHeight="1">
      <c r="B525" s="507"/>
      <c r="C525" s="507"/>
      <c r="D525" s="508" t="s">
        <v>2726</v>
      </c>
      <c r="E525" s="1044" t="s">
        <v>3951</v>
      </c>
      <c r="F525" s="1043"/>
      <c r="G525" s="1043"/>
      <c r="H525" s="1043"/>
      <c r="I525" s="1043"/>
      <c r="J525" s="1043"/>
      <c r="K525" s="1043"/>
      <c r="L525" s="509"/>
      <c r="M525" s="509"/>
      <c r="N525" s="509"/>
      <c r="O525" s="509"/>
      <c r="P525" s="509"/>
      <c r="Q525" s="509"/>
      <c r="R525" s="509"/>
      <c r="S525" s="509"/>
      <c r="T525" s="509"/>
      <c r="U525" s="509"/>
      <c r="V525" s="509"/>
      <c r="W525" s="509"/>
      <c r="X525" s="509"/>
      <c r="Y525" s="509"/>
      <c r="Z525" s="509"/>
      <c r="AA525" s="509"/>
      <c r="AB525" s="509"/>
      <c r="AC525" s="509"/>
      <c r="AD525" s="509"/>
      <c r="AE525" s="509"/>
      <c r="AF525" s="509"/>
      <c r="AG525" s="509"/>
    </row>
    <row r="526" spans="1:33" s="498" customFormat="1" ht="193.2" customHeight="1">
      <c r="B526" s="507"/>
      <c r="C526" s="507"/>
      <c r="D526" s="508" t="s">
        <v>145</v>
      </c>
      <c r="E526" s="1065" t="s">
        <v>3952</v>
      </c>
      <c r="F526" s="1066"/>
      <c r="G526" s="1066"/>
      <c r="H526" s="1066"/>
      <c r="I526" s="1066"/>
      <c r="J526" s="1066"/>
      <c r="K526" s="1067"/>
      <c r="L526" s="509"/>
      <c r="M526" s="509"/>
      <c r="N526" s="509"/>
      <c r="O526" s="509"/>
      <c r="P526" s="509"/>
      <c r="Q526" s="509"/>
      <c r="R526" s="509"/>
      <c r="S526" s="509"/>
      <c r="T526" s="509"/>
      <c r="U526" s="509"/>
      <c r="V526" s="509"/>
      <c r="W526" s="509"/>
      <c r="X526" s="509"/>
      <c r="Y526" s="509"/>
      <c r="Z526" s="509"/>
      <c r="AA526" s="509"/>
      <c r="AB526" s="509"/>
      <c r="AC526" s="509"/>
      <c r="AD526" s="509"/>
      <c r="AE526" s="509"/>
      <c r="AF526" s="509"/>
      <c r="AG526" s="509"/>
    </row>
    <row r="527" spans="1:33" s="498" customFormat="1" ht="177.75" customHeight="1">
      <c r="B527" s="507"/>
      <c r="C527" s="507"/>
      <c r="D527" s="508" t="s">
        <v>696</v>
      </c>
      <c r="E527" s="1044" t="s">
        <v>3988</v>
      </c>
      <c r="F527" s="1043"/>
      <c r="G527" s="1043"/>
      <c r="H527" s="1043"/>
      <c r="I527" s="1043"/>
      <c r="J527" s="1043"/>
      <c r="K527" s="1043"/>
      <c r="L527" s="509"/>
      <c r="M527" s="509"/>
      <c r="N527" s="509"/>
      <c r="O527" s="509"/>
      <c r="P527" s="509"/>
      <c r="Q527" s="509"/>
      <c r="R527" s="509"/>
      <c r="S527" s="509"/>
      <c r="T527" s="509"/>
      <c r="U527" s="509"/>
      <c r="V527" s="509"/>
      <c r="W527" s="509"/>
      <c r="X527" s="509"/>
      <c r="Y527" s="509"/>
      <c r="Z527" s="509"/>
      <c r="AA527" s="509"/>
      <c r="AB527" s="509"/>
      <c r="AC527" s="509"/>
      <c r="AD527" s="509"/>
      <c r="AE527" s="509"/>
      <c r="AF527" s="509"/>
      <c r="AG527" s="509"/>
    </row>
    <row r="528" spans="1:33" s="498" customFormat="1" ht="148.5" customHeight="1">
      <c r="B528" s="507"/>
      <c r="C528" s="507"/>
      <c r="D528" s="508" t="s">
        <v>210</v>
      </c>
      <c r="E528" s="1044" t="s">
        <v>3953</v>
      </c>
      <c r="F528" s="1043"/>
      <c r="G528" s="1043"/>
      <c r="H528" s="1043"/>
      <c r="I528" s="1043"/>
      <c r="J528" s="1043"/>
      <c r="K528" s="1043"/>
      <c r="L528" s="509"/>
      <c r="M528" s="509"/>
      <c r="N528" s="509"/>
      <c r="O528" s="509"/>
      <c r="P528" s="509"/>
      <c r="Q528" s="509"/>
      <c r="R528" s="509"/>
      <c r="S528" s="509"/>
      <c r="T528" s="509"/>
      <c r="U528" s="509"/>
      <c r="V528" s="509"/>
      <c r="W528" s="509"/>
      <c r="X528" s="509"/>
      <c r="Y528" s="509"/>
      <c r="Z528" s="509"/>
      <c r="AA528" s="509"/>
      <c r="AB528" s="509"/>
      <c r="AC528" s="509"/>
      <c r="AD528" s="509"/>
      <c r="AE528" s="509"/>
      <c r="AF528" s="509"/>
      <c r="AG528" s="509"/>
    </row>
    <row r="529" spans="1:33" s="498" customFormat="1" ht="150.75" customHeight="1">
      <c r="B529" s="507"/>
      <c r="C529" s="507"/>
      <c r="D529" s="508" t="s">
        <v>212</v>
      </c>
      <c r="E529" s="1044" t="s">
        <v>3954</v>
      </c>
      <c r="F529" s="1043"/>
      <c r="G529" s="1043"/>
      <c r="H529" s="1043"/>
      <c r="I529" s="1043"/>
      <c r="J529" s="1043"/>
      <c r="K529" s="1043"/>
      <c r="L529" s="509"/>
      <c r="M529" s="509"/>
      <c r="N529" s="509"/>
      <c r="O529" s="509"/>
      <c r="P529" s="509"/>
      <c r="Q529" s="509"/>
      <c r="R529" s="509"/>
      <c r="S529" s="509"/>
      <c r="T529" s="509"/>
      <c r="U529" s="509"/>
      <c r="V529" s="509"/>
      <c r="W529" s="509"/>
      <c r="X529" s="509"/>
      <c r="Y529" s="509"/>
      <c r="Z529" s="509"/>
      <c r="AA529" s="509"/>
      <c r="AB529" s="509"/>
      <c r="AC529" s="509"/>
      <c r="AD529" s="509"/>
      <c r="AE529" s="509"/>
      <c r="AF529" s="509"/>
      <c r="AG529" s="509"/>
    </row>
    <row r="530" spans="1:33" s="498" customFormat="1" ht="180" customHeight="1">
      <c r="B530" s="507"/>
      <c r="C530" s="507"/>
      <c r="D530" s="508" t="s">
        <v>213</v>
      </c>
      <c r="E530" s="1044" t="s">
        <v>3955</v>
      </c>
      <c r="F530" s="1043"/>
      <c r="G530" s="1043"/>
      <c r="H530" s="1043"/>
      <c r="I530" s="1043"/>
      <c r="J530" s="1043"/>
      <c r="K530" s="1043"/>
      <c r="L530" s="509"/>
      <c r="M530" s="509"/>
      <c r="N530" s="509"/>
      <c r="O530" s="509"/>
      <c r="P530" s="509"/>
      <c r="Q530" s="509"/>
      <c r="R530" s="509"/>
      <c r="S530" s="509"/>
      <c r="T530" s="509"/>
      <c r="U530" s="509"/>
      <c r="V530" s="509"/>
      <c r="W530" s="509"/>
      <c r="X530" s="509"/>
      <c r="Y530" s="509"/>
      <c r="Z530" s="509"/>
      <c r="AA530" s="509"/>
      <c r="AB530" s="509"/>
      <c r="AC530" s="509"/>
      <c r="AD530" s="509"/>
      <c r="AE530" s="509"/>
      <c r="AF530" s="509"/>
      <c r="AG530" s="509"/>
    </row>
    <row r="531" spans="1:33" s="498" customFormat="1">
      <c r="B531" s="507"/>
      <c r="C531" s="507"/>
      <c r="D531" s="508" t="s">
        <v>214</v>
      </c>
      <c r="E531" s="1044" t="s">
        <v>262</v>
      </c>
      <c r="F531" s="1043"/>
      <c r="G531" s="1043"/>
      <c r="H531" s="1043"/>
      <c r="I531" s="1043"/>
      <c r="J531" s="1043"/>
      <c r="K531" s="1043"/>
      <c r="L531" s="509"/>
      <c r="M531" s="509"/>
      <c r="N531" s="509"/>
      <c r="O531" s="509"/>
      <c r="P531" s="509"/>
      <c r="Q531" s="509"/>
      <c r="R531" s="509"/>
      <c r="S531" s="509"/>
      <c r="T531" s="509"/>
      <c r="U531" s="509"/>
      <c r="V531" s="509"/>
      <c r="W531" s="509"/>
      <c r="X531" s="509"/>
      <c r="Y531" s="509"/>
      <c r="Z531" s="509"/>
      <c r="AA531" s="509"/>
      <c r="AB531" s="509"/>
      <c r="AC531" s="509"/>
      <c r="AD531" s="509"/>
      <c r="AE531" s="509"/>
      <c r="AF531" s="509"/>
      <c r="AG531" s="509"/>
    </row>
    <row r="532" spans="1:33" s="498" customFormat="1" ht="202.5" customHeight="1">
      <c r="B532" s="507"/>
      <c r="C532" s="507"/>
      <c r="D532" s="508" t="s">
        <v>215</v>
      </c>
      <c r="E532" s="1044" t="s">
        <v>3956</v>
      </c>
      <c r="F532" s="1043"/>
      <c r="G532" s="1043"/>
      <c r="H532" s="1043"/>
      <c r="I532" s="1043"/>
      <c r="J532" s="1043"/>
      <c r="K532" s="1043"/>
      <c r="L532" s="509"/>
      <c r="M532" s="509"/>
      <c r="N532" s="509"/>
      <c r="O532" s="509"/>
      <c r="P532" s="509"/>
      <c r="Q532" s="509"/>
      <c r="R532" s="509"/>
      <c r="S532" s="509"/>
      <c r="T532" s="509"/>
      <c r="U532" s="509"/>
      <c r="V532" s="509"/>
      <c r="W532" s="509"/>
      <c r="X532" s="509"/>
      <c r="Y532" s="509"/>
      <c r="Z532" s="509"/>
      <c r="AA532" s="509"/>
      <c r="AB532" s="509"/>
      <c r="AC532" s="509"/>
      <c r="AD532" s="509"/>
      <c r="AE532" s="509"/>
      <c r="AF532" s="509"/>
      <c r="AG532" s="509"/>
    </row>
    <row r="533" spans="1:33" s="498" customFormat="1">
      <c r="B533" s="507"/>
      <c r="C533" s="507"/>
      <c r="D533" s="508" t="s">
        <v>591</v>
      </c>
      <c r="E533" s="1044" t="s">
        <v>3277</v>
      </c>
      <c r="F533" s="1043"/>
      <c r="G533" s="1043"/>
      <c r="H533" s="1043"/>
      <c r="I533" s="1043"/>
      <c r="J533" s="1043"/>
      <c r="K533" s="1043"/>
      <c r="L533" s="509"/>
      <c r="M533" s="509"/>
      <c r="N533" s="509"/>
      <c r="O533" s="509"/>
      <c r="P533" s="509"/>
      <c r="Q533" s="509"/>
      <c r="R533" s="509"/>
      <c r="S533" s="509"/>
      <c r="T533" s="509"/>
      <c r="U533" s="509"/>
      <c r="V533" s="509"/>
      <c r="W533" s="509"/>
      <c r="X533" s="509"/>
      <c r="Y533" s="509"/>
      <c r="Z533" s="509"/>
      <c r="AA533" s="509"/>
      <c r="AB533" s="509"/>
      <c r="AC533" s="509"/>
      <c r="AD533" s="509"/>
      <c r="AE533" s="509"/>
      <c r="AF533" s="509"/>
      <c r="AG533" s="509"/>
    </row>
    <row r="534" spans="1:33" s="498" customFormat="1" ht="15" customHeight="1">
      <c r="B534" s="507"/>
      <c r="C534" s="507"/>
      <c r="D534" s="508" t="s">
        <v>2758</v>
      </c>
      <c r="E534" s="1042" t="s">
        <v>262</v>
      </c>
      <c r="F534" s="1043"/>
      <c r="G534" s="1043"/>
      <c r="H534" s="1043"/>
      <c r="I534" s="1043"/>
      <c r="J534" s="1043"/>
      <c r="K534" s="1043"/>
      <c r="L534" s="509"/>
      <c r="M534" s="509"/>
      <c r="N534" s="509"/>
      <c r="O534" s="509"/>
      <c r="P534" s="509"/>
      <c r="Q534" s="509"/>
      <c r="R534" s="509"/>
      <c r="S534" s="509"/>
      <c r="T534" s="509"/>
      <c r="U534" s="509"/>
      <c r="V534" s="509"/>
      <c r="W534" s="509"/>
      <c r="X534" s="509"/>
      <c r="Y534" s="509"/>
      <c r="Z534" s="509"/>
      <c r="AA534" s="509"/>
      <c r="AB534" s="509"/>
      <c r="AC534" s="509"/>
      <c r="AD534" s="509"/>
      <c r="AE534" s="509"/>
      <c r="AF534" s="509"/>
      <c r="AG534" s="509"/>
    </row>
    <row r="535" spans="1:33" s="498" customFormat="1" ht="136.5" customHeight="1">
      <c r="B535" s="507"/>
      <c r="C535" s="507"/>
      <c r="D535" s="508"/>
      <c r="E535" s="1044"/>
      <c r="F535" s="1043"/>
      <c r="G535" s="1043"/>
      <c r="H535" s="1043"/>
      <c r="I535" s="1043"/>
      <c r="J535" s="1043"/>
      <c r="K535" s="1043"/>
      <c r="L535" s="509"/>
      <c r="M535" s="509"/>
      <c r="N535" s="509"/>
      <c r="O535" s="509"/>
      <c r="P535" s="509"/>
      <c r="Q535" s="509"/>
      <c r="R535" s="509"/>
      <c r="S535" s="509"/>
      <c r="T535" s="509"/>
      <c r="U535" s="509"/>
      <c r="V535" s="509"/>
      <c r="W535" s="509"/>
      <c r="X535" s="509"/>
      <c r="Y535" s="509"/>
      <c r="Z535" s="509"/>
      <c r="AA535" s="509"/>
      <c r="AB535" s="509"/>
      <c r="AC535" s="509"/>
      <c r="AD535" s="509"/>
      <c r="AE535" s="509"/>
      <c r="AF535" s="509"/>
      <c r="AG535" s="509"/>
    </row>
    <row r="536" spans="1:33" ht="15.75" customHeight="1"/>
    <row r="537" spans="1:33" ht="18" customHeight="1"/>
    <row r="538" spans="1:33" ht="24.75" customHeight="1"/>
    <row r="539" spans="1:33" ht="24" customHeight="1">
      <c r="D539" s="139" t="s">
        <v>720</v>
      </c>
    </row>
    <row r="540" spans="1:33" ht="24.75" hidden="1" customHeight="1">
      <c r="A540" s="1046" t="str">
        <f>G21</f>
        <v>DGS - Property Management</v>
      </c>
      <c r="B540" s="1046"/>
      <c r="C540" s="1046"/>
      <c r="D540" s="1046"/>
      <c r="E540" s="1052" t="s">
        <v>262</v>
      </c>
      <c r="F540" s="1045"/>
      <c r="G540" s="1045"/>
    </row>
    <row r="541" spans="1:33" hidden="1">
      <c r="A541" s="1046"/>
      <c r="B541" s="1046"/>
      <c r="C541" s="1046"/>
      <c r="D541" s="1046"/>
      <c r="E541" s="1045"/>
      <c r="F541" s="1045"/>
      <c r="G541" s="1045"/>
    </row>
    <row r="542" spans="1:33" hidden="1">
      <c r="A542" s="1046"/>
      <c r="B542" s="1046"/>
      <c r="C542" s="1046"/>
      <c r="D542" s="1046"/>
      <c r="E542" s="1045"/>
      <c r="F542" s="1045"/>
      <c r="G542" s="1045"/>
    </row>
    <row r="543" spans="1:33" hidden="1">
      <c r="A543" s="1046"/>
      <c r="B543" s="1046"/>
      <c r="C543" s="1046"/>
      <c r="D543" s="1046"/>
      <c r="E543" s="1045"/>
      <c r="F543" s="1045"/>
      <c r="G543" s="1045"/>
    </row>
    <row r="544" spans="1:33" hidden="1">
      <c r="A544" s="1046"/>
      <c r="B544" s="1046"/>
      <c r="C544" s="1046"/>
      <c r="D544" s="1046"/>
      <c r="E544" s="1045"/>
      <c r="F544" s="1045"/>
      <c r="G544" s="1045"/>
    </row>
    <row r="545" spans="1:33" hidden="1">
      <c r="A545" s="1046"/>
      <c r="B545" s="1046"/>
      <c r="C545" s="1046"/>
      <c r="D545" s="1046"/>
      <c r="E545" s="1045"/>
      <c r="F545" s="1045"/>
      <c r="G545" s="1047"/>
    </row>
    <row r="546" spans="1:33" ht="12.75" customHeight="1">
      <c r="E546" s="170" t="s">
        <v>561</v>
      </c>
      <c r="F546" s="141"/>
      <c r="G546" s="142"/>
      <c r="H546" s="142"/>
      <c r="I546" s="142"/>
      <c r="J546" s="142"/>
      <c r="K546" s="142"/>
      <c r="L546" s="142"/>
      <c r="M546" s="44"/>
      <c r="N546" s="142"/>
      <c r="O546" s="44"/>
      <c r="P546" s="44"/>
      <c r="Q546" s="44"/>
      <c r="R546" s="44"/>
      <c r="S546" s="44"/>
      <c r="T546" s="44"/>
      <c r="U546" s="44"/>
      <c r="V546" s="44"/>
      <c r="W546" s="44"/>
      <c r="X546" s="44"/>
      <c r="Y546" s="44"/>
      <c r="Z546" s="44"/>
      <c r="AA546" s="44"/>
      <c r="AB546" s="44"/>
      <c r="AC546" s="44"/>
      <c r="AD546" s="44"/>
      <c r="AE546" s="44"/>
      <c r="AF546" s="44"/>
      <c r="AG546" s="44"/>
    </row>
    <row r="547" spans="1:33" ht="12.75" customHeight="1">
      <c r="D547" s="229" t="s">
        <v>682</v>
      </c>
      <c r="E547" s="236">
        <f>G275</f>
        <v>-23955661</v>
      </c>
      <c r="F547" s="213"/>
      <c r="G547" s="214"/>
      <c r="H547" s="214"/>
      <c r="I547" s="214"/>
      <c r="J547" s="214"/>
      <c r="K547" s="215"/>
      <c r="L547" s="215"/>
      <c r="M547" s="245"/>
      <c r="N547" s="215"/>
      <c r="O547" s="245"/>
      <c r="P547" s="41">
        <f>SUM(C547:J547)</f>
        <v>-23955661</v>
      </c>
      <c r="Q547" s="41"/>
      <c r="R547" s="41">
        <f>SUM(E547:L547)</f>
        <v>-23955661</v>
      </c>
      <c r="S547" s="41"/>
      <c r="T547" s="41"/>
      <c r="U547" s="41"/>
      <c r="V547" s="41"/>
      <c r="W547" s="41"/>
      <c r="X547" s="41"/>
      <c r="Y547" s="41"/>
      <c r="Z547" s="41"/>
      <c r="AA547" s="41"/>
      <c r="AB547" s="41"/>
      <c r="AC547" s="41"/>
      <c r="AD547" s="41"/>
      <c r="AE547" s="41"/>
      <c r="AF547" s="41"/>
      <c r="AG547" s="41"/>
    </row>
    <row r="548" spans="1:33" ht="12.75" customHeight="1">
      <c r="D548" s="87"/>
      <c r="E548" s="167"/>
      <c r="F548" s="150"/>
      <c r="G548" s="168"/>
      <c r="H548" s="168"/>
      <c r="I548" s="168"/>
      <c r="J548" s="168"/>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row>
    <row r="549" spans="1:33" ht="12.75" customHeight="1">
      <c r="D549" s="87"/>
      <c r="E549" s="170" t="s">
        <v>561</v>
      </c>
      <c r="F549" s="141"/>
      <c r="G549" s="142"/>
      <c r="H549" s="143"/>
      <c r="I549" s="142"/>
      <c r="J549" s="143"/>
      <c r="K549" s="142"/>
      <c r="L549" s="142"/>
      <c r="M549" s="44"/>
      <c r="N549" s="142"/>
      <c r="O549" s="44"/>
      <c r="P549" s="44"/>
      <c r="Q549" s="44"/>
      <c r="R549" s="44"/>
      <c r="S549" s="44"/>
      <c r="T549" s="44"/>
      <c r="U549" s="44"/>
      <c r="V549" s="44"/>
      <c r="W549" s="44"/>
      <c r="X549" s="44"/>
      <c r="Y549" s="44"/>
      <c r="Z549" s="44"/>
      <c r="AA549" s="44"/>
      <c r="AB549" s="44"/>
      <c r="AC549" s="44"/>
      <c r="AD549" s="44"/>
      <c r="AE549" s="44"/>
      <c r="AF549" s="44"/>
      <c r="AG549" s="44"/>
    </row>
    <row r="550" spans="1:33" ht="12.75" customHeight="1">
      <c r="D550" s="230" t="s">
        <v>683</v>
      </c>
      <c r="E550" s="235">
        <f>I275</f>
        <v>14307989</v>
      </c>
      <c r="F550" s="216"/>
      <c r="G550" s="213"/>
      <c r="H550" s="213"/>
      <c r="I550" s="213"/>
      <c r="J550" s="213"/>
      <c r="K550" s="213"/>
      <c r="L550" s="213"/>
      <c r="M550" s="246"/>
      <c r="N550" s="213"/>
      <c r="O550" s="246"/>
      <c r="P550" s="41">
        <f>SUM(C550:J550)</f>
        <v>14307989</v>
      </c>
      <c r="Q550" s="150"/>
      <c r="R550" s="41">
        <f>SUM(E550:L550)</f>
        <v>14307989</v>
      </c>
      <c r="S550" s="150"/>
      <c r="T550" s="150"/>
      <c r="U550" s="150"/>
      <c r="V550" s="150"/>
      <c r="W550" s="150"/>
      <c r="X550" s="150"/>
      <c r="Y550" s="150"/>
      <c r="Z550" s="150"/>
      <c r="AA550" s="150"/>
      <c r="AB550" s="150"/>
      <c r="AC550" s="150"/>
      <c r="AD550" s="150"/>
      <c r="AE550" s="150"/>
      <c r="AF550" s="150"/>
      <c r="AG550" s="150"/>
    </row>
    <row r="551" spans="1:33" ht="12.75" customHeight="1"/>
    <row r="552" spans="1:33" ht="12.75" customHeight="1">
      <c r="E552" s="169"/>
      <c r="F552" s="169"/>
      <c r="G552" s="21"/>
      <c r="H552" s="21"/>
      <c r="I552" s="21"/>
      <c r="J552" s="21"/>
      <c r="K552" s="21"/>
      <c r="L552" s="21"/>
      <c r="M552" s="21"/>
      <c r="N552" s="21"/>
      <c r="O552" s="21"/>
    </row>
    <row r="553" spans="1:33" ht="12.75" customHeight="1">
      <c r="E553" s="170" t="s">
        <v>561</v>
      </c>
      <c r="F553" s="142" t="s">
        <v>453</v>
      </c>
      <c r="G553" s="142" t="s">
        <v>453</v>
      </c>
      <c r="H553" s="171"/>
      <c r="I553" s="142" t="s">
        <v>453</v>
      </c>
      <c r="J553" s="171"/>
      <c r="K553" s="142" t="s">
        <v>453</v>
      </c>
      <c r="L553" s="142" t="s">
        <v>453</v>
      </c>
      <c r="M553" s="44"/>
      <c r="N553" s="142" t="s">
        <v>453</v>
      </c>
      <c r="O553" s="44"/>
    </row>
    <row r="554" spans="1:33" ht="12.75" customHeight="1">
      <c r="D554" s="229" t="s">
        <v>2726</v>
      </c>
      <c r="E554" s="162">
        <f>L275</f>
        <v>75672007</v>
      </c>
      <c r="F554" s="145">
        <v>0</v>
      </c>
      <c r="G554" s="145">
        <v>0</v>
      </c>
      <c r="H554" s="145"/>
      <c r="I554" s="145">
        <v>0</v>
      </c>
      <c r="J554" s="145"/>
      <c r="K554" s="145">
        <v>0</v>
      </c>
      <c r="L554" s="145">
        <v>0</v>
      </c>
      <c r="M554" s="11"/>
      <c r="N554" s="145">
        <v>0</v>
      </c>
      <c r="O554" s="11"/>
      <c r="P554" s="41">
        <f t="shared" ref="P554:R563" si="81">SUM(C554:J554)</f>
        <v>75672007</v>
      </c>
      <c r="R554" s="41">
        <f t="shared" si="81"/>
        <v>75672007</v>
      </c>
    </row>
    <row r="555" spans="1:33" ht="12.75" customHeight="1">
      <c r="D555" s="229" t="s">
        <v>696</v>
      </c>
      <c r="E555" s="162">
        <f>P275</f>
        <v>-21355173</v>
      </c>
      <c r="F555" s="145"/>
      <c r="G555" s="145"/>
      <c r="H555" s="145"/>
      <c r="I555" s="145"/>
      <c r="J555" s="145"/>
      <c r="K555" s="145"/>
      <c r="L555" s="145"/>
      <c r="M555" s="11"/>
      <c r="N555" s="145"/>
      <c r="O555" s="11"/>
      <c r="P555" s="41">
        <f t="shared" si="81"/>
        <v>-21355173</v>
      </c>
      <c r="R555" s="41">
        <f t="shared" si="81"/>
        <v>-21355173</v>
      </c>
    </row>
    <row r="556" spans="1:33" ht="12.75" customHeight="1">
      <c r="D556" s="229" t="s">
        <v>210</v>
      </c>
      <c r="E556" s="163">
        <f>R275</f>
        <v>27931974</v>
      </c>
      <c r="F556" s="212">
        <v>0</v>
      </c>
      <c r="G556" s="145">
        <v>0</v>
      </c>
      <c r="H556" s="145"/>
      <c r="I556" s="145">
        <v>0</v>
      </c>
      <c r="J556" s="145"/>
      <c r="K556" s="145">
        <v>0</v>
      </c>
      <c r="L556" s="145">
        <v>0</v>
      </c>
      <c r="M556" s="11"/>
      <c r="N556" s="145">
        <v>0</v>
      </c>
      <c r="O556" s="11"/>
      <c r="P556" s="41">
        <f>SUM(C556:J556)</f>
        <v>27931974</v>
      </c>
      <c r="R556" s="41">
        <f>SUM(E556:L556)</f>
        <v>27931974</v>
      </c>
    </row>
    <row r="557" spans="1:33" ht="12.75" customHeight="1">
      <c r="D557" s="229" t="s">
        <v>212</v>
      </c>
      <c r="E557" s="129">
        <f>T275</f>
        <v>435349495</v>
      </c>
      <c r="F557" s="212">
        <v>0</v>
      </c>
      <c r="G557" s="145">
        <v>0</v>
      </c>
      <c r="H557" s="145"/>
      <c r="I557" s="145">
        <v>0</v>
      </c>
      <c r="J557" s="145"/>
      <c r="K557" s="145">
        <v>0</v>
      </c>
      <c r="L557" s="145">
        <v>0</v>
      </c>
      <c r="M557" s="11"/>
      <c r="N557" s="145">
        <v>0</v>
      </c>
      <c r="O557" s="11"/>
      <c r="P557" s="41">
        <f t="shared" si="81"/>
        <v>435349495</v>
      </c>
      <c r="R557" s="41">
        <f t="shared" si="81"/>
        <v>435349495</v>
      </c>
    </row>
    <row r="558" spans="1:33" ht="12.75" customHeight="1">
      <c r="D558" s="229" t="s">
        <v>213</v>
      </c>
      <c r="E558" s="129">
        <f>V275</f>
        <v>27396420</v>
      </c>
      <c r="F558" s="212">
        <v>0</v>
      </c>
      <c r="G558" s="145">
        <v>0</v>
      </c>
      <c r="H558" s="145"/>
      <c r="I558" s="145">
        <v>0</v>
      </c>
      <c r="J558" s="145"/>
      <c r="K558" s="145">
        <v>0</v>
      </c>
      <c r="L558" s="145">
        <v>0</v>
      </c>
      <c r="M558" s="11"/>
      <c r="N558" s="145">
        <v>0</v>
      </c>
      <c r="O558" s="11"/>
      <c r="P558" s="41">
        <f t="shared" si="81"/>
        <v>27396420</v>
      </c>
      <c r="R558" s="41">
        <f t="shared" si="81"/>
        <v>27396420</v>
      </c>
    </row>
    <row r="559" spans="1:33">
      <c r="D559" s="229" t="s">
        <v>214</v>
      </c>
      <c r="E559" s="129">
        <f>X275</f>
        <v>75497649</v>
      </c>
      <c r="F559" s="212">
        <v>0</v>
      </c>
      <c r="G559" s="145">
        <v>0</v>
      </c>
      <c r="H559" s="145"/>
      <c r="I559" s="145">
        <v>0</v>
      </c>
      <c r="J559" s="145"/>
      <c r="K559" s="145">
        <v>0</v>
      </c>
      <c r="L559" s="145">
        <v>0</v>
      </c>
      <c r="M559" s="11"/>
      <c r="N559" s="145">
        <v>0</v>
      </c>
      <c r="O559" s="11"/>
      <c r="P559" s="41">
        <f t="shared" si="81"/>
        <v>75497649</v>
      </c>
      <c r="R559" s="41">
        <f t="shared" si="81"/>
        <v>75497649</v>
      </c>
    </row>
    <row r="560" spans="1:33">
      <c r="D560" s="229" t="s">
        <v>215</v>
      </c>
      <c r="E560" s="129">
        <f>Z275</f>
        <v>-235882155</v>
      </c>
      <c r="F560" s="212">
        <v>0</v>
      </c>
      <c r="G560" s="145">
        <v>0</v>
      </c>
      <c r="H560" s="145"/>
      <c r="I560" s="145">
        <v>0</v>
      </c>
      <c r="J560" s="145"/>
      <c r="K560" s="145">
        <v>0</v>
      </c>
      <c r="L560" s="145">
        <v>0</v>
      </c>
      <c r="M560" s="11"/>
      <c r="N560" s="145">
        <v>0</v>
      </c>
      <c r="O560" s="11"/>
      <c r="P560" s="41">
        <f t="shared" si="81"/>
        <v>-235882155</v>
      </c>
      <c r="R560" s="41">
        <f t="shared" si="81"/>
        <v>-235882155</v>
      </c>
    </row>
    <row r="561" spans="4:33">
      <c r="D561" s="229" t="s">
        <v>591</v>
      </c>
      <c r="E561" s="129">
        <f>AF275</f>
        <v>300862</v>
      </c>
      <c r="F561" s="212">
        <v>0</v>
      </c>
      <c r="G561" s="145">
        <v>0</v>
      </c>
      <c r="H561" s="145"/>
      <c r="I561" s="145">
        <v>0</v>
      </c>
      <c r="J561" s="145"/>
      <c r="K561" s="145">
        <v>0</v>
      </c>
      <c r="L561" s="145">
        <v>0</v>
      </c>
      <c r="M561" s="11"/>
      <c r="N561" s="145">
        <v>0</v>
      </c>
      <c r="O561" s="11"/>
      <c r="P561" s="41">
        <f t="shared" ref="P561:P562" si="82">SUM(C561:J561)</f>
        <v>300862</v>
      </c>
      <c r="R561" s="41">
        <f t="shared" ref="R561:R562" si="83">SUM(E561:L561)</f>
        <v>300862</v>
      </c>
    </row>
    <row r="562" spans="4:33">
      <c r="D562" s="229" t="s">
        <v>2758</v>
      </c>
      <c r="E562" s="129">
        <f>AB275</f>
        <v>455263</v>
      </c>
      <c r="F562" s="212">
        <v>0</v>
      </c>
      <c r="G562" s="145">
        <v>0</v>
      </c>
      <c r="H562" s="145"/>
      <c r="I562" s="145">
        <v>0</v>
      </c>
      <c r="J562" s="145"/>
      <c r="K562" s="145">
        <v>0</v>
      </c>
      <c r="L562" s="145">
        <v>0</v>
      </c>
      <c r="M562" s="11"/>
      <c r="N562" s="145">
        <v>0</v>
      </c>
      <c r="O562" s="11"/>
      <c r="P562" s="41">
        <f t="shared" si="82"/>
        <v>455263</v>
      </c>
      <c r="R562" s="41">
        <f t="shared" si="83"/>
        <v>455263</v>
      </c>
    </row>
    <row r="563" spans="4:33">
      <c r="D563" s="229" t="s">
        <v>2612</v>
      </c>
      <c r="E563" s="129">
        <f>AD275</f>
        <v>0</v>
      </c>
      <c r="F563" s="212">
        <v>0</v>
      </c>
      <c r="G563" s="145">
        <v>0</v>
      </c>
      <c r="H563" s="145"/>
      <c r="I563" s="145">
        <v>0</v>
      </c>
      <c r="J563" s="145"/>
      <c r="K563" s="145">
        <v>0</v>
      </c>
      <c r="L563" s="145">
        <v>0</v>
      </c>
      <c r="M563" s="11"/>
      <c r="N563" s="145">
        <v>0</v>
      </c>
      <c r="O563" s="11"/>
      <c r="P563" s="41">
        <f t="shared" si="81"/>
        <v>0</v>
      </c>
      <c r="R563" s="41">
        <f t="shared" si="81"/>
        <v>0</v>
      </c>
    </row>
    <row r="564" spans="4:33">
      <c r="D564" s="229" t="s">
        <v>145</v>
      </c>
      <c r="P564" s="41">
        <v>490642</v>
      </c>
    </row>
    <row r="567" spans="4:33">
      <c r="D567" s="139" t="s">
        <v>408</v>
      </c>
    </row>
    <row r="568" spans="4:33">
      <c r="E568" s="170" t="s">
        <v>561</v>
      </c>
      <c r="F568" s="141"/>
      <c r="G568" s="142"/>
      <c r="H568" s="142"/>
      <c r="I568" s="142"/>
      <c r="J568" s="142"/>
      <c r="K568" s="142"/>
      <c r="L568" s="142"/>
      <c r="M568" s="44"/>
      <c r="N568" s="142"/>
      <c r="O568" s="44"/>
      <c r="P568" s="44"/>
      <c r="Q568" s="44"/>
      <c r="R568" s="44"/>
      <c r="S568" s="44"/>
      <c r="T568" s="44"/>
      <c r="U568" s="44"/>
      <c r="V568" s="44"/>
      <c r="W568" s="44"/>
      <c r="X568" s="44"/>
      <c r="Y568" s="44"/>
      <c r="Z568" s="44"/>
      <c r="AA568" s="44"/>
      <c r="AB568" s="44"/>
      <c r="AC568" s="44"/>
      <c r="AD568" s="44"/>
      <c r="AE568" s="44"/>
      <c r="AF568" s="44"/>
      <c r="AG568" s="44"/>
    </row>
    <row r="569" spans="4:33">
      <c r="D569" s="229" t="s">
        <v>682</v>
      </c>
      <c r="E569" s="236">
        <f>G361</f>
        <v>34419164</v>
      </c>
      <c r="F569" s="213"/>
      <c r="G569" s="214"/>
      <c r="H569" s="214"/>
      <c r="I569" s="214"/>
      <c r="J569" s="214"/>
      <c r="K569" s="215"/>
      <c r="L569" s="215">
        <v>0</v>
      </c>
      <c r="M569" s="245"/>
      <c r="N569" s="215">
        <v>0</v>
      </c>
      <c r="O569" s="245"/>
      <c r="P569" s="41">
        <f>SUM(C569:J569)</f>
        <v>34419164</v>
      </c>
      <c r="Q569" s="41"/>
      <c r="R569" s="41">
        <f>SUM(E569:L569)</f>
        <v>34419164</v>
      </c>
      <c r="S569" s="41"/>
      <c r="T569" s="41"/>
      <c r="U569" s="41"/>
      <c r="V569" s="41"/>
      <c r="W569" s="41"/>
      <c r="X569" s="41"/>
      <c r="Y569" s="41"/>
      <c r="Z569" s="41"/>
      <c r="AA569" s="41"/>
      <c r="AB569" s="41"/>
      <c r="AC569" s="41"/>
      <c r="AD569" s="41"/>
      <c r="AE569" s="41"/>
      <c r="AF569" s="41"/>
      <c r="AG569" s="41"/>
    </row>
    <row r="570" spans="4:33">
      <c r="D570" s="87"/>
      <c r="E570" s="136"/>
      <c r="F570" s="136"/>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c r="AG570" s="44"/>
    </row>
    <row r="571" spans="4:33">
      <c r="D571" s="87"/>
      <c r="E571" s="170" t="s">
        <v>561</v>
      </c>
      <c r="F571" s="141"/>
      <c r="G571" s="142"/>
      <c r="H571" s="143"/>
      <c r="I571" s="142"/>
      <c r="J571" s="143"/>
      <c r="K571" s="142"/>
      <c r="L571" s="142"/>
      <c r="M571" s="44"/>
      <c r="N571" s="142"/>
      <c r="O571" s="44"/>
      <c r="P571" s="44"/>
      <c r="Q571" s="44"/>
      <c r="R571" s="44"/>
      <c r="S571" s="44"/>
      <c r="T571" s="44"/>
      <c r="U571" s="44"/>
      <c r="V571" s="44"/>
      <c r="W571" s="44"/>
      <c r="X571" s="44"/>
      <c r="Y571" s="44"/>
      <c r="Z571" s="44"/>
      <c r="AA571" s="44"/>
      <c r="AB571" s="44"/>
      <c r="AC571" s="44"/>
      <c r="AD571" s="44"/>
      <c r="AE571" s="44"/>
      <c r="AF571" s="44"/>
      <c r="AG571" s="44"/>
    </row>
    <row r="572" spans="4:33">
      <c r="D572" s="230" t="s">
        <v>683</v>
      </c>
      <c r="E572" s="235">
        <f>I361</f>
        <v>8516500</v>
      </c>
      <c r="F572" s="216"/>
      <c r="G572" s="213"/>
      <c r="H572" s="213"/>
      <c r="I572" s="213"/>
      <c r="J572" s="213"/>
      <c r="K572" s="213"/>
      <c r="L572" s="213"/>
      <c r="M572" s="246"/>
      <c r="N572" s="213"/>
      <c r="O572" s="246"/>
      <c r="P572" s="41">
        <f>SUM(C572:J572)</f>
        <v>8516500</v>
      </c>
      <c r="Q572" s="150"/>
      <c r="R572" s="41">
        <f>SUM(E572:L572)</f>
        <v>8516500</v>
      </c>
      <c r="S572" s="150"/>
      <c r="T572" s="150"/>
      <c r="U572" s="150"/>
      <c r="V572" s="150"/>
      <c r="W572" s="150"/>
      <c r="X572" s="150"/>
      <c r="Y572" s="150"/>
      <c r="Z572" s="150"/>
      <c r="AA572" s="150"/>
      <c r="AB572" s="150"/>
      <c r="AC572" s="150"/>
      <c r="AD572" s="150"/>
      <c r="AE572" s="150"/>
      <c r="AF572" s="150"/>
      <c r="AG572" s="150"/>
    </row>
    <row r="573" spans="4:33">
      <c r="D573" s="87"/>
    </row>
    <row r="574" spans="4:33">
      <c r="D574" s="87"/>
      <c r="E574" s="170" t="s">
        <v>561</v>
      </c>
      <c r="F574" s="142" t="s">
        <v>453</v>
      </c>
      <c r="G574" s="142" t="s">
        <v>453</v>
      </c>
      <c r="H574" s="171"/>
      <c r="I574" s="142" t="s">
        <v>453</v>
      </c>
      <c r="J574" s="171"/>
      <c r="K574" s="142" t="s">
        <v>453</v>
      </c>
      <c r="L574" s="142" t="s">
        <v>453</v>
      </c>
      <c r="M574" s="44"/>
      <c r="N574" s="142" t="s">
        <v>453</v>
      </c>
      <c r="O574" s="44"/>
    </row>
    <row r="575" spans="4:33">
      <c r="D575" s="229" t="s">
        <v>2726</v>
      </c>
      <c r="E575" s="217">
        <f>L361</f>
        <v>88707163</v>
      </c>
      <c r="F575" s="145">
        <v>0</v>
      </c>
      <c r="G575" s="145">
        <v>0</v>
      </c>
      <c r="H575" s="145"/>
      <c r="I575" s="145">
        <v>0</v>
      </c>
      <c r="J575" s="145"/>
      <c r="K575" s="145">
        <v>0</v>
      </c>
      <c r="L575" s="145">
        <v>0</v>
      </c>
      <c r="M575" s="11"/>
      <c r="N575" s="145">
        <v>0</v>
      </c>
      <c r="O575" s="11"/>
      <c r="P575" s="41">
        <f t="shared" ref="P575:R584" si="84">SUM(C575:J575)</f>
        <v>88707163</v>
      </c>
      <c r="R575" s="41">
        <f t="shared" si="84"/>
        <v>88707163</v>
      </c>
    </row>
    <row r="576" spans="4:33">
      <c r="D576" s="229" t="s">
        <v>696</v>
      </c>
      <c r="E576" s="217">
        <f>P361</f>
        <v>21124170</v>
      </c>
      <c r="F576" s="145"/>
      <c r="G576" s="145"/>
      <c r="H576" s="145"/>
      <c r="I576" s="145"/>
      <c r="J576" s="145"/>
      <c r="K576" s="145"/>
      <c r="L576" s="145"/>
      <c r="M576" s="11"/>
      <c r="N576" s="145"/>
      <c r="O576" s="11"/>
      <c r="P576" s="41">
        <f t="shared" si="84"/>
        <v>21124170</v>
      </c>
      <c r="R576" s="41">
        <f t="shared" si="84"/>
        <v>21124170</v>
      </c>
    </row>
    <row r="577" spans="4:18">
      <c r="D577" s="229" t="s">
        <v>210</v>
      </c>
      <c r="E577" s="218">
        <f>R361</f>
        <v>4942166</v>
      </c>
      <c r="F577" s="212">
        <v>0</v>
      </c>
      <c r="G577" s="145">
        <v>0</v>
      </c>
      <c r="H577" s="145"/>
      <c r="I577" s="145">
        <v>0</v>
      </c>
      <c r="J577" s="145"/>
      <c r="K577" s="145">
        <v>0</v>
      </c>
      <c r="L577" s="145">
        <v>0</v>
      </c>
      <c r="M577" s="11"/>
      <c r="N577" s="145">
        <v>0</v>
      </c>
      <c r="O577" s="11"/>
      <c r="P577" s="41">
        <f t="shared" si="84"/>
        <v>4942166</v>
      </c>
      <c r="R577" s="41">
        <f t="shared" si="84"/>
        <v>4942166</v>
      </c>
    </row>
    <row r="578" spans="4:18">
      <c r="D578" s="229" t="s">
        <v>212</v>
      </c>
      <c r="E578" s="129">
        <f>T361</f>
        <v>498249856</v>
      </c>
      <c r="F578" s="212">
        <v>0</v>
      </c>
      <c r="G578" s="145">
        <v>0</v>
      </c>
      <c r="H578" s="145"/>
      <c r="I578" s="145">
        <v>0</v>
      </c>
      <c r="J578" s="145"/>
      <c r="K578" s="145">
        <v>0</v>
      </c>
      <c r="L578" s="145">
        <v>0</v>
      </c>
      <c r="M578" s="11"/>
      <c r="N578" s="145">
        <v>0</v>
      </c>
      <c r="O578" s="11"/>
      <c r="P578" s="41">
        <f t="shared" si="84"/>
        <v>498249856</v>
      </c>
      <c r="R578" s="41">
        <f t="shared" si="84"/>
        <v>498249856</v>
      </c>
    </row>
    <row r="579" spans="4:18">
      <c r="D579" s="229" t="s">
        <v>213</v>
      </c>
      <c r="E579" s="129">
        <f>V361</f>
        <v>9759175</v>
      </c>
      <c r="F579" s="212">
        <v>0</v>
      </c>
      <c r="G579" s="145">
        <v>0</v>
      </c>
      <c r="H579" s="145"/>
      <c r="I579" s="145">
        <v>0</v>
      </c>
      <c r="J579" s="145"/>
      <c r="K579" s="145">
        <v>0</v>
      </c>
      <c r="L579" s="145">
        <v>0</v>
      </c>
      <c r="M579" s="11"/>
      <c r="N579" s="145">
        <v>0</v>
      </c>
      <c r="O579" s="11"/>
      <c r="P579" s="41">
        <f t="shared" si="84"/>
        <v>9759175</v>
      </c>
      <c r="R579" s="41">
        <f t="shared" si="84"/>
        <v>9759175</v>
      </c>
    </row>
    <row r="580" spans="4:18">
      <c r="D580" s="229" t="s">
        <v>214</v>
      </c>
      <c r="E580" s="129">
        <f>X361</f>
        <v>155456498</v>
      </c>
      <c r="F580" s="212">
        <v>0</v>
      </c>
      <c r="G580" s="145">
        <v>0</v>
      </c>
      <c r="H580" s="145"/>
      <c r="I580" s="145">
        <v>0</v>
      </c>
      <c r="J580" s="145"/>
      <c r="K580" s="145">
        <v>0</v>
      </c>
      <c r="L580" s="145">
        <v>0</v>
      </c>
      <c r="M580" s="11"/>
      <c r="N580" s="145">
        <v>0</v>
      </c>
      <c r="O580" s="11"/>
      <c r="P580" s="41">
        <f t="shared" si="84"/>
        <v>155456498</v>
      </c>
      <c r="R580" s="41">
        <f t="shared" si="84"/>
        <v>155456498</v>
      </c>
    </row>
    <row r="581" spans="4:18" ht="15" customHeight="1">
      <c r="D581" s="229" t="s">
        <v>215</v>
      </c>
      <c r="E581" s="129">
        <f>Z361</f>
        <v>130579368</v>
      </c>
      <c r="F581" s="212">
        <v>0</v>
      </c>
      <c r="G581" s="145">
        <v>0</v>
      </c>
      <c r="H581" s="145"/>
      <c r="I581" s="145">
        <v>0</v>
      </c>
      <c r="J581" s="145"/>
      <c r="K581" s="145">
        <v>0</v>
      </c>
      <c r="L581" s="145">
        <v>0</v>
      </c>
      <c r="M581" s="11"/>
      <c r="N581" s="145">
        <v>0</v>
      </c>
      <c r="O581" s="11"/>
      <c r="P581" s="41">
        <f t="shared" si="84"/>
        <v>130579368</v>
      </c>
      <c r="R581" s="41">
        <f t="shared" si="84"/>
        <v>130579368</v>
      </c>
    </row>
    <row r="582" spans="4:18">
      <c r="D582" s="229" t="s">
        <v>591</v>
      </c>
      <c r="E582" s="129">
        <f>AF361</f>
        <v>507124</v>
      </c>
      <c r="F582" s="212">
        <v>0</v>
      </c>
      <c r="G582" s="145">
        <v>0</v>
      </c>
      <c r="H582" s="145"/>
      <c r="I582" s="145">
        <v>0</v>
      </c>
      <c r="J582" s="145"/>
      <c r="K582" s="145">
        <v>0</v>
      </c>
      <c r="L582" s="145">
        <v>0</v>
      </c>
      <c r="M582" s="11"/>
      <c r="N582" s="145">
        <v>0</v>
      </c>
      <c r="O582" s="11"/>
      <c r="P582" s="41">
        <f t="shared" ref="P582:P583" si="85">SUM(C582:J582)</f>
        <v>507124</v>
      </c>
      <c r="R582" s="41">
        <f t="shared" ref="R582:R583" si="86">SUM(E582:L582)</f>
        <v>507124</v>
      </c>
    </row>
    <row r="583" spans="4:18">
      <c r="D583" s="229" t="s">
        <v>2758</v>
      </c>
      <c r="E583" s="129">
        <f>AB361</f>
        <v>1003015</v>
      </c>
      <c r="F583" s="212">
        <v>0</v>
      </c>
      <c r="G583" s="145">
        <v>0</v>
      </c>
      <c r="H583" s="145"/>
      <c r="I583" s="145">
        <v>0</v>
      </c>
      <c r="J583" s="145"/>
      <c r="K583" s="145">
        <v>0</v>
      </c>
      <c r="L583" s="145">
        <v>0</v>
      </c>
      <c r="M583" s="11"/>
      <c r="N583" s="145">
        <v>0</v>
      </c>
      <c r="O583" s="11"/>
      <c r="P583" s="41">
        <f t="shared" si="85"/>
        <v>1003015</v>
      </c>
      <c r="R583" s="41">
        <f t="shared" si="86"/>
        <v>1003015</v>
      </c>
    </row>
    <row r="584" spans="4:18">
      <c r="D584" s="229" t="s">
        <v>2612</v>
      </c>
      <c r="E584" s="129">
        <f>AD361</f>
        <v>0</v>
      </c>
      <c r="F584" s="212">
        <v>0</v>
      </c>
      <c r="G584" s="145">
        <v>0</v>
      </c>
      <c r="H584" s="145"/>
      <c r="I584" s="145">
        <v>0</v>
      </c>
      <c r="J584" s="145"/>
      <c r="K584" s="145">
        <v>0</v>
      </c>
      <c r="L584" s="145">
        <v>0</v>
      </c>
      <c r="M584" s="11"/>
      <c r="N584" s="145">
        <v>0</v>
      </c>
      <c r="O584" s="11"/>
      <c r="P584" s="41">
        <f t="shared" si="84"/>
        <v>0</v>
      </c>
      <c r="R584" s="41">
        <f t="shared" si="84"/>
        <v>0</v>
      </c>
    </row>
    <row r="585" spans="4:18">
      <c r="D585" s="229" t="s">
        <v>145</v>
      </c>
      <c r="P585" s="41">
        <v>994717</v>
      </c>
    </row>
    <row r="587" spans="4:18">
      <c r="D587" s="139"/>
    </row>
    <row r="588" spans="4:18">
      <c r="E588" s="136"/>
      <c r="F588" s="136"/>
      <c r="G588" s="136"/>
      <c r="H588" s="136"/>
      <c r="I588" s="136"/>
      <c r="J588" s="136"/>
      <c r="K588" s="136"/>
      <c r="L588" s="136"/>
      <c r="M588" s="136"/>
      <c r="N588" s="136"/>
      <c r="O588" s="136"/>
    </row>
    <row r="589" spans="4:18">
      <c r="E589" s="17"/>
      <c r="F589" s="17"/>
      <c r="Q589" s="5"/>
    </row>
    <row r="592" spans="4:18">
      <c r="D592" s="139"/>
    </row>
    <row r="593" spans="5:15">
      <c r="E593" s="136"/>
      <c r="F593" s="136"/>
      <c r="G593" s="136"/>
      <c r="H593" s="136"/>
      <c r="I593" s="136"/>
      <c r="J593" s="136"/>
      <c r="K593" s="136"/>
      <c r="L593" s="136"/>
      <c r="M593" s="136"/>
      <c r="N593" s="136"/>
      <c r="O593" s="136"/>
    </row>
    <row r="594" spans="5:15">
      <c r="E594" s="17"/>
      <c r="F594" s="17"/>
    </row>
  </sheetData>
  <customSheetViews>
    <customSheetView guid="{5CCA66B6-9DBD-4F43-8EC0-0C18444D6068}" scale="85" showGridLines="0" hiddenRows="1" showRuler="0" topLeftCell="A8">
      <pane xSplit="5.3775510204081636" ySplit="14" topLeftCell="G55" activePane="bottomRight" state="frozen"/>
      <selection pane="bottomRight" activeCell="I113" sqref="I113"/>
      <rowBreaks count="6" manualBreakCount="6">
        <brk id="80" max="16383" man="1"/>
        <brk id="157" max="16383" man="1"/>
        <brk id="231" max="16383" man="1"/>
        <brk id="283" max="16383" man="1"/>
        <brk id="326" max="16383" man="1"/>
        <brk id="410" max="13" man="1"/>
      </rowBreaks>
      <pageMargins left="0.21" right="0.31" top="1" bottom="1" header="0.32" footer="0.5"/>
      <pageSetup scale="53" orientation="portrait" cellComments="asDisplayed" r:id="rId1"/>
      <headerFooter alignWithMargins="0">
        <oddHeader>&amp;C&amp;"Times New Roman,Bold"Attachment 10
Financial Statement Template
&amp;A</oddHeader>
        <oddFooter>&amp;L&amp;F&amp;RAttachment 10-&amp;A- Page&amp;P</oddFooter>
      </headerFooter>
    </customSheetView>
  </customSheetViews>
  <mergeCells count="46">
    <mergeCell ref="E524:K524"/>
    <mergeCell ref="E7:F7"/>
    <mergeCell ref="E525:K525"/>
    <mergeCell ref="A18:D18"/>
    <mergeCell ref="E533:K533"/>
    <mergeCell ref="A372:D372"/>
    <mergeCell ref="E532:K532"/>
    <mergeCell ref="E523:K523"/>
    <mergeCell ref="E527:K527"/>
    <mergeCell ref="E526:K526"/>
    <mergeCell ref="E6:F6"/>
    <mergeCell ref="A329:D329"/>
    <mergeCell ref="A102:D102"/>
    <mergeCell ref="E2:F2"/>
    <mergeCell ref="A3:D3"/>
    <mergeCell ref="E3:F3"/>
    <mergeCell ref="E4:F4"/>
    <mergeCell ref="A4:D4"/>
    <mergeCell ref="E1:F1"/>
    <mergeCell ref="A1:D1"/>
    <mergeCell ref="A2:D2"/>
    <mergeCell ref="E540:G540"/>
    <mergeCell ref="E529:K529"/>
    <mergeCell ref="E530:K530"/>
    <mergeCell ref="E531:K531"/>
    <mergeCell ref="E528:K528"/>
    <mergeCell ref="A540:D540"/>
    <mergeCell ref="A7:D7"/>
    <mergeCell ref="A10:F15"/>
    <mergeCell ref="A203:D203"/>
    <mergeCell ref="A277:D277"/>
    <mergeCell ref="A5:D5"/>
    <mergeCell ref="E5:F5"/>
    <mergeCell ref="A6:D6"/>
    <mergeCell ref="E534:K534"/>
    <mergeCell ref="E535:K535"/>
    <mergeCell ref="E542:G542"/>
    <mergeCell ref="A545:D545"/>
    <mergeCell ref="E545:G545"/>
    <mergeCell ref="A543:D543"/>
    <mergeCell ref="E543:G543"/>
    <mergeCell ref="A544:D544"/>
    <mergeCell ref="E544:G544"/>
    <mergeCell ref="A541:D541"/>
    <mergeCell ref="A542:D542"/>
    <mergeCell ref="E541:G541"/>
  </mergeCells>
  <phoneticPr fontId="46" type="noConversion"/>
  <dataValidations xWindow="555" yWindow="446" count="23">
    <dataValidation type="whole" allowBlank="1" showErrorMessage="1" error="Amount must be rounded to the nearest dollar._x000a_" prompt="_x000a__x000a_" sqref="H588 Q320:Q321 Q114:Q116 S114:S116 S107:S112 Q107:Q112 Q335:Q338 S352:S354 Q309 Q74 S45:S46 Q131:Q136 Q118:Q122 S148:S153 Q255:Q258 S124:S127 S144:S146 S192:S197 S211:S214 Q208:Q209 Q236:Q237 S249:S251 S239:S241 Q227:Q229 S231:S232 S222:S223 S220 Q282:Q283 S285:S286 S290:S291 S293:S296 S298:S299 S303 S131:S136 Q144:Q146 Q192:Q197 Q211:Q214 Q29:Q30 S255:S258 Q249:Q251 Q239:Q241 S236:S237 Q231:Q232 S227:S229 Q222:Q223 Q220 S208:S209 Q285:Q286 Q290:Q291 Q293:Q296 Q298:Q299 Q303 S282:S283 Q34:Q37 S34:S37 S48:S51 S118:S122 Q41:Q43 S57:S59 Q63:Q66 H593 S63:S66 S471 S320:S321 Q45:Q46 S378 Q378 S21:S25 S345:S346 Q352:Q354 Q312:Q316 S29:S30 S309 Q471 Q340:Q341 S41:S43 S312:S316 Q21:Q25 S335:S338 Q48:Q51 Q57:Q59 S340:S341 Q345:Q346 S74 Q148:Q153 Q124:Q127 Q155:Q163 S155:S163" xr:uid="{00000000-0002-0000-0100-000000000000}">
      <formula1>-999999999999999</formula1>
      <formula2>99999999999999900000</formula2>
    </dataValidation>
    <dataValidation type="whole" allowBlank="1" showInputMessage="1" showErrorMessage="1" sqref="X473:X509 N262:W262 I473:I509 V210:V261 R210:R261 G23:G80 AF337:AF361 Z337:AD361 U365:AD369 Y80 AF365:AF369 W509 U509 S509 Q509 W507 U507 S507 Q507 Y507 W505 U505 S505 Q505 Y505 W492 U492 S492 Q492 Y492 W479 U479 S479 Q479 Y479 W464 U464 S464 Q464 X284:X326 W441 U441 S441 Q441 Y441 P417:AA417 W428 U428 S428 Q428 Y428 P412:AA412 Z23:AD80 W380:W383 U380:U383 S380:S383 Q380:Q383 Y380:Y383 S365:S369 Q365:Q369 S361 Q361 Y361 R337:R369 W359 U359 S359 Q359 Y359 Z284:AD326 X210:X275 V337:V361 W357 U357 S357 Q357 Y357 W351 U351 S351 Q351 Y351 W349 U349 S349 Q349 Y349 W344 U344 S344 Q344 Y344 W326 U326 S326 Q326 R284:R326 W324 U324 S324 Q324 Y324 T263:T275 X337:X361 V284:V326 AF284:AF326 W319 U319 S319 Q319 Y319 W308 U308 S308 Q308 Y308 W306 U306 S306 Q306 Y306 W302 U302 S302 Q302 Y302 W275 U275 S275 Q275 X192:X200 W273 U273 S273 Q273 Y273 N210:P261 R263:R275 N263:P275 V263:V275 W266 U266 S266 Q266 Y266 W264 U264 S264 Q264 Y264 W254 U254 S254 Q254 Y254 W248 U248 S248 Q248 Y248 W246 U246 S246 Q246 Y246 W244 U244 S244 Q244 Y244 W235 U235 S235 Q235 Y235 W226 U226 S226 Q226 Y226 W219 U219 S219 Q219 Y219 W217 U217 S217 Q217 Y217 W200 U200 S200 Q200 AF192:AF200 X23:X80 W171 U171 S171 Q171 Y171 P169:AA169 R192:R200 T192:T200 P154:AA154 W167 U167 S167 Q167 Y167 P143:AA143 P130:AA130 W141 U141 S141 Q141 Y141 W117 U117 S117 Q117 Y117 W113 U113 S113 Q113 Y113 AF23:AF80 W80 U80 S80 Q80 W78 U78 S78 Q78 Y78 R23:R80 T23:T80 T210:T261 W73 U73 S73 Q73 Y73 W69 U69 S69 Q69 Y69 W62 U62 S62 Q62 Y62 W56 U56 S56 Q56 Y56 W54 U54 S54 Q54 Y54 W44 U44 S44 Q44 Y44 W40 U40 S40 Q40 Y40 W33 U33 S33 Q33 Y33 W28 U28 S28 Q28 Y28 G210:G275 Z192:AD200 G337:G369 T284:T326 V192:V200 G473:G509 G192:G200 I23:I80 G284:G326 I337:I361 I365:I369 I210:I275 I192:I200 I284:I326 Y200 Y275 Y326 P448:AA448 Y464 Y509 T337:T369 V23:V80 W361 U361 L210:M275 Z473:AD509 L192:P200 E572:O572 L109:M171 AF210:AF275 Z210:AD275 N109:P126 AF473:AF509 V473:V509 R473:R509 T473:T509 Z170:AA171 Y262 V170:V171 T170:T171 X170:X171 P170:P171 R170:R171 Z144:AA153 Z109:AA129 X144:X153 V144:V153 T144:T153 R144:R153 P144:P153 P127:P129 R109:R129 T109:T129 V109:V129 X109:X129 Z380:AA411 P380:P411 R380:R411 T380:T411 V380:V411 X380:X411 Z413:AA416 P413:P416 R413:R416 T413:T416 V413:V416 X413:X416 L284:P326 E550:O550 L473:P509 E547:O547 L23:P80 L337:P369 E569:O569 Z131:AA142 P131:P142 R131:R142 T131:T142 V131:V142 X131:X142 Z155:AA168 P155:P168 R155:R168 T155:T168 V155:V168 X155:X168 AF109:AF171 N127:O171 I109:I171 G109:G171 AB109:AD171 P454:P464 N450:N464 X454:X464 R454:R464 Z454:AD464 L450:L464 I450:I464 G454:G464 T454:T465 V454:V464 AF454:AF464 P418:P425 L380:O425 O438:O464 P438:P447 M438:M464 L436:P436 N438:N448 AB380:AD448 AF380:AF448 V418:V447 T418:T447 R418:R447 I380:I448 O426:P435 X418:X447 G380:G448 Z418:AA447 L426:L435 L437:L448 M437:P437 M426:N436 X513:X519 T513:T519 R513:R519 I513:I519 G513:G519 Z513:AD519 V513:V519 AF513:AF519 L513:P519" xr:uid="{00000000-0002-0000-0100-000001000000}">
      <formula1>-9999999999999</formula1>
      <formula2>9999999999999</formula2>
    </dataValidation>
    <dataValidation type="whole" allowBlank="1" showErrorMessage="1" prompt="_x000a__x000a__x000a_" sqref="Q442:Q447 S442:S447" xr:uid="{00000000-0002-0000-0100-000002000000}">
      <formula1>-99999999999999900</formula1>
      <formula2>9999999999999990000</formula2>
    </dataValidation>
    <dataValidation type="whole" allowBlank="1" showErrorMessage="1" prompt="_x000a__x000a_" sqref="S355:S356 S347:S348 S339 S350 Q342:Q343 Q355:Q356 Q339 S342:S343 Q350 Q347:Q348" xr:uid="{00000000-0002-0000-0100-000003000000}">
      <formula1>-99999999999999900</formula1>
      <formula2>999999999999999000000</formula2>
    </dataValidation>
    <dataValidation allowBlank="1" showErrorMessage="1" sqref="I465 AF174 X176:X191 Z362:AD364 X276:X281 V449 X81 V176:V191 V172 R174 R176:R191 R172 S172:S191 Q172:Q191 P176:P191 P172 P174 L176:L191 L172 L174 J172:K191 I176:I191 I172 I174 H172:H191 G176:G191 G174 Z327:AD327 X85:X106 V85:V106 Z449:AD449 AF81 T81 V81 X174 V83 AF83 X83 T174 V174 Z276:AD281 G370:G377 AF370:AF377 Z283:AD283 L449 I101:I106 G101:G106 G276:G281 AF283 AF379 AF101:AF106 AF108 AF22 AF362:AF364 V370:V377 Q439:Q440 Q360 S360 S322:S323 Q322:Q323 Q274 S274 S263 Q263 Q259:Q261 S259:S261 S245 Q245 Q242:Q243 S242:S243 Q79 S79 V362:V364 I379 S265 Q317:Q318 S300:S301 Q247 Q300:Q301 S247 Q265 S317:S318 X362:X364 Q325 R327 T327 R283 V327 T283 X327 V283 L276:T281 X283 X370:X377 Z370:AD377 Z379:AD379 V276:V281 Z108:AD108 G379 I327 Z85:AA106 Q362:Q364 G327 I108 G283 S325 R108 T108 V108 X108 Z22:AD22 T83 Z174:AD174 G108 AF327 I22 G22 L370:T377 X22 V22 T22 R22 I471 G471 I362:I364 I283 V379 S362:S364 X379 Z83:AD83 S439:S440 G449 F465 X449 Z176:AA191 AF276:AF281 I449 N449 P449 R449 T449 Z81:AD81 AB101:AD106 L327:P327 L22:P22 L108:P108 L283:P283 G85:S100 L379:T379 AF449 L101:T106 I276:I281 G83:R83 G81:Q81 M172:M191 O172:O191 N176:N191 N172 N174 I370:I377" xr:uid="{00000000-0002-0000-0100-000004000000}"/>
    <dataValidation allowBlank="1" showErrorMessage="1" prompt="_x000a__x000a_" sqref="G336 G450:G453 T450:T453 I328:I334 G328:G334 Q449:Q463 Z328:AD334 AF450:AF453 AF328:AF334 AF336 Q199 S199 R209 T209 V209 X209 I336 L201:T207 Z201:AD207 Z336:AD336 V201:V207 AF209 G209 E16 X450:X453 I209 G201:G207 Z450:AD453 X201:X207 V328:V334 X328:X334 X336 T328:T334 V336 R328:R334 T336 R336 Z209:AD209 S327:S334 R450:R453 P450:P453 V450:V453 Q327:Q334 I201:I207 L336:P336 L328:P334 L209:P209 S449:S463 AF201:AF207" xr:uid="{00000000-0002-0000-0100-000005000000}"/>
    <dataValidation type="whole" allowBlank="1" showErrorMessage="1" prompt="_x000a__x000a_" sqref="S307 Q307 Q304:Q305 S304:S305 S310:S311 Q310:Q311" xr:uid="{00000000-0002-0000-0100-000006000000}">
      <formula1>-9999999999999990</formula1>
      <formula2>99999999999999900000</formula2>
    </dataValidation>
    <dataValidation type="whole" allowBlank="1" showErrorMessage="1" error="Amount must be rounded to nearest dollar._x000a_" prompt="_x000a__x000a_" sqref="S384:S385 Q408:Q410 S389:S404 Q389:Q404 Q384:Q385 S487 Q487 S500 Q500 S408:S410 S406 Q406 Q418:Q426 S418:S426 Q429:Q438 S429:S438" xr:uid="{00000000-0002-0000-0100-000007000000}">
      <formula1>-999999999999999000</formula1>
      <formula2>9999999999999990000</formula2>
    </dataValidation>
    <dataValidation type="whole" allowBlank="1" showErrorMessage="1" prompt="_x000a__x000a_" sqref="Q427 S427 Q411 S411 Q405 S386:S388 Q386:Q388 S405 S407 S413:S416 Q407 Q413:Q416" xr:uid="{00000000-0002-0000-0100-000008000000}">
      <formula1>-999999999999999000</formula1>
      <formula2>9999999999999990000</formula2>
    </dataValidation>
    <dataValidation type="whole" allowBlank="1" showErrorMessage="1" error="Amount must be rounded to the nearest dollar._x000a_" prompt="_x000a__x000a_" sqref="S358 Q358" xr:uid="{00000000-0002-0000-0100-000009000000}">
      <formula1>-99999999999999900</formula1>
      <formula2>999999999999999000000</formula2>
    </dataValidation>
    <dataValidation type="whole" allowBlank="1" showErrorMessage="1" prompt="_x000a__x000a_" sqref="S271 Q271" xr:uid="{00000000-0002-0000-0100-00000A000000}">
      <formula1>0</formula1>
      <formula2>9.99999999999999E+27</formula2>
    </dataValidation>
    <dataValidation type="whole" allowBlank="1" showErrorMessage="1" prompt="_x000a__x000a_" sqref="Q198 S198" xr:uid="{00000000-0002-0000-0100-00000B000000}">
      <formula1>-99999999999999900</formula1>
      <formula2>9999999999999990000</formula2>
    </dataValidation>
    <dataValidation type="whole" allowBlank="1" showErrorMessage="1" prompt="_x000a__x000a_" sqref="S252:S253 Q252:Q253" xr:uid="{00000000-0002-0000-0100-00000C000000}">
      <formula1>-99999999999999900000</formula1>
      <formula2>999999999999999000000</formula2>
    </dataValidation>
    <dataValidation type="whole" allowBlank="1" prompt="_x000a__x000a_" sqref="Q170 S170" xr:uid="{00000000-0002-0000-0100-00000D000000}">
      <formula1>0</formula1>
      <formula2>9999999999999990000</formula2>
    </dataValidation>
    <dataValidation type="whole" allowBlank="1" showErrorMessage="1" prompt="_x000a__x000a_" sqref="S128:S129 Q168 S164:S166 Q164:Q166 S123 S142 S168 Q142 Q123 Q128:Q129 S137:S140 Q137:Q140" xr:uid="{00000000-0002-0000-0100-00000E000000}">
      <formula1>0</formula1>
      <formula2>9999999999999990000</formula2>
    </dataValidation>
    <dataValidation type="whole" allowBlank="1" showErrorMessage="1" prompt="_x000a__x000a_" sqref="S238 Q218 S215:S216 Q215:Q216 Q210 Q238 Q221 Q224:Q225 Q230 Q233:Q234 S210 S218 S221 S224:S225 S230 S233:S234" xr:uid="{00000000-0002-0000-0100-00000F000000}">
      <formula1>0</formula1>
      <formula2>999999999999999000000</formula2>
    </dataValidation>
    <dataValidation type="whole" allowBlank="1" prompt="_x000a__x000a_" sqref="Q292 S292 Q297 Q287:Q289 S297 S287:S289" xr:uid="{00000000-0002-0000-0100-000010000000}">
      <formula1>-999999999999999</formula1>
      <formula2>99999999999999900000</formula2>
    </dataValidation>
    <dataValidation type="whole" allowBlank="1" showErrorMessage="1" error="Amount must be rounded to the nearest dollar._x000a_" prompt="_x000a__x000a__x000a_" sqref="S284 Q284" xr:uid="{00000000-0002-0000-0100-000011000000}">
      <formula1>-999999999999999</formula1>
      <formula2>99999999999999900000</formula2>
    </dataValidation>
    <dataValidation type="whole" allowBlank="1" showErrorMessage="1" error="Amount must be rounded to the nearest dollar._x000a_" prompt="_x000a__x000a__x000a_" sqref="S272 Q272" xr:uid="{00000000-0002-0000-0100-000012000000}">
      <formula1>-99999999999999900</formula1>
      <formula2>99999999999999900</formula2>
    </dataValidation>
    <dataValidation type="whole" allowBlank="1" showErrorMessage="1" prompt="_x000a__x000a_" sqref="Q70:Q72 S75:S77 Q52:Q53 S52:S53 S38:S39 S55 Q75:Q77 S47 S31:S32 S60:S61 S26:S27 Q31:Q32 Q38:Q39 Q47 Q55 Q60:Q61 Q67:Q68 Q26:Q27 S67:S68 S70:S72" xr:uid="{00000000-0002-0000-0100-000013000000}">
      <formula1>0</formula1>
      <formula2>9999999999999990</formula2>
    </dataValidation>
    <dataValidation type="whole" allowBlank="1" showErrorMessage="1" error="Please enter a whole number._x000a_" prompt="_x000a__x000a_" sqref="Z173:AD173 AF173 Z82:AD82 X82 V173 T173 R173 P173 L173 I173 G173 AF82 X173 R82 V82 T82 G82:P82 N173" xr:uid="{00000000-0002-0000-0100-000014000000}">
      <formula1>-9999999999999</formula1>
      <formula2>9999999999999</formula2>
    </dataValidation>
    <dataValidation type="whole" allowBlank="1" showErrorMessage="1" prompt="_x000a__x000a_" sqref="Z175:AD175 AF175 Z84:AD84 X84 V175 T175 R175 P175 L175 I175 G175 AF84 X175 V84 G84:T84 N175" xr:uid="{00000000-0002-0000-0100-000015000000}">
      <formula1>0</formula1>
      <formula2>9999999999999</formula2>
    </dataValidation>
    <dataValidation type="whole" allowBlank="1" showErrorMessage="1" error="Please enter a whole number._x000a_" prompt="_x000a__x000a_" sqref="Q82" xr:uid="{00000000-0002-0000-0100-000016000000}">
      <formula1>-999999999999999</formula1>
      <formula2>99999999999999900000</formula2>
    </dataValidation>
  </dataValidations>
  <pageMargins left="0.21" right="0.31" top="1" bottom="1" header="0.32" footer="0.5"/>
  <pageSetup scale="41" orientation="landscape" cellComments="asDisplayed" r:id="rId2"/>
  <headerFooter alignWithMargins="0">
    <oddHeader>&amp;C&amp;"Times New Roman,Bold"Attachment 10
Financial Statement Template
&amp;A</oddHeader>
    <oddFooter>&amp;L&amp;F&amp;RAttachment 10-&amp;A- Page&amp;P</oddFooter>
  </headerFooter>
  <rowBreaks count="8" manualBreakCount="8">
    <brk id="100" max="16383" man="1"/>
    <brk id="200" max="24" man="1"/>
    <brk id="275" max="24" man="1"/>
    <brk id="328" max="16383" man="1"/>
    <brk id="371" max="16383" man="1"/>
    <brk id="468" max="24" man="1"/>
    <brk id="528" max="24" man="1"/>
    <brk id="586" max="24"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H58"/>
  <sheetViews>
    <sheetView showGridLines="0" zoomScaleNormal="100" zoomScaleSheetLayoutView="75" workbookViewId="0">
      <selection activeCell="B3" sqref="B3:F3"/>
    </sheetView>
  </sheetViews>
  <sheetFormatPr defaultColWidth="9.109375" defaultRowHeight="13.2"/>
  <cols>
    <col min="1" max="1" width="49.44140625" style="11" customWidth="1"/>
    <col min="2" max="2" width="18.33203125" style="11" customWidth="1"/>
    <col min="3" max="3" width="6.88671875" style="11" customWidth="1"/>
    <col min="4" max="4" width="11.6640625" style="11" customWidth="1"/>
    <col min="5" max="5" width="16.33203125" style="11" customWidth="1"/>
    <col min="6" max="6" width="37.33203125" style="11" customWidth="1"/>
    <col min="7" max="7" width="3.5546875" style="11" customWidth="1"/>
    <col min="8" max="8" width="9.109375" style="11" hidden="1" customWidth="1"/>
    <col min="9" max="16384" width="9.109375" style="11"/>
  </cols>
  <sheetData>
    <row r="1" spans="1:6" s="732" customFormat="1" ht="12.6" customHeight="1">
      <c r="A1" s="564" t="str">
        <f>'Internal Service Template'!A1:D1</f>
        <v>Agency Number:</v>
      </c>
      <c r="B1" s="1290" t="str">
        <f>'Internal Service Template'!E1</f>
        <v/>
      </c>
      <c r="C1" s="1290"/>
      <c r="D1" s="1291"/>
      <c r="E1" s="1291"/>
      <c r="F1" s="1291"/>
    </row>
    <row r="2" spans="1:6" s="732" customFormat="1" ht="12.75" customHeight="1">
      <c r="A2" s="564" t="str">
        <f>'Internal Service Template'!A2:D2</f>
        <v>Agency Fund Name:</v>
      </c>
      <c r="B2" s="1290" t="str">
        <f>IF('Internal Service Template'!E2="","",'Internal Service Template'!E2)</f>
        <v/>
      </c>
      <c r="C2" s="1290"/>
      <c r="D2" s="1291"/>
      <c r="E2" s="1291"/>
      <c r="F2" s="1291"/>
    </row>
    <row r="3" spans="1:6" s="732" customFormat="1">
      <c r="A3" s="564" t="str">
        <f>'Internal Service Template'!A3:D3</f>
        <v>Agency Contact Name:</v>
      </c>
      <c r="B3" s="1142" t="str">
        <f>IF('Internal Service Template'!E3="","",'Internal Service Template'!E3)</f>
        <v/>
      </c>
      <c r="C3" s="1142"/>
      <c r="D3" s="1294"/>
      <c r="E3" s="1294"/>
      <c r="F3" s="1294"/>
    </row>
    <row r="4" spans="1:6" s="732" customFormat="1" ht="12.75" customHeight="1">
      <c r="A4" s="564" t="str">
        <f>'Internal Service Template'!A4:D4</f>
        <v>Agency Contact Phone Number:</v>
      </c>
      <c r="B4" s="1127" t="str">
        <f>IF('Internal Service Template'!E4="","",'Internal Service Template'!E4)</f>
        <v/>
      </c>
      <c r="C4" s="1127"/>
      <c r="D4" s="1295"/>
      <c r="E4" s="1295"/>
      <c r="F4" s="1295"/>
    </row>
    <row r="5" spans="1:6" s="732" customFormat="1">
      <c r="A5" s="564" t="str">
        <f>'Internal Service Template'!A5:D5</f>
        <v>Agency Contact E-mail Address:</v>
      </c>
      <c r="B5" s="1129" t="str">
        <f>IF('Internal Service Template'!E5="","",'Internal Service Template'!E5)</f>
        <v/>
      </c>
      <c r="C5" s="1129"/>
      <c r="D5" s="1292"/>
      <c r="E5" s="1292"/>
      <c r="F5" s="1292"/>
    </row>
    <row r="6" spans="1:6" s="732" customFormat="1" ht="12.75" customHeight="1">
      <c r="A6" s="564" t="str">
        <f>'Internal Service Template'!A6:D6</f>
        <v>Date Completed:</v>
      </c>
      <c r="B6" s="1131" t="str">
        <f>IF('Internal Service Template'!E6="","",'Internal Service Template'!E6)</f>
        <v/>
      </c>
      <c r="C6" s="1131"/>
      <c r="D6" s="1293"/>
      <c r="E6" s="1293"/>
      <c r="F6" s="1293"/>
    </row>
    <row r="7" spans="1:6" s="732" customFormat="1" ht="30.75" customHeight="1">
      <c r="A7" s="564" t="str">
        <f>'Internal Service Template'!A7:D7</f>
        <v>Fund Number:</v>
      </c>
      <c r="B7" s="1370" t="str">
        <f>'Internal Service Template'!E7</f>
        <v/>
      </c>
      <c r="C7" s="1371"/>
      <c r="D7" s="1372"/>
      <c r="E7" s="1372"/>
      <c r="F7" s="1373"/>
    </row>
    <row r="8" spans="1:6" s="732" customFormat="1" ht="12.75" customHeight="1">
      <c r="A8" s="189"/>
      <c r="B8" s="964"/>
      <c r="C8" s="964"/>
      <c r="D8" s="964"/>
      <c r="E8" s="964"/>
      <c r="F8" s="964"/>
    </row>
    <row r="9" spans="1:6" s="732" customFormat="1" ht="12.6" customHeight="1">
      <c r="A9" s="86" t="s">
        <v>736</v>
      </c>
      <c r="B9" s="13"/>
      <c r="C9" s="13"/>
      <c r="D9" s="13"/>
      <c r="E9" s="965"/>
      <c r="F9" s="965"/>
    </row>
    <row r="10" spans="1:6" s="968" customFormat="1" ht="12.6" customHeight="1">
      <c r="A10" s="632" t="str">
        <f>'Tab 2-Receivables'!A10</f>
        <v>For the Year Ended June 30, 2024</v>
      </c>
      <c r="B10" s="13"/>
      <c r="C10" s="13"/>
      <c r="D10" s="13"/>
      <c r="E10" s="966"/>
      <c r="F10" s="967"/>
    </row>
    <row r="11" spans="1:6" s="968" customFormat="1" ht="12.6" customHeight="1">
      <c r="A11" s="969"/>
      <c r="B11" s="11"/>
      <c r="C11" s="11"/>
      <c r="D11" s="11"/>
      <c r="F11" s="967"/>
    </row>
    <row r="12" spans="1:6" s="968" customFormat="1" ht="12.6" customHeight="1">
      <c r="A12" s="971"/>
      <c r="B12" s="11"/>
      <c r="C12" s="11"/>
      <c r="D12" s="11"/>
      <c r="F12" s="967"/>
    </row>
    <row r="13" spans="1:6" s="968" customFormat="1" ht="12.6" customHeight="1">
      <c r="A13" s="969"/>
      <c r="B13" s="11"/>
      <c r="C13" s="11"/>
      <c r="D13" s="11"/>
      <c r="F13" s="967"/>
    </row>
    <row r="14" spans="1:6" s="968" customFormat="1" ht="12.6" customHeight="1">
      <c r="A14" s="973"/>
      <c r="B14" s="35"/>
      <c r="C14" s="35"/>
      <c r="D14" s="35"/>
      <c r="E14" s="974"/>
      <c r="F14" s="975"/>
    </row>
    <row r="15" spans="1:6">
      <c r="A15" s="13"/>
    </row>
    <row r="16" spans="1:6">
      <c r="B16" s="207" t="s">
        <v>561</v>
      </c>
    </row>
    <row r="17" spans="1:4" ht="19.5" customHeight="1">
      <c r="A17" s="75" t="s">
        <v>674</v>
      </c>
      <c r="B17" s="109">
        <f>'Internal Service Template'!O92+'Internal Service Template'!O93</f>
        <v>0</v>
      </c>
    </row>
    <row r="18" spans="1:4">
      <c r="A18" s="75"/>
      <c r="B18" s="172"/>
    </row>
    <row r="19" spans="1:4">
      <c r="A19" s="11" t="s">
        <v>313</v>
      </c>
      <c r="B19" s="172"/>
    </row>
    <row r="20" spans="1:4">
      <c r="A20" s="11" t="s">
        <v>3259</v>
      </c>
      <c r="B20" s="144"/>
    </row>
    <row r="21" spans="1:4">
      <c r="A21" s="11" t="s">
        <v>346</v>
      </c>
      <c r="B21" s="144"/>
    </row>
    <row r="22" spans="1:4">
      <c r="A22" s="11" t="s">
        <v>3260</v>
      </c>
      <c r="B22" s="144"/>
    </row>
    <row r="23" spans="1:4" ht="26.4">
      <c r="A23" s="75" t="s">
        <v>3983</v>
      </c>
      <c r="B23" s="144"/>
    </row>
    <row r="24" spans="1:4">
      <c r="A24" s="11" t="s">
        <v>3450</v>
      </c>
      <c r="B24" s="144"/>
    </row>
    <row r="25" spans="1:4">
      <c r="A25" s="11" t="s">
        <v>86</v>
      </c>
      <c r="B25" s="148"/>
    </row>
    <row r="26" spans="1:4">
      <c r="A26" s="6"/>
      <c r="B26" s="144"/>
    </row>
    <row r="27" spans="1:4">
      <c r="A27" s="6"/>
      <c r="B27" s="144"/>
    </row>
    <row r="28" spans="1:4">
      <c r="A28" s="6"/>
      <c r="B28" s="144"/>
    </row>
    <row r="29" spans="1:4">
      <c r="A29" s="6"/>
      <c r="B29" s="144"/>
    </row>
    <row r="30" spans="1:4">
      <c r="A30" s="6"/>
      <c r="B30" s="144"/>
    </row>
    <row r="31" spans="1:4">
      <c r="A31" s="1004"/>
      <c r="B31" s="190"/>
    </row>
    <row r="32" spans="1:4" ht="40.5" customHeight="1">
      <c r="A32" s="1005" t="s">
        <v>2896</v>
      </c>
      <c r="B32" s="144"/>
      <c r="D32" s="257" t="s">
        <v>262</v>
      </c>
    </row>
    <row r="33" spans="1:8" ht="51.75" customHeight="1">
      <c r="A33" s="1005" t="s">
        <v>811</v>
      </c>
      <c r="B33" s="145"/>
      <c r="H33" s="11" t="s">
        <v>260</v>
      </c>
    </row>
    <row r="34" spans="1:8" ht="30.75" customHeight="1">
      <c r="A34" s="256"/>
      <c r="B34" s="144"/>
      <c r="H34" s="11" t="s">
        <v>261</v>
      </c>
    </row>
    <row r="35" spans="1:8">
      <c r="B35" s="190"/>
      <c r="H35" s="11" t="s">
        <v>262</v>
      </c>
    </row>
    <row r="36" spans="1:8" ht="27.75" hidden="1" customHeight="1">
      <c r="A36" s="1006"/>
      <c r="B36" s="255"/>
    </row>
    <row r="37" spans="1:8" ht="39.75" customHeight="1">
      <c r="A37" s="1006" t="s">
        <v>790</v>
      </c>
      <c r="B37" s="144"/>
    </row>
    <row r="38" spans="1:8" ht="52.5" customHeight="1">
      <c r="A38" s="1006" t="s">
        <v>791</v>
      </c>
      <c r="B38" s="145"/>
    </row>
    <row r="39" spans="1:8" ht="35.25" customHeight="1">
      <c r="A39" s="256"/>
      <c r="B39" s="144"/>
    </row>
    <row r="40" spans="1:8" ht="14.25" customHeight="1">
      <c r="A40" s="766" t="s">
        <v>755</v>
      </c>
      <c r="B40" s="190"/>
    </row>
    <row r="41" spans="1:8">
      <c r="A41" s="256"/>
      <c r="B41" s="144"/>
    </row>
    <row r="42" spans="1:8">
      <c r="A42" s="256"/>
      <c r="B42" s="144"/>
    </row>
    <row r="43" spans="1:8">
      <c r="A43" s="256"/>
      <c r="B43" s="144"/>
    </row>
    <row r="44" spans="1:8">
      <c r="A44" s="6"/>
      <c r="B44" s="144"/>
    </row>
    <row r="45" spans="1:8">
      <c r="B45" s="190"/>
    </row>
    <row r="46" spans="1:8" ht="13.8" thickBot="1">
      <c r="A46" s="75" t="s">
        <v>729</v>
      </c>
      <c r="B46" s="82">
        <f>IF(SUM(B17,B20:B24,B26:B44)='Internal Service Template'!O212,SUM(B17,B20:B24,B26:B44),"ERROR")</f>
        <v>0</v>
      </c>
      <c r="C46" s="739"/>
    </row>
    <row r="47" spans="1:8" ht="13.8" thickTop="1">
      <c r="A47" s="166" t="s">
        <v>146</v>
      </c>
      <c r="B47" s="164">
        <f>(SUM(B17,B20:B24,B26:B44))-'Internal Service Template'!O212</f>
        <v>0</v>
      </c>
    </row>
    <row r="49" spans="1:6" hidden="1"/>
    <row r="50" spans="1:6" ht="26.4">
      <c r="A50" s="145" t="s">
        <v>160</v>
      </c>
      <c r="B50" s="146" t="s">
        <v>161</v>
      </c>
      <c r="C50" s="1376" t="s">
        <v>162</v>
      </c>
      <c r="D50" s="1377"/>
      <c r="E50" s="146" t="s">
        <v>72</v>
      </c>
      <c r="F50" s="146" t="s">
        <v>163</v>
      </c>
    </row>
    <row r="51" spans="1:6">
      <c r="A51" s="145" t="s">
        <v>3259</v>
      </c>
      <c r="B51" s="129">
        <f>'Internal Service Template'!O153+'Internal Service Template'!O177</f>
        <v>0</v>
      </c>
      <c r="C51" s="1374">
        <f>B20</f>
        <v>0</v>
      </c>
      <c r="D51" s="1375"/>
      <c r="E51" s="1007">
        <f t="shared" ref="E51:E56" si="0">B51+C51</f>
        <v>0</v>
      </c>
      <c r="F51" s="3" t="str">
        <f t="shared" ref="F51:F56" si="1">IF(E51=0,"N/A","Answer Required")</f>
        <v>N/A</v>
      </c>
    </row>
    <row r="52" spans="1:6">
      <c r="A52" s="145" t="s">
        <v>346</v>
      </c>
      <c r="B52" s="129">
        <f>'Internal Service Template'!O154+'Internal Service Template'!O178</f>
        <v>0</v>
      </c>
      <c r="C52" s="1374">
        <f>B21</f>
        <v>0</v>
      </c>
      <c r="D52" s="1375"/>
      <c r="E52" s="1007">
        <f t="shared" si="0"/>
        <v>0</v>
      </c>
      <c r="F52" s="3" t="str">
        <f t="shared" si="1"/>
        <v>N/A</v>
      </c>
    </row>
    <row r="53" spans="1:6">
      <c r="A53" s="145" t="s">
        <v>3261</v>
      </c>
      <c r="B53" s="129">
        <f>'Internal Service Template'!O155+'Internal Service Template'!O179</f>
        <v>0</v>
      </c>
      <c r="C53" s="1374">
        <f>B22</f>
        <v>0</v>
      </c>
      <c r="D53" s="1375"/>
      <c r="E53" s="1007">
        <f t="shared" si="0"/>
        <v>0</v>
      </c>
      <c r="F53" s="3" t="str">
        <f t="shared" si="1"/>
        <v>N/A</v>
      </c>
    </row>
    <row r="54" spans="1:6" ht="26.4">
      <c r="A54" s="1041" t="s">
        <v>3984</v>
      </c>
      <c r="B54" s="129">
        <f>'Internal Service Template'!O156+'Internal Service Template'!O180</f>
        <v>0</v>
      </c>
      <c r="C54" s="1374">
        <f>B23</f>
        <v>0</v>
      </c>
      <c r="D54" s="1375"/>
      <c r="E54" s="1007">
        <f t="shared" si="0"/>
        <v>0</v>
      </c>
      <c r="F54" s="3" t="str">
        <f t="shared" si="1"/>
        <v>N/A</v>
      </c>
    </row>
    <row r="55" spans="1:6">
      <c r="A55" s="145" t="s">
        <v>18</v>
      </c>
      <c r="B55" s="129">
        <f>'Internal Service Template'!O157+'Internal Service Template'!O181</f>
        <v>0</v>
      </c>
      <c r="C55" s="1374">
        <f>B24</f>
        <v>0</v>
      </c>
      <c r="D55" s="1375"/>
      <c r="E55" s="1007">
        <f t="shared" si="0"/>
        <v>0</v>
      </c>
      <c r="F55" s="3" t="str">
        <f t="shared" si="1"/>
        <v>N/A</v>
      </c>
    </row>
    <row r="56" spans="1:6">
      <c r="A56" s="145" t="s">
        <v>164</v>
      </c>
      <c r="B56" s="129">
        <f>'Internal Service Template'!O158+'Internal Service Template'!O182</f>
        <v>0</v>
      </c>
      <c r="C56" s="1374">
        <f>SUM(B26:B30)</f>
        <v>0</v>
      </c>
      <c r="D56" s="1375"/>
      <c r="E56" s="1007">
        <f t="shared" si="0"/>
        <v>0</v>
      </c>
      <c r="F56" s="3" t="str">
        <f t="shared" si="1"/>
        <v>N/A</v>
      </c>
    </row>
    <row r="58" spans="1:6" ht="38.25" customHeight="1">
      <c r="A58" s="1299" t="s">
        <v>876</v>
      </c>
      <c r="B58" s="1299"/>
      <c r="C58" s="1299"/>
      <c r="D58" s="1299"/>
      <c r="E58" s="1299"/>
      <c r="F58" s="1299"/>
    </row>
  </sheetData>
  <sheetProtection algorithmName="SHA-512" hashValue="Q3MHD4DAHJ6PuPXCr6C15oSxsFBBmvw9VtlDKbNwHXaXnQ2QAGzaDImRggWsqdgp6ZK8EUhjMEEshct6oOkcIg==" saltValue="97CiQe1NwNRAoOBUpzFqYw==" spinCount="100000" sheet="1" objects="1" scenarios="1"/>
  <customSheetViews>
    <customSheetView guid="{5CCA66B6-9DBD-4F43-8EC0-0C18444D6068}" scale="85" showGridLines="0" showRuler="0">
      <selection activeCell="B20" sqref="B20"/>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15">
    <mergeCell ref="A58:F58"/>
    <mergeCell ref="B1:F1"/>
    <mergeCell ref="B5:F5"/>
    <mergeCell ref="B6:F6"/>
    <mergeCell ref="B7:F7"/>
    <mergeCell ref="B2:F2"/>
    <mergeCell ref="B3:F3"/>
    <mergeCell ref="B4:F4"/>
    <mergeCell ref="C56:D56"/>
    <mergeCell ref="C50:D50"/>
    <mergeCell ref="C51:D51"/>
    <mergeCell ref="C52:D52"/>
    <mergeCell ref="C55:D55"/>
    <mergeCell ref="C53:D53"/>
    <mergeCell ref="C54:D54"/>
  </mergeCells>
  <phoneticPr fontId="46" type="noConversion"/>
  <conditionalFormatting sqref="D32">
    <cfRule type="cellIs" dxfId="18" priority="3" operator="equal">
      <formula>"Answer Required"</formula>
    </cfRule>
  </conditionalFormatting>
  <conditionalFormatting sqref="F51:F56">
    <cfRule type="cellIs" dxfId="17" priority="1" operator="equal">
      <formula>"Answer Required"</formula>
    </cfRule>
  </conditionalFormatting>
  <dataValidations xWindow="146" yWindow="303" count="11">
    <dataValidation type="whole" allowBlank="1" showErrorMessage="1" error="Amount must be rounded to the nearest dollar." sqref="B45" xr:uid="{00000000-0002-0000-1200-000000000000}">
      <formula1>-1000000000000</formula1>
      <formula2>1000000000000</formula2>
    </dataValidation>
    <dataValidation type="whole" allowBlank="1" showErrorMessage="1" error="Please enter a whole number." sqref="B41:B44 B31" xr:uid="{00000000-0002-0000-1200-000001000000}">
      <formula1>-9999999999999</formula1>
      <formula2>9999999999999</formula2>
    </dataValidation>
    <dataValidation type="whole" allowBlank="1" showErrorMessage="1" sqref="B46:B47 B51:E56" xr:uid="{00000000-0002-0000-1200-000002000000}">
      <formula1>-9999999999999</formula1>
      <formula2>9999999999999</formula2>
    </dataValidation>
    <dataValidation allowBlank="1" showErrorMessage="1" sqref="B17" xr:uid="{00000000-0002-0000-1200-000003000000}"/>
    <dataValidation type="whole" allowBlank="1" showErrorMessage="1" error="Amount must be rounded to the nearest dollar." sqref="B18:B19" xr:uid="{00000000-0002-0000-1200-000004000000}">
      <formula1>0</formula1>
      <formula2>9.99999999999999E+25</formula2>
    </dataValidation>
    <dataValidation allowBlank="1" showErrorMessage="1" error="Please enter a negative whole number." sqref="B25" xr:uid="{00000000-0002-0000-1200-000005000000}"/>
    <dataValidation type="list" allowBlank="1" showInputMessage="1" showErrorMessage="1" error="Please use the drop-down list to select Yes, No, or N/A" sqref="D32" xr:uid="{00000000-0002-0000-1200-000006000000}">
      <formula1>$H$33:$H$35</formula1>
    </dataValidation>
    <dataValidation type="whole" allowBlank="1" showErrorMessage="1" error="Please enter a negative whole number." sqref="B36" xr:uid="{00000000-0002-0000-1200-000007000000}">
      <formula1>-999999999999999000000</formula1>
      <formula2>0</formula2>
    </dataValidation>
    <dataValidation type="whole" allowBlank="1" showErrorMessage="1" error="Please enter a whole number." sqref="B35 B40" xr:uid="{00000000-0002-0000-1200-000008000000}">
      <formula1>-999999999999999000000</formula1>
      <formula2>99999999999999900000</formula2>
    </dataValidation>
    <dataValidation type="whole" allowBlank="1" showErrorMessage="1" error="Please enter a negative number." sqref="B37 B39 B26:B30 B20:B24" xr:uid="{00000000-0002-0000-1200-000009000000}">
      <formula1>-9999999999999</formula1>
      <formula2>0</formula2>
    </dataValidation>
    <dataValidation type="whole" allowBlank="1" showErrorMessage="1" error="Please enter a positive number." sqref="B32 B34" xr:uid="{00000000-0002-0000-1200-00000A000000}">
      <formula1>0</formula1>
      <formula2>9999999999999</formula2>
    </dataValidation>
  </dataValidations>
  <pageMargins left="0.75" right="0.33" top="0.71" bottom="0.37" header="0.19" footer="0.17"/>
  <pageSetup scale="67"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L131"/>
  <sheetViews>
    <sheetView showGridLines="0" zoomScaleNormal="100" zoomScaleSheetLayoutView="75" workbookViewId="0">
      <selection activeCell="K18" sqref="K18"/>
    </sheetView>
  </sheetViews>
  <sheetFormatPr defaultColWidth="9.109375" defaultRowHeight="13.2"/>
  <cols>
    <col min="1" max="1" width="39.33203125" style="11" customWidth="1"/>
    <col min="2" max="2" width="16.44140625" style="11" customWidth="1"/>
    <col min="3" max="3" width="10.5546875" style="11" customWidth="1"/>
    <col min="4" max="4" width="15" style="11" customWidth="1"/>
    <col min="5" max="5" width="23.6640625" style="11" customWidth="1"/>
    <col min="6" max="6" width="2.88671875" style="11" customWidth="1"/>
    <col min="7" max="7" width="25.33203125" style="11" customWidth="1"/>
    <col min="8" max="8" width="2.88671875" style="11" customWidth="1"/>
    <col min="9" max="9" width="22.44140625" style="107" customWidth="1"/>
    <col min="10" max="10" width="3.109375" style="107" customWidth="1"/>
    <col min="11" max="11" width="70.33203125" style="94" customWidth="1"/>
    <col min="12" max="12" width="3.109375" style="107" customWidth="1"/>
    <col min="13" max="16384" width="9.109375" style="11"/>
  </cols>
  <sheetData>
    <row r="1" spans="1:12" s="657" customFormat="1" ht="12.6" customHeight="1">
      <c r="A1" s="564" t="str">
        <f>'Internal Service Template'!A1:D1</f>
        <v>Agency Number:</v>
      </c>
      <c r="B1" s="1395" t="str">
        <f>'Internal Service Template'!E1</f>
        <v/>
      </c>
      <c r="C1" s="1389"/>
      <c r="D1" s="1389"/>
      <c r="E1" s="1389"/>
      <c r="F1" s="656"/>
      <c r="G1" s="656"/>
      <c r="H1" s="656"/>
      <c r="I1" s="59"/>
      <c r="J1" s="59"/>
      <c r="K1" s="108"/>
      <c r="L1" s="59"/>
    </row>
    <row r="2" spans="1:12" s="657" customFormat="1" ht="12.75" customHeight="1">
      <c r="A2" s="564" t="str">
        <f>'Internal Service Template'!A2:D2</f>
        <v>Agency Fund Name:</v>
      </c>
      <c r="B2" s="1395" t="str">
        <f>IF('Internal Service Template'!E2="","",'Internal Service Template'!E2)</f>
        <v/>
      </c>
      <c r="C2" s="1389"/>
      <c r="D2" s="1389"/>
      <c r="E2" s="1389"/>
      <c r="F2" s="656"/>
      <c r="G2" s="656"/>
      <c r="H2" s="656"/>
      <c r="I2" s="59"/>
      <c r="J2" s="59"/>
      <c r="K2" s="108"/>
      <c r="L2" s="59"/>
    </row>
    <row r="3" spans="1:12" s="657" customFormat="1">
      <c r="A3" s="564" t="str">
        <f>'Internal Service Template'!A3:D3</f>
        <v>Agency Contact Name:</v>
      </c>
      <c r="B3" s="1396" t="str">
        <f>IF('Internal Service Template'!E3="","",'Internal Service Template'!E3)</f>
        <v/>
      </c>
      <c r="C3" s="1397"/>
      <c r="D3" s="1397"/>
      <c r="E3" s="1397"/>
      <c r="F3" s="656"/>
      <c r="G3" s="656"/>
      <c r="H3" s="656"/>
      <c r="I3" s="59"/>
      <c r="J3" s="59"/>
      <c r="K3" s="108"/>
      <c r="L3" s="59"/>
    </row>
    <row r="4" spans="1:12" s="657" customFormat="1" ht="12.75" customHeight="1">
      <c r="A4" s="564" t="str">
        <f>'Internal Service Template'!A4:D4</f>
        <v>Agency Contact Phone Number:</v>
      </c>
      <c r="B4" s="1398" t="str">
        <f>IF('Internal Service Template'!E4="","",'Internal Service Template'!E4)</f>
        <v/>
      </c>
      <c r="C4" s="1397"/>
      <c r="D4" s="1397"/>
      <c r="E4" s="1397"/>
      <c r="F4" s="1008"/>
      <c r="G4" s="1008"/>
      <c r="H4" s="1008"/>
      <c r="I4" s="59"/>
      <c r="J4" s="59"/>
      <c r="K4" s="108"/>
      <c r="L4" s="59"/>
    </row>
    <row r="5" spans="1:12" s="657" customFormat="1" ht="12.75" customHeight="1">
      <c r="A5" s="564" t="str">
        <f>'Internal Service Template'!A5:D5</f>
        <v>Agency Contact E-mail Address:</v>
      </c>
      <c r="B5" s="1399" t="str">
        <f>IF('Internal Service Template'!E5="","",'Internal Service Template'!E5)</f>
        <v/>
      </c>
      <c r="C5" s="1397"/>
      <c r="D5" s="1397"/>
      <c r="E5" s="1397"/>
      <c r="F5" s="1009"/>
      <c r="G5" s="1009"/>
      <c r="H5" s="1009"/>
      <c r="I5" s="59"/>
      <c r="J5" s="59"/>
      <c r="K5" s="108"/>
      <c r="L5" s="59"/>
    </row>
    <row r="6" spans="1:12" s="657" customFormat="1" ht="12.75" customHeight="1">
      <c r="A6" s="564" t="str">
        <f>'Internal Service Template'!A6:D6</f>
        <v>Date Completed:</v>
      </c>
      <c r="B6" s="1400" t="str">
        <f>IF('Internal Service Template'!E6="","",'Internal Service Template'!E6)</f>
        <v/>
      </c>
      <c r="C6" s="1401"/>
      <c r="D6" s="1401"/>
      <c r="E6" s="1401"/>
      <c r="F6" s="1010"/>
      <c r="G6" s="1010"/>
      <c r="H6" s="1010"/>
      <c r="I6" s="59"/>
      <c r="J6" s="59"/>
      <c r="K6" s="108"/>
      <c r="L6" s="59"/>
    </row>
    <row r="7" spans="1:12" s="657" customFormat="1">
      <c r="A7" s="564" t="str">
        <f>'Internal Service Template'!A7:D7</f>
        <v>Fund Number:</v>
      </c>
      <c r="B7" s="1395" t="str">
        <f>'Internal Service Template'!E7</f>
        <v/>
      </c>
      <c r="C7" s="1389"/>
      <c r="D7" s="1389"/>
      <c r="E7" s="1389"/>
      <c r="F7" s="656"/>
      <c r="G7" s="656"/>
      <c r="H7" s="656"/>
      <c r="I7" s="59"/>
      <c r="J7" s="59"/>
      <c r="K7" s="108"/>
      <c r="L7" s="59"/>
    </row>
    <row r="8" spans="1:12" s="657" customFormat="1" ht="12.75" customHeight="1">
      <c r="A8" s="659"/>
      <c r="B8" s="659"/>
      <c r="C8" s="659"/>
      <c r="D8" s="720"/>
      <c r="E8" s="720"/>
      <c r="F8" s="720"/>
      <c r="G8" s="720"/>
      <c r="H8" s="720"/>
      <c r="I8" s="59"/>
      <c r="J8" s="59"/>
      <c r="K8" s="108"/>
      <c r="L8" s="59"/>
    </row>
    <row r="9" spans="1:12" s="657" customFormat="1" ht="12.6" customHeight="1">
      <c r="A9" s="86" t="s">
        <v>688</v>
      </c>
      <c r="B9" s="86"/>
      <c r="C9" s="86"/>
      <c r="D9" s="27"/>
      <c r="E9" s="27"/>
      <c r="F9" s="27"/>
      <c r="G9" s="690"/>
      <c r="H9" s="690"/>
      <c r="I9" s="59"/>
      <c r="J9" s="59"/>
      <c r="K9" s="108"/>
      <c r="L9" s="59"/>
    </row>
    <row r="10" spans="1:12" s="664" customFormat="1" ht="12.6" customHeight="1">
      <c r="A10" s="632" t="str">
        <f>'Tab 2-Receivables'!A10</f>
        <v>For the Year Ended June 30, 2024</v>
      </c>
      <c r="B10" s="632"/>
      <c r="C10" s="632"/>
      <c r="D10" s="27"/>
      <c r="E10" s="27"/>
      <c r="F10" s="27"/>
      <c r="G10" s="772"/>
      <c r="H10" s="665"/>
      <c r="I10" s="1011"/>
      <c r="J10" s="1011"/>
      <c r="K10" s="1012"/>
      <c r="L10" s="1011"/>
    </row>
    <row r="11" spans="1:12" s="664" customFormat="1" ht="12.6" customHeight="1">
      <c r="A11" s="666"/>
      <c r="B11" s="666"/>
      <c r="C11" s="666"/>
      <c r="D11" s="17"/>
      <c r="E11" s="17"/>
      <c r="F11" s="17"/>
      <c r="H11" s="665"/>
      <c r="I11" s="1011"/>
      <c r="J11" s="1011"/>
      <c r="K11" s="1012"/>
      <c r="L11" s="1011"/>
    </row>
    <row r="12" spans="1:12" s="664" customFormat="1" ht="12.6" customHeight="1">
      <c r="A12" s="1013"/>
      <c r="B12" s="1013"/>
      <c r="C12" s="1013"/>
      <c r="D12" s="17"/>
      <c r="E12" s="17"/>
      <c r="F12" s="17"/>
      <c r="H12" s="665"/>
      <c r="I12" s="1011"/>
      <c r="J12" s="1011"/>
      <c r="K12" s="1012"/>
      <c r="L12" s="1011"/>
    </row>
    <row r="13" spans="1:12" s="664" customFormat="1" ht="12.6" customHeight="1">
      <c r="A13" s="632" t="s">
        <v>415</v>
      </c>
      <c r="B13" s="632"/>
      <c r="C13" s="632"/>
      <c r="D13" s="17"/>
      <c r="E13" s="17"/>
      <c r="F13" s="17"/>
      <c r="H13" s="665"/>
      <c r="I13" s="1011"/>
      <c r="J13" s="1011"/>
      <c r="K13" s="1012"/>
      <c r="L13" s="1011"/>
    </row>
    <row r="14" spans="1:12" s="664" customFormat="1" ht="12.6" customHeight="1">
      <c r="A14" s="1014"/>
      <c r="B14" s="1014"/>
      <c r="C14" s="1014"/>
      <c r="D14" s="23"/>
      <c r="E14" s="23"/>
      <c r="F14" s="23"/>
      <c r="G14" s="1015"/>
      <c r="H14" s="1016"/>
      <c r="I14" s="1017"/>
      <c r="J14" s="1017"/>
      <c r="K14" s="1018"/>
      <c r="L14" s="1011"/>
    </row>
    <row r="15" spans="1:12">
      <c r="A15" s="13"/>
      <c r="B15" s="13"/>
      <c r="C15" s="13"/>
      <c r="E15" s="1387" t="s">
        <v>71</v>
      </c>
      <c r="F15" s="1019"/>
      <c r="G15" s="1388" t="s">
        <v>3451</v>
      </c>
      <c r="H15" s="1019"/>
      <c r="I15" s="1388" t="s">
        <v>72</v>
      </c>
      <c r="J15" s="1019"/>
      <c r="K15" s="1388" t="s">
        <v>73</v>
      </c>
      <c r="L15" s="11"/>
    </row>
    <row r="16" spans="1:12">
      <c r="A16" s="13"/>
      <c r="B16" s="13"/>
      <c r="C16" s="13"/>
      <c r="E16" s="1387"/>
      <c r="F16" s="1019"/>
      <c r="G16" s="1388"/>
      <c r="H16" s="1019"/>
      <c r="I16" s="1388"/>
      <c r="J16" s="1019"/>
      <c r="K16" s="1388"/>
      <c r="L16" s="11"/>
    </row>
    <row r="17" spans="1:12">
      <c r="A17" s="13"/>
      <c r="B17" s="13"/>
      <c r="C17" s="13"/>
      <c r="E17" s="107"/>
      <c r="F17" s="107"/>
      <c r="G17" s="94"/>
      <c r="H17" s="107"/>
      <c r="I17" s="94"/>
      <c r="L17" s="11"/>
    </row>
    <row r="18" spans="1:12">
      <c r="A18" s="1020" t="s">
        <v>477</v>
      </c>
      <c r="B18" s="1020"/>
      <c r="C18" s="1020"/>
      <c r="D18" s="17"/>
      <c r="E18" s="129">
        <f>'Internal Service Template'!O409</f>
        <v>0</v>
      </c>
      <c r="F18" s="5"/>
      <c r="G18" s="129">
        <f>-'Internal Service Template'!Q57-'Internal Service Template'!Q86</f>
        <v>0</v>
      </c>
      <c r="H18" s="5"/>
      <c r="I18" s="129">
        <f t="shared" ref="I18:I25" si="0">IF(ISERR(E18-G18),"",(E18-G18))</f>
        <v>0</v>
      </c>
      <c r="J18" s="5"/>
      <c r="K18" s="130" t="str">
        <f>IF(OR(I18=0,I18=""),"","Answer Required")</f>
        <v/>
      </c>
      <c r="L18" s="11"/>
    </row>
    <row r="19" spans="1:12">
      <c r="A19" s="1020" t="s">
        <v>358</v>
      </c>
      <c r="B19" s="1020"/>
      <c r="C19" s="1020"/>
      <c r="D19" s="17"/>
      <c r="E19" s="129">
        <f>'Internal Service Template'!O410</f>
        <v>0</v>
      </c>
      <c r="F19" s="5"/>
      <c r="G19" s="129">
        <f>-'Internal Service Template'!Q61</f>
        <v>0</v>
      </c>
      <c r="H19" s="5"/>
      <c r="I19" s="129">
        <f t="shared" si="0"/>
        <v>0</v>
      </c>
      <c r="J19" s="5"/>
      <c r="K19" s="130" t="str">
        <f t="shared" ref="K19:K34" si="1">IF(OR(I19=0,I19=""),"","Answer Required")</f>
        <v/>
      </c>
      <c r="L19" s="11"/>
    </row>
    <row r="20" spans="1:12">
      <c r="A20" s="1020" t="s">
        <v>571</v>
      </c>
      <c r="B20" s="1020"/>
      <c r="C20" s="1020"/>
      <c r="D20" s="17"/>
      <c r="E20" s="129">
        <f>'Internal Service Template'!O411</f>
        <v>0</v>
      </c>
      <c r="F20" s="5"/>
      <c r="G20" s="129" t="str">
        <f>IF(ISERR(-'Internal Service Template'!Q63),"",(-'Internal Service Template'!Q63))</f>
        <v/>
      </c>
      <c r="H20" s="5"/>
      <c r="I20" s="129" t="str">
        <f t="shared" si="0"/>
        <v/>
      </c>
      <c r="J20" s="5"/>
      <c r="K20" s="130" t="str">
        <f t="shared" si="1"/>
        <v/>
      </c>
      <c r="L20" s="11"/>
    </row>
    <row r="21" spans="1:12">
      <c r="A21" s="1020" t="s">
        <v>475</v>
      </c>
      <c r="B21" s="1020"/>
      <c r="C21" s="1020"/>
      <c r="D21" s="17"/>
      <c r="E21" s="129">
        <f>'Internal Service Template'!O412</f>
        <v>0</v>
      </c>
      <c r="F21" s="5"/>
      <c r="G21" s="129" t="str">
        <f>IF(ISERR(-'Internal Service Template'!Q64),"",(-'Internal Service Template'!Q64))</f>
        <v/>
      </c>
      <c r="H21" s="5"/>
      <c r="I21" s="129" t="str">
        <f t="shared" si="0"/>
        <v/>
      </c>
      <c r="J21" s="5"/>
      <c r="K21" s="130" t="str">
        <f t="shared" si="1"/>
        <v/>
      </c>
      <c r="L21" s="11"/>
    </row>
    <row r="22" spans="1:12">
      <c r="A22" s="1020" t="s">
        <v>476</v>
      </c>
      <c r="B22" s="1020"/>
      <c r="C22" s="1020"/>
      <c r="D22" s="17"/>
      <c r="E22" s="129">
        <f>'Internal Service Template'!O413</f>
        <v>0</v>
      </c>
      <c r="F22" s="5"/>
      <c r="G22" s="129" t="str">
        <f>IF(ISERR(-'Internal Service Template'!Q65),"",(-'Internal Service Template'!Q65))</f>
        <v/>
      </c>
      <c r="H22" s="5"/>
      <c r="I22" s="129" t="str">
        <f t="shared" si="0"/>
        <v/>
      </c>
      <c r="J22" s="5"/>
      <c r="K22" s="130" t="str">
        <f t="shared" si="1"/>
        <v/>
      </c>
      <c r="L22" s="11"/>
    </row>
    <row r="23" spans="1:12">
      <c r="A23" s="1020" t="s">
        <v>206</v>
      </c>
      <c r="B23" s="1020"/>
      <c r="C23" s="1020"/>
      <c r="D23" s="17"/>
      <c r="E23" s="129">
        <f>'Internal Service Template'!O414</f>
        <v>0</v>
      </c>
      <c r="F23" s="5"/>
      <c r="G23" s="129">
        <f>-'Internal Service Template'!Q71-'Internal Service Template'!Q90</f>
        <v>0</v>
      </c>
      <c r="H23" s="5"/>
      <c r="I23" s="129">
        <f t="shared" si="0"/>
        <v>0</v>
      </c>
      <c r="J23" s="5"/>
      <c r="K23" s="130" t="str">
        <f t="shared" si="1"/>
        <v/>
      </c>
      <c r="L23" s="11"/>
    </row>
    <row r="24" spans="1:12">
      <c r="A24" s="1020" t="s">
        <v>359</v>
      </c>
      <c r="B24" s="1020"/>
      <c r="C24" s="1020"/>
      <c r="D24" s="17"/>
      <c r="E24" s="129">
        <f>'Internal Service Template'!O415</f>
        <v>0</v>
      </c>
      <c r="F24" s="5"/>
      <c r="G24" s="129">
        <f>'Internal Service Template'!Q131</f>
        <v>0</v>
      </c>
      <c r="H24" s="5"/>
      <c r="I24" s="129">
        <f t="shared" si="0"/>
        <v>0</v>
      </c>
      <c r="J24" s="5"/>
      <c r="K24" s="130" t="str">
        <f t="shared" si="1"/>
        <v/>
      </c>
      <c r="L24" s="11"/>
    </row>
    <row r="25" spans="1:12" hidden="1">
      <c r="A25" s="1020" t="s">
        <v>367</v>
      </c>
      <c r="B25" s="1020"/>
      <c r="C25" s="1020"/>
      <c r="D25" s="17"/>
      <c r="E25" s="129">
        <f>'Internal Service Template'!O417</f>
        <v>0</v>
      </c>
      <c r="F25" s="5"/>
      <c r="G25" s="129">
        <f>'Internal Service Template'!Q135</f>
        <v>0</v>
      </c>
      <c r="H25" s="5"/>
      <c r="I25" s="129">
        <f t="shared" si="0"/>
        <v>0</v>
      </c>
      <c r="J25" s="5"/>
      <c r="K25" s="130" t="str">
        <f t="shared" si="1"/>
        <v/>
      </c>
      <c r="L25" s="11"/>
    </row>
    <row r="26" spans="1:12">
      <c r="A26" s="1020" t="s">
        <v>478</v>
      </c>
      <c r="B26" s="1020"/>
      <c r="C26" s="1020"/>
      <c r="D26" s="17"/>
      <c r="E26" s="129">
        <f>'Internal Service Template'!O416</f>
        <v>0</v>
      </c>
      <c r="F26" s="5"/>
      <c r="G26" s="129" t="str">
        <f>'Internal Service Template'!Q138</f>
        <v/>
      </c>
      <c r="H26" s="5"/>
      <c r="I26" s="129" t="str">
        <f t="shared" ref="I26:I34" si="2">IF(ISERR(E26-G26),"",(E26-G26))</f>
        <v/>
      </c>
      <c r="J26" s="5"/>
      <c r="K26" s="130" t="str">
        <f t="shared" si="1"/>
        <v/>
      </c>
      <c r="L26" s="11"/>
    </row>
    <row r="27" spans="1:12">
      <c r="A27" s="1020" t="s">
        <v>367</v>
      </c>
      <c r="B27" s="1020"/>
      <c r="C27" s="1020"/>
      <c r="D27" s="17"/>
      <c r="E27" s="129">
        <f>'Internal Service Template'!O417+'Internal Service Template'!G421</f>
        <v>0</v>
      </c>
      <c r="F27" s="5"/>
      <c r="G27" s="129" t="str">
        <f>IF(ISERR('Internal Service Template'!Q135+'Internal Service Template'!Q166),"",('Internal Service Template'!Q135+'Internal Service Template'!Q166))</f>
        <v/>
      </c>
      <c r="H27" s="5"/>
      <c r="I27" s="129" t="str">
        <f t="shared" si="2"/>
        <v/>
      </c>
      <c r="J27" s="5"/>
      <c r="K27" s="130" t="str">
        <f t="shared" si="1"/>
        <v/>
      </c>
      <c r="L27" s="11"/>
    </row>
    <row r="28" spans="1:12">
      <c r="A28" s="1020" t="s">
        <v>15</v>
      </c>
      <c r="B28" s="1020"/>
      <c r="C28" s="1020"/>
      <c r="D28" s="17"/>
      <c r="E28" s="129">
        <f>'Internal Service Template'!O418</f>
        <v>0</v>
      </c>
      <c r="F28" s="5"/>
      <c r="G28" s="129" t="str">
        <f>'Internal Service Template'!Q137</f>
        <v/>
      </c>
      <c r="H28" s="5"/>
      <c r="I28" s="129" t="str">
        <f t="shared" si="2"/>
        <v/>
      </c>
      <c r="J28" s="5"/>
      <c r="K28" s="130" t="str">
        <f t="shared" si="1"/>
        <v/>
      </c>
      <c r="L28" s="11"/>
    </row>
    <row r="29" spans="1:12">
      <c r="A29" s="1020" t="s">
        <v>546</v>
      </c>
      <c r="B29" s="1020"/>
      <c r="C29" s="1020"/>
      <c r="D29" s="17"/>
      <c r="E29" s="129">
        <f>'Internal Service Template'!O419</f>
        <v>0</v>
      </c>
      <c r="F29" s="5"/>
      <c r="G29" s="129" t="str">
        <f>'Internal Service Template'!Q139</f>
        <v/>
      </c>
      <c r="H29" s="5"/>
      <c r="I29" s="129" t="str">
        <f t="shared" si="2"/>
        <v/>
      </c>
      <c r="J29" s="5"/>
      <c r="K29" s="130" t="str">
        <f t="shared" si="1"/>
        <v/>
      </c>
      <c r="L29" s="11"/>
    </row>
    <row r="30" spans="1:12">
      <c r="A30" s="1020" t="s">
        <v>552</v>
      </c>
      <c r="B30" s="1020"/>
      <c r="C30" s="1020"/>
      <c r="D30" s="17"/>
      <c r="E30" s="129">
        <f>'Internal Service Template'!O420</f>
        <v>0</v>
      </c>
      <c r="F30" s="5"/>
      <c r="G30" s="129" t="str">
        <f>'Internal Service Template'!Q164</f>
        <v/>
      </c>
      <c r="H30" s="5"/>
      <c r="I30" s="129" t="str">
        <f t="shared" si="2"/>
        <v/>
      </c>
      <c r="J30" s="5"/>
      <c r="K30" s="130" t="str">
        <f t="shared" si="1"/>
        <v/>
      </c>
      <c r="L30" s="11"/>
    </row>
    <row r="31" spans="1:12" hidden="1">
      <c r="A31" s="1020" t="s">
        <v>205</v>
      </c>
      <c r="B31" s="1020"/>
      <c r="C31" s="1020"/>
      <c r="D31" s="17"/>
      <c r="E31" s="129">
        <f>'Internal Service Template'!O421</f>
        <v>0</v>
      </c>
      <c r="F31" s="5"/>
      <c r="G31" s="129" t="str">
        <f>'Internal Service Template'!Q134</f>
        <v/>
      </c>
      <c r="H31" s="5"/>
      <c r="I31" s="129" t="str">
        <f t="shared" si="2"/>
        <v/>
      </c>
      <c r="J31" s="5"/>
      <c r="K31" s="130" t="str">
        <f t="shared" si="1"/>
        <v/>
      </c>
      <c r="L31" s="11"/>
    </row>
    <row r="32" spans="1:12">
      <c r="A32" s="1020" t="s">
        <v>547</v>
      </c>
      <c r="B32" s="1020"/>
      <c r="C32" s="1020"/>
      <c r="D32" s="17"/>
      <c r="E32" s="129">
        <f>'Internal Service Template'!O422</f>
        <v>0</v>
      </c>
      <c r="F32" s="5"/>
      <c r="G32" s="129" t="str">
        <f>'Internal Service Template'!Q140</f>
        <v/>
      </c>
      <c r="H32" s="5"/>
      <c r="I32" s="129" t="str">
        <f t="shared" si="2"/>
        <v/>
      </c>
      <c r="J32" s="5"/>
      <c r="K32" s="130" t="str">
        <f t="shared" si="1"/>
        <v/>
      </c>
      <c r="L32" s="11"/>
    </row>
    <row r="33" spans="1:12">
      <c r="A33" s="1020" t="s">
        <v>548</v>
      </c>
      <c r="B33" s="1020"/>
      <c r="C33" s="1020"/>
      <c r="D33" s="17"/>
      <c r="E33" s="129">
        <f>'Internal Service Template'!O423</f>
        <v>0</v>
      </c>
      <c r="F33" s="5"/>
      <c r="G33" s="129" t="str">
        <f>'Internal Service Template'!Q141</f>
        <v/>
      </c>
      <c r="H33" s="5"/>
      <c r="I33" s="129" t="str">
        <f t="shared" si="2"/>
        <v/>
      </c>
      <c r="J33" s="5"/>
      <c r="K33" s="130" t="str">
        <f t="shared" si="1"/>
        <v/>
      </c>
      <c r="L33" s="11"/>
    </row>
    <row r="34" spans="1:12">
      <c r="A34" s="1020" t="s">
        <v>553</v>
      </c>
      <c r="B34" s="1020"/>
      <c r="C34" s="1020"/>
      <c r="D34" s="17"/>
      <c r="E34" s="129">
        <f>'Internal Service Template'!O424</f>
        <v>0</v>
      </c>
      <c r="F34" s="5"/>
      <c r="G34" s="129" t="str">
        <f>'Internal Service Template'!Q165</f>
        <v/>
      </c>
      <c r="H34" s="5"/>
      <c r="I34" s="129" t="str">
        <f t="shared" si="2"/>
        <v/>
      </c>
      <c r="J34" s="5"/>
      <c r="K34" s="130" t="str">
        <f t="shared" si="1"/>
        <v/>
      </c>
      <c r="L34" s="11"/>
    </row>
    <row r="35" spans="1:12">
      <c r="A35" s="1020" t="s">
        <v>2710</v>
      </c>
      <c r="B35" s="92"/>
      <c r="C35" s="92"/>
      <c r="D35" s="17"/>
      <c r="E35" s="129">
        <f>'Internal Service Template'!O425</f>
        <v>0</v>
      </c>
      <c r="F35" s="5"/>
      <c r="G35" s="129" t="str">
        <f>'Internal Service Template'!Q143</f>
        <v/>
      </c>
      <c r="H35" s="5"/>
      <c r="I35" s="129" t="str">
        <f>IF(ISERR(E35-G35),"",(E35-G35))</f>
        <v/>
      </c>
      <c r="J35" s="5"/>
      <c r="K35" s="130" t="str">
        <f>IF(OR(I35=0,I35=""),"","Answer Required")</f>
        <v/>
      </c>
      <c r="L35" s="11"/>
    </row>
    <row r="36" spans="1:12">
      <c r="A36" s="1020" t="s">
        <v>2709</v>
      </c>
      <c r="B36" s="92"/>
      <c r="C36" s="92"/>
      <c r="D36" s="17"/>
      <c r="E36" s="129">
        <f>'Internal Service Template'!O426</f>
        <v>0</v>
      </c>
      <c r="F36" s="5"/>
      <c r="G36" s="129" t="str">
        <f>'Internal Service Template'!Q167</f>
        <v/>
      </c>
      <c r="H36" s="5"/>
      <c r="I36" s="129" t="str">
        <f>IF(ISERR(E36-G36),"",(E36-G36))</f>
        <v/>
      </c>
      <c r="J36" s="5"/>
      <c r="K36" s="130" t="str">
        <f>IF(OR(I36=0,I36=""),"","Answer Required")</f>
        <v/>
      </c>
      <c r="L36" s="11"/>
    </row>
    <row r="37" spans="1:12">
      <c r="A37" s="24"/>
      <c r="B37" s="24"/>
      <c r="C37" s="24"/>
      <c r="D37" s="17"/>
      <c r="E37" s="5"/>
      <c r="F37" s="5"/>
      <c r="G37" s="5"/>
      <c r="H37" s="5"/>
      <c r="I37" s="5"/>
      <c r="J37" s="5"/>
      <c r="K37" s="608"/>
      <c r="L37" s="11"/>
    </row>
    <row r="38" spans="1:12">
      <c r="A38" s="92" t="s">
        <v>368</v>
      </c>
      <c r="B38" s="92"/>
      <c r="C38" s="92"/>
      <c r="D38" s="17"/>
      <c r="E38" s="129">
        <f>'Internal Service Template'!O428</f>
        <v>0</v>
      </c>
      <c r="F38" s="5"/>
      <c r="G38" s="129" t="str">
        <f>'Internal Service Template'!Q145</f>
        <v/>
      </c>
      <c r="H38" s="5"/>
      <c r="I38" s="129" t="str">
        <f>IF(ISERR(E38-G38),"",(E38-G38))</f>
        <v/>
      </c>
      <c r="J38" s="5"/>
      <c r="K38" s="130" t="str">
        <f>IF(OR(I38=0,I38=""),"","Answer Required")</f>
        <v/>
      </c>
      <c r="L38" s="11"/>
    </row>
    <row r="39" spans="1:12">
      <c r="A39" s="92" t="s">
        <v>52</v>
      </c>
      <c r="B39" s="92"/>
      <c r="C39" s="92"/>
      <c r="D39" s="17"/>
      <c r="E39" s="129">
        <f>'Internal Service Template'!O429</f>
        <v>0</v>
      </c>
      <c r="F39" s="5"/>
      <c r="G39" s="129" t="str">
        <f>'Internal Service Template'!Q146</f>
        <v/>
      </c>
      <c r="H39" s="5"/>
      <c r="I39" s="129" t="str">
        <f>IF(ISERR(E39-G39),"",(E39-G39))</f>
        <v/>
      </c>
      <c r="J39" s="5"/>
      <c r="K39" s="130" t="str">
        <f>IF(OR(I39=0,I39=""),"","Answer Required")</f>
        <v/>
      </c>
      <c r="L39" s="11"/>
    </row>
    <row r="40" spans="1:12">
      <c r="A40" s="92" t="s">
        <v>53</v>
      </c>
      <c r="B40" s="92"/>
      <c r="C40" s="92"/>
      <c r="D40" s="17"/>
      <c r="E40" s="129">
        <f>'Internal Service Template'!O430</f>
        <v>0</v>
      </c>
      <c r="F40" s="5"/>
      <c r="G40" s="129" t="str">
        <f>'Internal Service Template'!Q147</f>
        <v/>
      </c>
      <c r="H40" s="5"/>
      <c r="I40" s="129" t="str">
        <f>IF(ISERR(E40-G40),"",(E40-G40))</f>
        <v/>
      </c>
      <c r="J40" s="5"/>
      <c r="K40" s="130" t="str">
        <f>IF(OR(I40=0,I40=""),"","Answer Required")</f>
        <v/>
      </c>
      <c r="L40" s="11"/>
    </row>
    <row r="41" spans="1:12">
      <c r="A41" s="1392" t="s">
        <v>549</v>
      </c>
      <c r="B41" s="1392"/>
      <c r="C41" s="1392"/>
      <c r="E41" s="762">
        <f>SUM(E38:E40)</f>
        <v>0</v>
      </c>
      <c r="F41" s="5"/>
      <c r="G41" s="762">
        <f>SUM(G38:G40)</f>
        <v>0</v>
      </c>
      <c r="H41" s="5"/>
      <c r="I41" s="762">
        <f>SUM(I38:I40)</f>
        <v>0</v>
      </c>
      <c r="J41" s="5"/>
      <c r="K41" s="608"/>
      <c r="L41" s="11"/>
    </row>
    <row r="42" spans="1:12">
      <c r="A42" s="598"/>
      <c r="B42" s="598"/>
      <c r="C42" s="598"/>
      <c r="E42" s="74"/>
      <c r="F42" s="5"/>
      <c r="G42" s="5"/>
      <c r="H42" s="5"/>
      <c r="I42" s="5"/>
      <c r="J42" s="5"/>
      <c r="K42" s="608"/>
      <c r="L42" s="11"/>
    </row>
    <row r="43" spans="1:12">
      <c r="A43" s="92" t="s">
        <v>368</v>
      </c>
      <c r="B43" s="92"/>
      <c r="C43" s="92"/>
      <c r="D43" s="17"/>
      <c r="E43" s="129">
        <f>'Internal Service Template'!O433</f>
        <v>0</v>
      </c>
      <c r="F43" s="5"/>
      <c r="G43" s="129" t="str">
        <f>'Internal Service Template'!Q169</f>
        <v/>
      </c>
      <c r="H43" s="5"/>
      <c r="I43" s="129" t="str">
        <f>IF(ISERR(E43-G43),"",(E43-G43))</f>
        <v/>
      </c>
      <c r="J43" s="5"/>
      <c r="K43" s="130" t="str">
        <f t="shared" ref="K43:K45" si="3">IF(OR(I43=0,I43=""),"","Answer Required")</f>
        <v/>
      </c>
      <c r="L43" s="11"/>
    </row>
    <row r="44" spans="1:12">
      <c r="A44" s="92" t="s">
        <v>52</v>
      </c>
      <c r="B44" s="92"/>
      <c r="C44" s="92"/>
      <c r="D44" s="17"/>
      <c r="E44" s="129">
        <f>'Internal Service Template'!O434</f>
        <v>0</v>
      </c>
      <c r="F44" s="5"/>
      <c r="G44" s="129" t="str">
        <f>'Internal Service Template'!Q170</f>
        <v/>
      </c>
      <c r="H44" s="5"/>
      <c r="I44" s="129" t="str">
        <f>IF(ISERR(E44-G44),"",(E44-G44))</f>
        <v/>
      </c>
      <c r="J44" s="5"/>
      <c r="K44" s="130" t="str">
        <f t="shared" si="3"/>
        <v/>
      </c>
      <c r="L44" s="11"/>
    </row>
    <row r="45" spans="1:12">
      <c r="A45" s="92" t="s">
        <v>53</v>
      </c>
      <c r="B45" s="92"/>
      <c r="C45" s="92"/>
      <c r="D45" s="17"/>
      <c r="E45" s="129">
        <f>'Internal Service Template'!O435</f>
        <v>0</v>
      </c>
      <c r="F45" s="5"/>
      <c r="G45" s="129" t="str">
        <f>'Internal Service Template'!Q171</f>
        <v/>
      </c>
      <c r="H45" s="5"/>
      <c r="I45" s="129" t="str">
        <f>IF(ISERR(E45-G45),"",(E45-G45))</f>
        <v/>
      </c>
      <c r="J45" s="5"/>
      <c r="K45" s="130" t="str">
        <f t="shared" si="3"/>
        <v/>
      </c>
      <c r="L45" s="11"/>
    </row>
    <row r="46" spans="1:12">
      <c r="A46" s="1392" t="s">
        <v>479</v>
      </c>
      <c r="B46" s="1392"/>
      <c r="C46" s="1392"/>
      <c r="E46" s="762">
        <f>SUM(E43:E45)</f>
        <v>0</v>
      </c>
      <c r="F46" s="5"/>
      <c r="G46" s="762">
        <f>SUM(G43:G45)</f>
        <v>0</v>
      </c>
      <c r="H46" s="5"/>
      <c r="I46" s="762">
        <f>SUM(I43:I45)</f>
        <v>0</v>
      </c>
      <c r="J46" s="5"/>
      <c r="K46" s="608"/>
      <c r="L46" s="11"/>
    </row>
    <row r="47" spans="1:12">
      <c r="A47" s="17"/>
      <c r="B47" s="17"/>
      <c r="C47" s="17"/>
      <c r="D47" s="24"/>
      <c r="E47" s="5"/>
      <c r="F47" s="5"/>
      <c r="G47" s="5"/>
      <c r="H47" s="5"/>
      <c r="I47" s="5"/>
      <c r="J47" s="5"/>
      <c r="K47" s="608"/>
      <c r="L47" s="11"/>
    </row>
    <row r="48" spans="1:12" hidden="1">
      <c r="A48" s="40" t="s">
        <v>626</v>
      </c>
      <c r="B48" s="40"/>
      <c r="C48" s="40"/>
      <c r="D48" s="17"/>
      <c r="E48" s="88"/>
      <c r="F48" s="5"/>
      <c r="G48" s="88"/>
      <c r="H48" s="5"/>
      <c r="I48" s="88">
        <f>E48-G48</f>
        <v>0</v>
      </c>
      <c r="J48" s="5"/>
      <c r="K48" s="1022"/>
      <c r="L48" s="11"/>
    </row>
    <row r="49" spans="1:12" hidden="1">
      <c r="A49" s="40" t="s">
        <v>340</v>
      </c>
      <c r="B49" s="40"/>
      <c r="C49" s="40"/>
      <c r="D49" s="17"/>
      <c r="E49" s="88"/>
      <c r="F49" s="5"/>
      <c r="G49" s="88"/>
      <c r="H49" s="5"/>
      <c r="I49" s="88">
        <f>E49-G49</f>
        <v>0</v>
      </c>
      <c r="J49" s="5"/>
      <c r="K49" s="1021"/>
      <c r="L49" s="11"/>
    </row>
    <row r="50" spans="1:12">
      <c r="A50" s="92" t="s">
        <v>51</v>
      </c>
      <c r="B50" s="92"/>
      <c r="C50" s="92"/>
      <c r="D50" s="17"/>
      <c r="E50" s="129">
        <f>'Internal Service Template'!O440</f>
        <v>0</v>
      </c>
      <c r="F50" s="5"/>
      <c r="G50" s="129" t="str">
        <f>'Internal Service Template'!Q152</f>
        <v/>
      </c>
      <c r="H50" s="5"/>
      <c r="I50" s="129" t="str">
        <f t="shared" ref="I50:I56" si="4">IF(ISERR(E50-G50),"",(E50-G50))</f>
        <v/>
      </c>
      <c r="J50" s="5"/>
      <c r="K50" s="130" t="str">
        <f t="shared" ref="K50:K56" si="5">IF(OR(I50=0,I50=""),"","Answer Required")</f>
        <v/>
      </c>
      <c r="L50" s="11"/>
    </row>
    <row r="51" spans="1:12">
      <c r="A51" s="92" t="s">
        <v>3232</v>
      </c>
      <c r="B51" s="92"/>
      <c r="C51" s="92"/>
      <c r="D51" s="17"/>
      <c r="E51" s="129">
        <f>'Internal Service Template'!O441</f>
        <v>0</v>
      </c>
      <c r="F51" s="5"/>
      <c r="G51" s="129" t="str">
        <f>'Internal Service Template'!Q153</f>
        <v/>
      </c>
      <c r="H51" s="5"/>
      <c r="I51" s="129" t="str">
        <f t="shared" si="4"/>
        <v/>
      </c>
      <c r="J51" s="5"/>
      <c r="K51" s="130" t="str">
        <f t="shared" si="5"/>
        <v/>
      </c>
      <c r="L51" s="11"/>
    </row>
    <row r="52" spans="1:12">
      <c r="A52" s="92" t="s">
        <v>3233</v>
      </c>
      <c r="B52" s="92"/>
      <c r="C52" s="92"/>
      <c r="D52" s="17"/>
      <c r="E52" s="129">
        <f>'Internal Service Template'!O442</f>
        <v>0</v>
      </c>
      <c r="F52" s="5"/>
      <c r="G52" s="129" t="str">
        <f>'Internal Service Template'!Q154</f>
        <v/>
      </c>
      <c r="H52" s="5"/>
      <c r="I52" s="129" t="str">
        <f t="shared" si="4"/>
        <v/>
      </c>
      <c r="J52" s="5"/>
      <c r="K52" s="130" t="str">
        <f t="shared" si="5"/>
        <v/>
      </c>
      <c r="L52" s="11"/>
    </row>
    <row r="53" spans="1:12">
      <c r="A53" s="92" t="s">
        <v>3234</v>
      </c>
      <c r="B53" s="92"/>
      <c r="C53" s="92"/>
      <c r="D53" s="17"/>
      <c r="E53" s="129">
        <f>'Internal Service Template'!O443</f>
        <v>0</v>
      </c>
      <c r="F53" s="5"/>
      <c r="G53" s="129" t="str">
        <f>'Internal Service Template'!Q155</f>
        <v/>
      </c>
      <c r="H53" s="5"/>
      <c r="I53" s="129" t="str">
        <f t="shared" si="4"/>
        <v/>
      </c>
      <c r="J53" s="5"/>
      <c r="K53" s="130" t="str">
        <f t="shared" si="5"/>
        <v/>
      </c>
      <c r="L53" s="11"/>
    </row>
    <row r="54" spans="1:12">
      <c r="A54" s="92" t="s">
        <v>3438</v>
      </c>
      <c r="B54" s="92"/>
      <c r="C54" s="92"/>
      <c r="D54" s="17"/>
      <c r="E54" s="129">
        <f>'Internal Service Template'!O444</f>
        <v>0</v>
      </c>
      <c r="F54" s="5"/>
      <c r="G54" s="129" t="str">
        <f>'Internal Service Template'!Q156</f>
        <v/>
      </c>
      <c r="H54" s="5"/>
      <c r="I54" s="129" t="str">
        <f t="shared" ref="I54" si="6">IF(ISERR(E54-G54),"",(E54-G54))</f>
        <v/>
      </c>
      <c r="J54" s="5"/>
      <c r="K54" s="130" t="str">
        <f t="shared" ref="K54" si="7">IF(OR(I54=0,I54=""),"","Answer Required")</f>
        <v/>
      </c>
      <c r="L54" s="11"/>
    </row>
    <row r="55" spans="1:12">
      <c r="A55" s="92" t="s">
        <v>463</v>
      </c>
      <c r="B55" s="92"/>
      <c r="C55" s="92"/>
      <c r="D55" s="17"/>
      <c r="E55" s="129">
        <f>'Internal Service Template'!O445</f>
        <v>0</v>
      </c>
      <c r="F55" s="5"/>
      <c r="G55" s="129" t="str">
        <f>'Internal Service Template'!Q157</f>
        <v/>
      </c>
      <c r="H55" s="5"/>
      <c r="I55" s="129" t="str">
        <f t="shared" si="4"/>
        <v/>
      </c>
      <c r="J55" s="5"/>
      <c r="K55" s="130" t="str">
        <f t="shared" si="5"/>
        <v/>
      </c>
      <c r="L55" s="11"/>
    </row>
    <row r="56" spans="1:12">
      <c r="A56" s="92" t="s">
        <v>84</v>
      </c>
      <c r="B56" s="92"/>
      <c r="C56" s="92"/>
      <c r="D56" s="17"/>
      <c r="E56" s="129">
        <f>'Internal Service Template'!O446</f>
        <v>0</v>
      </c>
      <c r="F56" s="5"/>
      <c r="G56" s="129" t="str">
        <f>'Internal Service Template'!Q158</f>
        <v/>
      </c>
      <c r="H56" s="5"/>
      <c r="I56" s="129" t="str">
        <f t="shared" si="4"/>
        <v/>
      </c>
      <c r="J56" s="5"/>
      <c r="K56" s="130" t="str">
        <f t="shared" si="5"/>
        <v/>
      </c>
      <c r="L56" s="11"/>
    </row>
    <row r="57" spans="1:12">
      <c r="A57" s="1392" t="s">
        <v>550</v>
      </c>
      <c r="B57" s="1392"/>
      <c r="C57" s="1392"/>
      <c r="D57" s="17"/>
      <c r="E57" s="762">
        <f>SUM(E48:E56)</f>
        <v>0</v>
      </c>
      <c r="F57" s="5"/>
      <c r="G57" s="762">
        <f>SUM(G48:G56)</f>
        <v>0</v>
      </c>
      <c r="H57" s="5"/>
      <c r="I57" s="762">
        <f>SUM(I48:I56)</f>
        <v>0</v>
      </c>
      <c r="J57" s="5"/>
      <c r="K57" s="608"/>
      <c r="L57" s="11"/>
    </row>
    <row r="58" spans="1:12">
      <c r="A58" s="40"/>
      <c r="B58" s="40"/>
      <c r="C58" s="40"/>
      <c r="D58" s="17"/>
      <c r="E58" s="5"/>
      <c r="F58" s="5"/>
      <c r="G58" s="5"/>
      <c r="H58" s="5"/>
      <c r="I58" s="5"/>
      <c r="J58" s="5"/>
      <c r="K58" s="608"/>
      <c r="L58" s="11"/>
    </row>
    <row r="59" spans="1:12" hidden="1">
      <c r="A59" s="40" t="s">
        <v>626</v>
      </c>
      <c r="B59" s="40"/>
      <c r="C59" s="40"/>
      <c r="D59" s="17"/>
      <c r="E59" s="88"/>
      <c r="F59" s="5"/>
      <c r="G59" s="88"/>
      <c r="H59" s="5"/>
      <c r="I59" s="88">
        <f>E59-G59</f>
        <v>0</v>
      </c>
      <c r="J59" s="5"/>
      <c r="K59" s="1022"/>
      <c r="L59" s="11"/>
    </row>
    <row r="60" spans="1:12" hidden="1">
      <c r="A60" s="40" t="s">
        <v>340</v>
      </c>
      <c r="B60" s="40"/>
      <c r="C60" s="40"/>
      <c r="D60" s="17"/>
      <c r="E60" s="88"/>
      <c r="F60" s="5"/>
      <c r="G60" s="88"/>
      <c r="H60" s="5"/>
      <c r="I60" s="88">
        <f>E60-G60</f>
        <v>0</v>
      </c>
      <c r="J60" s="5"/>
      <c r="K60" s="1021"/>
      <c r="L60" s="11"/>
    </row>
    <row r="61" spans="1:12">
      <c r="A61" s="92" t="s">
        <v>51</v>
      </c>
      <c r="B61" s="92"/>
      <c r="C61" s="92"/>
      <c r="D61" s="17"/>
      <c r="E61" s="129">
        <f>'Internal Service Template'!O451</f>
        <v>0</v>
      </c>
      <c r="F61" s="5"/>
      <c r="G61" s="129" t="str">
        <f>'Internal Service Template'!Q176</f>
        <v/>
      </c>
      <c r="H61" s="5"/>
      <c r="I61" s="129" t="str">
        <f t="shared" ref="I61:I69" si="8">IF(ISERR(E61-G61),"",(E61-G61))</f>
        <v/>
      </c>
      <c r="J61" s="5"/>
      <c r="K61" s="130" t="str">
        <f t="shared" ref="K61:K69" si="9">IF(OR(I61=0,I61=""),"","Answer Required")</f>
        <v/>
      </c>
      <c r="L61" s="11"/>
    </row>
    <row r="62" spans="1:12">
      <c r="A62" s="92" t="s">
        <v>3232</v>
      </c>
      <c r="B62" s="92"/>
      <c r="C62" s="92"/>
      <c r="D62" s="17"/>
      <c r="E62" s="129">
        <f>'Internal Service Template'!O452</f>
        <v>0</v>
      </c>
      <c r="F62" s="5"/>
      <c r="G62" s="129" t="str">
        <f>'Internal Service Template'!Q177</f>
        <v/>
      </c>
      <c r="H62" s="5"/>
      <c r="I62" s="129" t="str">
        <f t="shared" si="8"/>
        <v/>
      </c>
      <c r="J62" s="5"/>
      <c r="K62" s="130" t="str">
        <f t="shared" si="9"/>
        <v/>
      </c>
      <c r="L62" s="11"/>
    </row>
    <row r="63" spans="1:12">
      <c r="A63" s="92" t="s">
        <v>3233</v>
      </c>
      <c r="B63" s="92"/>
      <c r="C63" s="92"/>
      <c r="D63" s="17"/>
      <c r="E63" s="129">
        <f>'Internal Service Template'!O453</f>
        <v>0</v>
      </c>
      <c r="F63" s="5"/>
      <c r="G63" s="129" t="str">
        <f>'Internal Service Template'!Q178</f>
        <v/>
      </c>
      <c r="H63" s="5"/>
      <c r="I63" s="129" t="str">
        <f t="shared" si="8"/>
        <v/>
      </c>
      <c r="J63" s="5"/>
      <c r="K63" s="130" t="str">
        <f t="shared" si="9"/>
        <v/>
      </c>
      <c r="L63" s="11"/>
    </row>
    <row r="64" spans="1:12">
      <c r="A64" s="92" t="s">
        <v>3234</v>
      </c>
      <c r="B64" s="92"/>
      <c r="C64" s="92"/>
      <c r="D64" s="17"/>
      <c r="E64" s="129">
        <f>'Internal Service Template'!O454</f>
        <v>0</v>
      </c>
      <c r="F64" s="5"/>
      <c r="G64" s="129" t="str">
        <f>'Internal Service Template'!Q179</f>
        <v/>
      </c>
      <c r="H64" s="5"/>
      <c r="I64" s="129" t="str">
        <f t="shared" si="8"/>
        <v/>
      </c>
      <c r="J64" s="5"/>
      <c r="K64" s="130" t="str">
        <f t="shared" si="9"/>
        <v/>
      </c>
      <c r="L64" s="11"/>
    </row>
    <row r="65" spans="1:12">
      <c r="A65" s="92" t="s">
        <v>3438</v>
      </c>
      <c r="B65" s="92"/>
      <c r="C65" s="92"/>
      <c r="D65" s="17"/>
      <c r="E65" s="129">
        <f>'Internal Service Template'!O455</f>
        <v>0</v>
      </c>
      <c r="F65" s="5"/>
      <c r="G65" s="129" t="str">
        <f>'Internal Service Template'!Q180</f>
        <v/>
      </c>
      <c r="H65" s="5"/>
      <c r="I65" s="129" t="str">
        <f t="shared" ref="I65" si="10">IF(ISERR(E65-G65),"",(E65-G65))</f>
        <v/>
      </c>
      <c r="J65" s="5"/>
      <c r="K65" s="130" t="str">
        <f t="shared" ref="K65" si="11">IF(OR(I65=0,I65=""),"","Answer Required")</f>
        <v/>
      </c>
      <c r="L65" s="11"/>
    </row>
    <row r="66" spans="1:12">
      <c r="A66" s="92" t="s">
        <v>463</v>
      </c>
      <c r="B66" s="92"/>
      <c r="C66" s="92"/>
      <c r="D66" s="17"/>
      <c r="E66" s="129">
        <f>'Internal Service Template'!O456</f>
        <v>0</v>
      </c>
      <c r="F66" s="5"/>
      <c r="G66" s="129" t="str">
        <f>'Internal Service Template'!Q181</f>
        <v/>
      </c>
      <c r="H66" s="5"/>
      <c r="I66" s="129" t="str">
        <f t="shared" si="8"/>
        <v/>
      </c>
      <c r="J66" s="5"/>
      <c r="K66" s="130" t="str">
        <f t="shared" si="9"/>
        <v/>
      </c>
      <c r="L66" s="11"/>
    </row>
    <row r="67" spans="1:12">
      <c r="A67" s="92" t="s">
        <v>84</v>
      </c>
      <c r="B67" s="92"/>
      <c r="C67" s="92"/>
      <c r="D67" s="17"/>
      <c r="E67" s="129">
        <f>'Internal Service Template'!O457</f>
        <v>0</v>
      </c>
      <c r="F67" s="5"/>
      <c r="G67" s="129" t="str">
        <f>'Internal Service Template'!Q182</f>
        <v/>
      </c>
      <c r="H67" s="5"/>
      <c r="I67" s="129" t="str">
        <f t="shared" si="8"/>
        <v/>
      </c>
      <c r="J67" s="5"/>
      <c r="K67" s="130" t="str">
        <f t="shared" si="9"/>
        <v/>
      </c>
      <c r="L67" s="11"/>
    </row>
    <row r="68" spans="1:12">
      <c r="A68" s="92" t="s">
        <v>818</v>
      </c>
      <c r="B68" s="92"/>
      <c r="C68" s="92"/>
      <c r="D68" s="17"/>
      <c r="E68" s="129">
        <f>'Internal Service Template'!O458</f>
        <v>0</v>
      </c>
      <c r="F68" s="5"/>
      <c r="G68" s="129" t="str">
        <f>'Internal Service Template'!Q183</f>
        <v/>
      </c>
      <c r="H68" s="5"/>
      <c r="I68" s="129" t="str">
        <f t="shared" si="8"/>
        <v/>
      </c>
      <c r="J68" s="5"/>
      <c r="K68" s="1021" t="str">
        <f t="shared" si="9"/>
        <v/>
      </c>
      <c r="L68" s="11"/>
    </row>
    <row r="69" spans="1:12" ht="25.5" customHeight="1">
      <c r="A69" s="1299" t="s">
        <v>275</v>
      </c>
      <c r="B69" s="1299"/>
      <c r="C69" s="92"/>
      <c r="D69" s="17"/>
      <c r="E69" s="129">
        <f>'Internal Service Template'!O459</f>
        <v>0</v>
      </c>
      <c r="F69" s="5"/>
      <c r="G69" s="129" t="str">
        <f>'Internal Service Template'!Q184</f>
        <v/>
      </c>
      <c r="H69" s="5"/>
      <c r="I69" s="129" t="str">
        <f t="shared" si="8"/>
        <v/>
      </c>
      <c r="J69" s="5"/>
      <c r="K69" s="1021" t="str">
        <f t="shared" si="9"/>
        <v/>
      </c>
      <c r="L69" s="11"/>
    </row>
    <row r="70" spans="1:12">
      <c r="A70" s="1392" t="s">
        <v>480</v>
      </c>
      <c r="B70" s="1392"/>
      <c r="C70" s="1392"/>
      <c r="D70" s="17"/>
      <c r="E70" s="762">
        <f>SUM(E59:E69)</f>
        <v>0</v>
      </c>
      <c r="F70" s="5"/>
      <c r="G70" s="762">
        <f>SUM(G59:G69)</f>
        <v>0</v>
      </c>
      <c r="H70" s="5"/>
      <c r="I70" s="762">
        <f>SUM(I59:I69)</f>
        <v>0</v>
      </c>
      <c r="J70" s="5"/>
      <c r="K70" s="608"/>
      <c r="L70" s="11"/>
    </row>
    <row r="72" spans="1:12">
      <c r="A72" s="40" t="s">
        <v>834</v>
      </c>
      <c r="E72" s="129">
        <f>'Internal Service Template'!O463</f>
        <v>0</v>
      </c>
      <c r="G72" s="129">
        <f>'Internal Service Template'!Q99</f>
        <v>0</v>
      </c>
      <c r="I72" s="129">
        <f t="shared" ref="I72:I73" si="12">IF(ISERR(E72-G72),"",(E72-G72))</f>
        <v>0</v>
      </c>
      <c r="K72" s="130" t="str">
        <f t="shared" ref="K72:K73" si="13">IF(OR(I72=0,I72=""),"","Answer Required")</f>
        <v/>
      </c>
    </row>
    <row r="73" spans="1:12">
      <c r="A73" s="40" t="s">
        <v>836</v>
      </c>
      <c r="E73" s="129">
        <f>'Internal Service Template'!O464</f>
        <v>0</v>
      </c>
      <c r="G73" s="129">
        <f>'Internal Service Template'!Q191</f>
        <v>0</v>
      </c>
      <c r="I73" s="129">
        <f t="shared" si="12"/>
        <v>0</v>
      </c>
      <c r="K73" s="130" t="str">
        <f t="shared" si="13"/>
        <v/>
      </c>
    </row>
    <row r="74" spans="1:12" hidden="1">
      <c r="A74" s="1392"/>
      <c r="B74" s="1392"/>
      <c r="C74" s="1392"/>
      <c r="E74" s="762"/>
      <c r="G74" s="762"/>
      <c r="I74" s="762"/>
    </row>
    <row r="77" spans="1:12">
      <c r="A77" s="13" t="s">
        <v>416</v>
      </c>
      <c r="B77" s="13"/>
      <c r="C77" s="13"/>
    </row>
    <row r="79" spans="1:12" ht="42.75" customHeight="1">
      <c r="A79" s="564" t="s">
        <v>498</v>
      </c>
      <c r="B79" s="1389" t="s">
        <v>502</v>
      </c>
      <c r="C79" s="1165"/>
      <c r="D79" s="1165"/>
      <c r="E79" s="129">
        <f>-'Internal Service Template'!O356</f>
        <v>0</v>
      </c>
      <c r="F79" s="11" t="s">
        <v>501</v>
      </c>
    </row>
    <row r="80" spans="1:12" ht="30.75" customHeight="1">
      <c r="B80" s="1389" t="s">
        <v>503</v>
      </c>
      <c r="C80" s="1165"/>
      <c r="D80" s="1165"/>
      <c r="E80" s="129">
        <f>'Internal Service Template'!O473</f>
        <v>0</v>
      </c>
      <c r="F80" s="11" t="s">
        <v>501</v>
      </c>
    </row>
    <row r="81" spans="1:6" ht="31.5" customHeight="1">
      <c r="B81" s="1389" t="s">
        <v>3214</v>
      </c>
      <c r="C81" s="1390"/>
      <c r="D81" s="1390"/>
      <c r="E81" s="129">
        <f>'Internal Service Template'!O474</f>
        <v>0</v>
      </c>
      <c r="F81" s="11" t="s">
        <v>501</v>
      </c>
    </row>
    <row r="82" spans="1:6" ht="31.5" customHeight="1">
      <c r="B82" s="1389" t="s">
        <v>3235</v>
      </c>
      <c r="C82" s="1390"/>
      <c r="D82" s="1390"/>
      <c r="E82" s="129">
        <f>'Internal Service Template'!O475</f>
        <v>0</v>
      </c>
      <c r="F82" s="11" t="s">
        <v>501</v>
      </c>
    </row>
    <row r="83" spans="1:6" ht="31.5" customHeight="1">
      <c r="B83" s="1389" t="s">
        <v>3439</v>
      </c>
      <c r="C83" s="1390"/>
      <c r="D83" s="1390"/>
      <c r="E83" s="129">
        <f>'Internal Service Template'!O476</f>
        <v>0</v>
      </c>
      <c r="F83" s="11" t="s">
        <v>501</v>
      </c>
    </row>
    <row r="84" spans="1:6" ht="30.75" customHeight="1">
      <c r="B84" s="1391" t="s">
        <v>504</v>
      </c>
      <c r="C84" s="1391"/>
      <c r="D84" s="1391"/>
      <c r="E84" s="129">
        <f>'Internal Service Template'!O477</f>
        <v>0</v>
      </c>
      <c r="F84" s="11" t="s">
        <v>501</v>
      </c>
    </row>
    <row r="85" spans="1:6" ht="32.25" customHeight="1">
      <c r="B85" s="1389" t="s">
        <v>418</v>
      </c>
      <c r="C85" s="1389"/>
      <c r="D85" s="1389"/>
      <c r="E85" s="129">
        <f>'Internal Service Template'!O479</f>
        <v>0</v>
      </c>
      <c r="F85" s="11" t="s">
        <v>501</v>
      </c>
    </row>
    <row r="86" spans="1:6" ht="19.5" customHeight="1">
      <c r="B86" s="1394" t="s">
        <v>652</v>
      </c>
      <c r="C86" s="1070"/>
      <c r="D86" s="1071"/>
      <c r="E86" s="129">
        <f>SUM(E79:E85)</f>
        <v>0</v>
      </c>
    </row>
    <row r="87" spans="1:6">
      <c r="E87" s="74"/>
    </row>
    <row r="88" spans="1:6" ht="38.25" customHeight="1">
      <c r="A88" s="564" t="s">
        <v>499</v>
      </c>
      <c r="B88" s="1389" t="s">
        <v>3440</v>
      </c>
      <c r="C88" s="1389"/>
      <c r="D88" s="1389"/>
      <c r="E88" s="129">
        <f>'Tab 3-Capital Assets'!G45+'Tab 3-Capital Assets'!G22</f>
        <v>0</v>
      </c>
      <c r="F88" s="11" t="s">
        <v>501</v>
      </c>
    </row>
    <row r="89" spans="1:6">
      <c r="B89" s="75"/>
      <c r="C89" s="75"/>
      <c r="D89" s="75"/>
      <c r="E89" s="74"/>
    </row>
    <row r="90" spans="1:6" ht="18.75" customHeight="1">
      <c r="B90" s="1394" t="s">
        <v>72</v>
      </c>
      <c r="C90" s="1070"/>
      <c r="D90" s="1071"/>
      <c r="E90" s="1023">
        <f>E86-E88</f>
        <v>0</v>
      </c>
    </row>
    <row r="92" spans="1:6" hidden="1"/>
    <row r="93" spans="1:6">
      <c r="A93" s="732" t="s">
        <v>419</v>
      </c>
      <c r="B93" s="732"/>
      <c r="C93" s="732"/>
    </row>
    <row r="94" spans="1:6">
      <c r="A94" s="1378" t="str">
        <f>IF((E90=0),"N/A","Answer Required")</f>
        <v>N/A</v>
      </c>
      <c r="B94" s="1379"/>
      <c r="C94" s="1379"/>
      <c r="D94" s="1379"/>
      <c r="E94" s="1380"/>
    </row>
    <row r="95" spans="1:6">
      <c r="A95" s="1381"/>
      <c r="B95" s="1382"/>
      <c r="C95" s="1382"/>
      <c r="D95" s="1382"/>
      <c r="E95" s="1383"/>
    </row>
    <row r="96" spans="1:6">
      <c r="A96" s="1381"/>
      <c r="B96" s="1382"/>
      <c r="C96" s="1382"/>
      <c r="D96" s="1382"/>
      <c r="E96" s="1383"/>
    </row>
    <row r="97" spans="1:6">
      <c r="A97" s="1381"/>
      <c r="B97" s="1382"/>
      <c r="C97" s="1382"/>
      <c r="D97" s="1382"/>
      <c r="E97" s="1383"/>
    </row>
    <row r="98" spans="1:6">
      <c r="A98" s="1381"/>
      <c r="B98" s="1382"/>
      <c r="C98" s="1382"/>
      <c r="D98" s="1382"/>
      <c r="E98" s="1383"/>
    </row>
    <row r="99" spans="1:6">
      <c r="A99" s="1381"/>
      <c r="B99" s="1382"/>
      <c r="C99" s="1382"/>
      <c r="D99" s="1382"/>
      <c r="E99" s="1383"/>
    </row>
    <row r="100" spans="1:6">
      <c r="A100" s="1384"/>
      <c r="B100" s="1385"/>
      <c r="C100" s="1385"/>
      <c r="D100" s="1385"/>
      <c r="E100" s="1386"/>
    </row>
    <row r="102" spans="1:6" hidden="1"/>
    <row r="103" spans="1:6">
      <c r="A103" s="13" t="s">
        <v>417</v>
      </c>
      <c r="B103" s="13"/>
      <c r="C103" s="13"/>
    </row>
    <row r="105" spans="1:6" ht="66.75" customHeight="1">
      <c r="A105" s="564" t="s">
        <v>498</v>
      </c>
      <c r="B105" s="1389" t="s">
        <v>3441</v>
      </c>
      <c r="C105" s="1393"/>
      <c r="D105" s="1393"/>
      <c r="E105" s="129">
        <f>-'Internal Service Template'!O357</f>
        <v>0</v>
      </c>
      <c r="F105" s="11" t="s">
        <v>501</v>
      </c>
    </row>
    <row r="106" spans="1:6" ht="23.25" customHeight="1">
      <c r="A106" s="564" t="s">
        <v>712</v>
      </c>
      <c r="B106" s="1389" t="s">
        <v>646</v>
      </c>
      <c r="C106" s="1165"/>
      <c r="D106" s="1165"/>
      <c r="E106" s="129">
        <f>'Internal Service Template'!O145</f>
        <v>0</v>
      </c>
      <c r="F106" s="11" t="s">
        <v>501</v>
      </c>
    </row>
    <row r="107" spans="1:6">
      <c r="B107" s="1389" t="s">
        <v>652</v>
      </c>
      <c r="C107" s="1165"/>
      <c r="D107" s="1165"/>
      <c r="E107" s="129">
        <f>SUM(E105:E106)</f>
        <v>0</v>
      </c>
    </row>
    <row r="108" spans="1:6">
      <c r="E108" s="74"/>
    </row>
    <row r="109" spans="1:6" ht="54" customHeight="1">
      <c r="A109" s="564" t="s">
        <v>500</v>
      </c>
      <c r="B109" s="1389" t="s">
        <v>3442</v>
      </c>
      <c r="C109" s="1393"/>
      <c r="D109" s="1393"/>
      <c r="E109" s="129">
        <f>-('Tab 5-LT Liabilities'!D19+'Tab 5-LT Liabilities'!D20+'Tab 5-LT Liabilities'!D23+'Tab 5-LT Liabilities'!D21+'Tab 5-LT Liabilities'!D22)</f>
        <v>0</v>
      </c>
      <c r="F109" s="11" t="s">
        <v>501</v>
      </c>
    </row>
    <row r="110" spans="1:6" ht="26.4">
      <c r="A110" s="1024" t="s">
        <v>726</v>
      </c>
      <c r="B110" s="1389" t="s">
        <v>57</v>
      </c>
      <c r="C110" s="1165"/>
      <c r="D110" s="1165"/>
      <c r="E110" s="129">
        <f>-'Internal Service Template'!O278</f>
        <v>0</v>
      </c>
      <c r="F110" s="11" t="s">
        <v>501</v>
      </c>
    </row>
    <row r="111" spans="1:6" ht="18.75" customHeight="1">
      <c r="B111" s="1389" t="s">
        <v>652</v>
      </c>
      <c r="C111" s="1165"/>
      <c r="D111" s="1165"/>
      <c r="E111" s="129">
        <f>SUM(E109:E110)</f>
        <v>0</v>
      </c>
    </row>
    <row r="112" spans="1:6" ht="18.75" customHeight="1">
      <c r="C112" s="75"/>
      <c r="E112" s="74"/>
    </row>
    <row r="113" spans="1:5" ht="21" customHeight="1">
      <c r="B113" s="1389" t="s">
        <v>72</v>
      </c>
      <c r="C113" s="1165"/>
      <c r="D113" s="1165"/>
      <c r="E113" s="1023">
        <f>E107-E111</f>
        <v>0</v>
      </c>
    </row>
    <row r="114" spans="1:5">
      <c r="E114" s="74"/>
    </row>
    <row r="115" spans="1:5" hidden="1"/>
    <row r="116" spans="1:5">
      <c r="A116" s="732" t="s">
        <v>419</v>
      </c>
      <c r="B116" s="732"/>
      <c r="C116" s="732"/>
    </row>
    <row r="117" spans="1:5">
      <c r="A117" s="1378" t="str">
        <f>IF((E113=0),"N/A","Answer Required")</f>
        <v>N/A</v>
      </c>
      <c r="B117" s="1379"/>
      <c r="C117" s="1379"/>
      <c r="D117" s="1379"/>
      <c r="E117" s="1380"/>
    </row>
    <row r="118" spans="1:5">
      <c r="A118" s="1381"/>
      <c r="B118" s="1382"/>
      <c r="C118" s="1382"/>
      <c r="D118" s="1382"/>
      <c r="E118" s="1383"/>
    </row>
    <row r="119" spans="1:5">
      <c r="A119" s="1381"/>
      <c r="B119" s="1382"/>
      <c r="C119" s="1382"/>
      <c r="D119" s="1382"/>
      <c r="E119" s="1383"/>
    </row>
    <row r="120" spans="1:5">
      <c r="A120" s="1381"/>
      <c r="B120" s="1382"/>
      <c r="C120" s="1382"/>
      <c r="D120" s="1382"/>
      <c r="E120" s="1383"/>
    </row>
    <row r="121" spans="1:5">
      <c r="A121" s="1381"/>
      <c r="B121" s="1382"/>
      <c r="C121" s="1382"/>
      <c r="D121" s="1382"/>
      <c r="E121" s="1383"/>
    </row>
    <row r="122" spans="1:5">
      <c r="A122" s="1381"/>
      <c r="B122" s="1382"/>
      <c r="C122" s="1382"/>
      <c r="D122" s="1382"/>
      <c r="E122" s="1383"/>
    </row>
    <row r="123" spans="1:5">
      <c r="A123" s="1384"/>
      <c r="B123" s="1385"/>
      <c r="C123" s="1385"/>
      <c r="D123" s="1385"/>
      <c r="E123" s="1386"/>
    </row>
    <row r="128" spans="1:5">
      <c r="A128" s="75"/>
      <c r="B128" s="75"/>
      <c r="C128" s="75"/>
    </row>
    <row r="129" spans="1:3">
      <c r="A129" s="75"/>
      <c r="B129" s="75"/>
      <c r="C129" s="75"/>
    </row>
    <row r="131" spans="1:3">
      <c r="A131" s="75"/>
      <c r="B131" s="75"/>
      <c r="C131" s="75"/>
    </row>
  </sheetData>
  <customSheetViews>
    <customSheetView guid="{5CCA66B6-9DBD-4F43-8EC0-0C18444D6068}" scale="85" showGridLines="0" hiddenRows="1" showRuler="0">
      <selection activeCell="E63" sqref="E63"/>
      <rowBreaks count="1" manualBreakCount="1">
        <brk id="67" max="9" man="1"/>
      </rowBreaks>
      <pageMargins left="0.75" right="0.75" top="0.56999999999999995" bottom="0.37" header="0.19" footer="0.17"/>
      <pageSetup scale="50" orientation="landscape"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36">
    <mergeCell ref="B1:E1"/>
    <mergeCell ref="B2:E2"/>
    <mergeCell ref="B3:E3"/>
    <mergeCell ref="B79:D79"/>
    <mergeCell ref="B4:E4"/>
    <mergeCell ref="B5:E5"/>
    <mergeCell ref="B6:E6"/>
    <mergeCell ref="B7:E7"/>
    <mergeCell ref="A46:C46"/>
    <mergeCell ref="A41:C41"/>
    <mergeCell ref="A69:B69"/>
    <mergeCell ref="A74:C74"/>
    <mergeCell ref="K15:K16"/>
    <mergeCell ref="B90:D90"/>
    <mergeCell ref="B105:D105"/>
    <mergeCell ref="B86:D86"/>
    <mergeCell ref="B88:D88"/>
    <mergeCell ref="A94:E100"/>
    <mergeCell ref="I15:I16"/>
    <mergeCell ref="B83:D83"/>
    <mergeCell ref="A117:E123"/>
    <mergeCell ref="E15:E16"/>
    <mergeCell ref="G15:G16"/>
    <mergeCell ref="B80:D80"/>
    <mergeCell ref="B81:D81"/>
    <mergeCell ref="B84:D84"/>
    <mergeCell ref="B85:D85"/>
    <mergeCell ref="A57:C57"/>
    <mergeCell ref="A70:C70"/>
    <mergeCell ref="B111:D111"/>
    <mergeCell ref="B113:D113"/>
    <mergeCell ref="B106:D106"/>
    <mergeCell ref="B110:D110"/>
    <mergeCell ref="B109:D109"/>
    <mergeCell ref="B107:D107"/>
    <mergeCell ref="B82:D82"/>
  </mergeCells>
  <phoneticPr fontId="46" type="noConversion"/>
  <conditionalFormatting sqref="A94:E100">
    <cfRule type="cellIs" dxfId="16" priority="2" operator="equal">
      <formula>"Answer Required"</formula>
    </cfRule>
  </conditionalFormatting>
  <conditionalFormatting sqref="A117:E123">
    <cfRule type="cellIs" dxfId="15" priority="1" operator="equal">
      <formula>"Answer Required"</formula>
    </cfRule>
  </conditionalFormatting>
  <conditionalFormatting sqref="K18:K36 K38:K40 K43:K45">
    <cfRule type="containsText" dxfId="14" priority="10" operator="containsText" text="Answer Required">
      <formula>NOT(ISERROR(SEARCH("Answer Required",K18)))</formula>
    </cfRule>
  </conditionalFormatting>
  <conditionalFormatting sqref="K50:K56">
    <cfRule type="containsText" dxfId="13" priority="4" operator="containsText" text="Answer Required">
      <formula>NOT(ISERROR(SEARCH("Answer Required",K50)))</formula>
    </cfRule>
  </conditionalFormatting>
  <conditionalFormatting sqref="K61:K69">
    <cfRule type="containsText" dxfId="12" priority="3" operator="containsText" text="Answer Required">
      <formula>NOT(ISERROR(SEARCH("Answer Required",K61)))</formula>
    </cfRule>
  </conditionalFormatting>
  <conditionalFormatting sqref="K72:K73">
    <cfRule type="containsText" dxfId="11" priority="5" operator="containsText" text="Answer Required">
      <formula>NOT(ISERROR(SEARCH("Answer Required",K72)))</formula>
    </cfRule>
  </conditionalFormatting>
  <dataValidations xWindow="146" yWindow="303" count="3">
    <dataValidation type="whole" allowBlank="1" showInputMessage="1" showErrorMessage="1" error="Enter a whole number_x000a_" sqref="E72:E73 H43:H45 H48:H56 E38:F40 H38:H40 J38:J40 J18:J36 J43:J45 E18:F36 E43:F45 H18:H36 J48:J56 E48:F56 E59:F69 H59:H69 J59:J69" xr:uid="{00000000-0002-0000-1300-000000000000}">
      <formula1>-9999999999999990000</formula1>
      <formula2>99999999999999900000</formula2>
    </dataValidation>
    <dataValidation type="whole" allowBlank="1" showErrorMessage="1" prompt="_x000a__x000a_" sqref="E46:F47 J57:J58 H57:H58 H37 H41:H42 H46:H47 J46:J47 E41:F42 E37:F37 J41:J42 E57:F58 J37" xr:uid="{00000000-0002-0000-1300-000001000000}">
      <formula1>-999999999999999000</formula1>
      <formula2>9999999999999990000</formula2>
    </dataValidation>
    <dataValidation allowBlank="1" showErrorMessage="1" sqref="E70:F70 J70 H70 E74" xr:uid="{00000000-0002-0000-1300-000002000000}"/>
  </dataValidations>
  <pageMargins left="0.5" right="0.25" top="0.56999999999999995" bottom="0.37" header="0.19" footer="0.17"/>
  <pageSetup scale="55" orientation="landscape"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1" manualBreakCount="1">
    <brk id="75" max="10" man="1"/>
  </rowBreaks>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pageSetUpPr fitToPage="1"/>
  </sheetPr>
  <dimension ref="A2:R60"/>
  <sheetViews>
    <sheetView showGridLines="0" zoomScaleNormal="100" zoomScaleSheetLayoutView="100" workbookViewId="0">
      <selection activeCell="C3" sqref="C3:G3"/>
    </sheetView>
  </sheetViews>
  <sheetFormatPr defaultColWidth="8.88671875" defaultRowHeight="13.2"/>
  <cols>
    <col min="1" max="1" width="6" style="147" customWidth="1"/>
    <col min="2" max="2" width="15.5546875" style="147" customWidth="1"/>
    <col min="3" max="3" width="28.33203125" style="147" customWidth="1"/>
    <col min="4" max="5" width="5.109375" style="147" customWidth="1"/>
    <col min="6" max="6" width="5.109375" style="147" bestFit="1" customWidth="1"/>
    <col min="7" max="7" width="13.33203125" style="147" customWidth="1"/>
    <col min="8" max="8" width="2.109375" style="147" customWidth="1"/>
    <col min="9" max="9" width="13.88671875" style="147" customWidth="1"/>
    <col min="10" max="10" width="5" style="147" customWidth="1"/>
    <col min="11" max="11" width="5.6640625" style="147" customWidth="1"/>
    <col min="12" max="12" width="17" style="147" customWidth="1"/>
    <col min="13" max="13" width="1.88671875" style="147" customWidth="1"/>
    <col min="14" max="14" width="2.109375" style="147" customWidth="1"/>
    <col min="15" max="15" width="9.109375" style="147" customWidth="1"/>
    <col min="16" max="16" width="1.33203125" style="147" customWidth="1"/>
    <col min="17" max="17" width="0" style="147" hidden="1" customWidth="1"/>
    <col min="18" max="18" width="8.88671875" style="147" hidden="1" customWidth="1"/>
    <col min="19" max="19" width="0" style="147" hidden="1" customWidth="1"/>
    <col min="20" max="16384" width="8.88671875" style="147"/>
  </cols>
  <sheetData>
    <row r="2" spans="1:18" hidden="1"/>
    <row r="3" spans="1:18">
      <c r="A3" s="1025" t="str">
        <f>'Internal Service Template'!A1:D1</f>
        <v>Agency Number:</v>
      </c>
      <c r="C3" s="1370" t="str">
        <f>IF('Internal Service Template'!E1="","",'Internal Service Template'!E1)</f>
        <v/>
      </c>
      <c r="D3" s="1371"/>
      <c r="E3" s="1371"/>
      <c r="F3" s="1371"/>
      <c r="G3" s="1419"/>
    </row>
    <row r="4" spans="1:18">
      <c r="A4" s="1025" t="str">
        <f>'Internal Service Template'!A2:D2</f>
        <v>Agency Fund Name:</v>
      </c>
      <c r="C4" s="1370" t="str">
        <f>IF('Internal Service Template'!E2="","",'Internal Service Template'!E2)</f>
        <v/>
      </c>
      <c r="D4" s="1371"/>
      <c r="E4" s="1371"/>
      <c r="F4" s="1371"/>
      <c r="G4" s="1419"/>
    </row>
    <row r="5" spans="1:18" s="708" customFormat="1" ht="12.6" customHeight="1">
      <c r="A5" s="1026" t="str">
        <f>'Internal Service Template'!A7:D7</f>
        <v>Fund Number:</v>
      </c>
      <c r="B5" s="1027"/>
      <c r="C5" s="1370" t="str">
        <f>IF('Internal Service Template'!E7="","",'Internal Service Template'!E7)</f>
        <v/>
      </c>
      <c r="D5" s="1371"/>
      <c r="E5" s="1371"/>
      <c r="F5" s="1371"/>
      <c r="G5" s="1419"/>
      <c r="H5" s="1028"/>
      <c r="I5" s="1028"/>
      <c r="J5" s="1028"/>
      <c r="K5" s="1028"/>
    </row>
    <row r="6" spans="1:18" s="708" customFormat="1" ht="12.6" customHeight="1">
      <c r="A6" s="1026"/>
      <c r="B6" s="1027"/>
      <c r="C6" s="1029"/>
      <c r="D6" s="1029"/>
      <c r="E6" s="1029"/>
      <c r="F6" s="1029"/>
      <c r="G6" s="1029"/>
      <c r="H6" s="1028"/>
      <c r="I6" s="1028"/>
      <c r="J6" s="1028"/>
      <c r="K6" s="1028"/>
    </row>
    <row r="7" spans="1:18" s="1030" customFormat="1">
      <c r="A7" s="1025"/>
    </row>
    <row r="8" spans="1:18" s="1030" customFormat="1" hidden="1">
      <c r="A8" s="1025"/>
    </row>
    <row r="9" spans="1:18" ht="10.5" customHeight="1">
      <c r="A9" s="1402" t="s">
        <v>795</v>
      </c>
      <c r="B9" s="1402"/>
      <c r="C9" s="1402"/>
      <c r="D9" s="1402"/>
      <c r="E9" s="1402"/>
      <c r="F9" s="1402"/>
      <c r="G9" s="1402"/>
      <c r="H9" s="1402"/>
      <c r="I9" s="1402"/>
      <c r="J9" s="1402"/>
      <c r="K9" s="1402"/>
      <c r="L9" s="1402"/>
      <c r="M9" s="1402"/>
    </row>
    <row r="10" spans="1:18">
      <c r="A10" s="1402" t="s">
        <v>830</v>
      </c>
      <c r="B10" s="1402"/>
      <c r="C10" s="1402"/>
      <c r="D10" s="1402"/>
      <c r="E10" s="1402"/>
      <c r="F10" s="1402"/>
      <c r="G10" s="1402"/>
      <c r="H10" s="1402"/>
      <c r="I10" s="1402"/>
      <c r="J10" s="1402"/>
      <c r="K10" s="1402"/>
      <c r="L10" s="1402"/>
      <c r="M10" s="1402"/>
      <c r="R10" s="147" t="s">
        <v>260</v>
      </c>
    </row>
    <row r="11" spans="1:18">
      <c r="A11" s="1031"/>
      <c r="B11" s="11"/>
      <c r="C11" s="11"/>
      <c r="D11" s="11"/>
      <c r="E11" s="11"/>
      <c r="F11" s="11"/>
      <c r="G11" s="11"/>
      <c r="H11" s="11"/>
      <c r="I11" s="11"/>
      <c r="J11" s="11"/>
      <c r="R11" s="147" t="s">
        <v>261</v>
      </c>
    </row>
    <row r="12" spans="1:18" ht="30.75" customHeight="1">
      <c r="A12" s="1032" t="s">
        <v>739</v>
      </c>
      <c r="B12" s="252" t="s">
        <v>751</v>
      </c>
      <c r="C12" s="1415" t="s">
        <v>752</v>
      </c>
      <c r="D12" s="1416"/>
      <c r="E12" s="1416"/>
      <c r="F12" s="1416"/>
      <c r="G12" s="1416"/>
      <c r="H12" s="1416"/>
      <c r="I12" s="1416"/>
      <c r="J12" s="1416"/>
      <c r="K12" s="1416"/>
      <c r="L12" s="1416"/>
      <c r="M12" s="1416"/>
      <c r="R12" s="147" t="s">
        <v>262</v>
      </c>
    </row>
    <row r="13" spans="1:18">
      <c r="A13" s="1032"/>
      <c r="B13" s="1004"/>
      <c r="C13" s="1033"/>
      <c r="D13" s="11"/>
      <c r="E13" s="11"/>
      <c r="F13" s="11"/>
      <c r="G13" s="11"/>
      <c r="H13" s="11"/>
      <c r="I13" s="11"/>
      <c r="J13" s="11"/>
    </row>
    <row r="14" spans="1:18" ht="12.75" hidden="1" customHeight="1">
      <c r="A14" s="1032" t="s">
        <v>740</v>
      </c>
      <c r="B14" s="815" t="s">
        <v>751</v>
      </c>
      <c r="C14" s="1415"/>
      <c r="D14" s="1416"/>
      <c r="E14" s="1416"/>
      <c r="F14" s="1416"/>
      <c r="G14" s="1416"/>
      <c r="H14" s="1416"/>
      <c r="I14" s="1416"/>
      <c r="J14" s="1416"/>
      <c r="K14" s="1416"/>
      <c r="L14" s="1416"/>
      <c r="M14" s="1416"/>
    </row>
    <row r="15" spans="1:18" hidden="1">
      <c r="A15" s="1032"/>
      <c r="B15" s="1004"/>
      <c r="C15" s="1033"/>
      <c r="D15" s="11"/>
      <c r="E15" s="11"/>
      <c r="F15" s="11"/>
      <c r="G15" s="11"/>
      <c r="H15" s="11"/>
      <c r="I15" s="11"/>
      <c r="J15" s="11"/>
    </row>
    <row r="16" spans="1:18">
      <c r="A16" s="1032" t="s">
        <v>740</v>
      </c>
      <c r="B16" s="252" t="s">
        <v>751</v>
      </c>
      <c r="C16" s="1420" t="s">
        <v>746</v>
      </c>
      <c r="D16" s="1421"/>
      <c r="E16" s="1421"/>
      <c r="F16" s="1421"/>
      <c r="G16" s="1421"/>
      <c r="H16" s="1421"/>
      <c r="I16" s="1421"/>
      <c r="J16" s="1421"/>
      <c r="K16" s="1421"/>
      <c r="L16" s="1421"/>
      <c r="M16" s="1422"/>
    </row>
    <row r="17" spans="1:13">
      <c r="A17" s="1032"/>
      <c r="B17" s="1004"/>
      <c r="C17" s="1094" t="s">
        <v>741</v>
      </c>
      <c r="D17" s="1095"/>
      <c r="E17" s="1095"/>
      <c r="F17" s="1095"/>
      <c r="G17" s="1095"/>
      <c r="H17" s="1095"/>
      <c r="I17" s="1095"/>
      <c r="J17" s="1095"/>
      <c r="K17" s="1095"/>
      <c r="L17" s="1095"/>
      <c r="M17" s="1096"/>
    </row>
    <row r="18" spans="1:13" ht="27.6" customHeight="1">
      <c r="A18" s="1032"/>
      <c r="B18" s="1004"/>
      <c r="C18" s="1097" t="s">
        <v>753</v>
      </c>
      <c r="D18" s="1098"/>
      <c r="E18" s="1098"/>
      <c r="F18" s="1098"/>
      <c r="G18" s="1098"/>
      <c r="H18" s="1098"/>
      <c r="I18" s="1098"/>
      <c r="J18" s="1098"/>
      <c r="K18" s="1098"/>
      <c r="L18" s="1098"/>
      <c r="M18" s="1099"/>
    </row>
    <row r="19" spans="1:13">
      <c r="A19" s="207"/>
      <c r="B19" s="11"/>
      <c r="C19" s="11"/>
      <c r="D19" s="11"/>
      <c r="E19" s="11"/>
      <c r="F19" s="11"/>
      <c r="G19" s="11"/>
      <c r="H19" s="11"/>
      <c r="I19" s="11"/>
      <c r="J19" s="11"/>
    </row>
    <row r="20" spans="1:13" ht="12.75" hidden="1" customHeight="1">
      <c r="A20" s="1032" t="s">
        <v>743</v>
      </c>
      <c r="B20" s="815" t="s">
        <v>751</v>
      </c>
      <c r="C20" s="1409"/>
      <c r="D20" s="1410"/>
      <c r="E20" s="1410"/>
      <c r="F20" s="1410"/>
      <c r="G20" s="1410"/>
      <c r="H20" s="1410"/>
      <c r="I20" s="1410"/>
      <c r="J20" s="1410"/>
      <c r="K20" s="1410"/>
      <c r="L20" s="1410"/>
      <c r="M20" s="1411"/>
    </row>
    <row r="21" spans="1:13" hidden="1">
      <c r="A21" s="1032"/>
      <c r="B21" s="1004"/>
      <c r="C21" s="1004"/>
      <c r="D21" s="11"/>
      <c r="E21" s="11"/>
      <c r="F21" s="11"/>
      <c r="G21" s="11"/>
      <c r="H21" s="11"/>
      <c r="I21" s="11"/>
      <c r="J21" s="11"/>
    </row>
    <row r="22" spans="1:13">
      <c r="A22" s="1032" t="s">
        <v>742</v>
      </c>
      <c r="B22" s="252" t="str">
        <f>IF(OR('Internal Service Template'!G287&lt;&gt;0,'Internal Service Template'!G288&lt;&gt;0),"Answer Required","N/A")</f>
        <v>N/A</v>
      </c>
      <c r="C22" s="1423" t="s">
        <v>2663</v>
      </c>
      <c r="D22" s="1421"/>
      <c r="E22" s="1421"/>
      <c r="F22" s="1421"/>
      <c r="G22" s="1421"/>
      <c r="H22" s="1421"/>
      <c r="I22" s="1421"/>
      <c r="J22" s="1421"/>
      <c r="K22" s="1421"/>
      <c r="L22" s="1421"/>
      <c r="M22" s="1422"/>
    </row>
    <row r="23" spans="1:13" ht="12.75" customHeight="1">
      <c r="A23" s="1032"/>
      <c r="B23" s="1004"/>
      <c r="C23" s="1424" t="s">
        <v>747</v>
      </c>
      <c r="D23" s="1425"/>
      <c r="E23" s="1425"/>
      <c r="F23" s="1425"/>
      <c r="G23" s="1425"/>
      <c r="H23" s="1425"/>
      <c r="I23" s="1425"/>
      <c r="J23" s="1425"/>
      <c r="K23" s="1425"/>
      <c r="L23" s="1425"/>
      <c r="M23" s="1426"/>
    </row>
    <row r="24" spans="1:13" ht="25.5" customHeight="1">
      <c r="A24" s="1032"/>
      <c r="B24" s="1004"/>
      <c r="C24" s="1427" t="s">
        <v>748</v>
      </c>
      <c r="D24" s="1428"/>
      <c r="E24" s="1428"/>
      <c r="F24" s="1428"/>
      <c r="G24" s="1428"/>
      <c r="H24" s="1428"/>
      <c r="I24" s="1428"/>
      <c r="J24" s="1428"/>
      <c r="K24" s="1428"/>
      <c r="L24" s="1428"/>
      <c r="M24" s="1429"/>
    </row>
    <row r="25" spans="1:13">
      <c r="A25" s="207"/>
      <c r="B25" s="11"/>
      <c r="C25" s="11"/>
      <c r="D25" s="11"/>
      <c r="E25" s="11"/>
      <c r="F25" s="11"/>
      <c r="G25" s="11"/>
      <c r="H25" s="11"/>
      <c r="I25" s="11"/>
      <c r="J25" s="11"/>
    </row>
    <row r="26" spans="1:13" ht="12.75" hidden="1" customHeight="1">
      <c r="A26" s="1032" t="s">
        <v>745</v>
      </c>
      <c r="B26" s="815" t="s">
        <v>751</v>
      </c>
      <c r="C26" s="1409"/>
      <c r="D26" s="1410"/>
      <c r="E26" s="1410"/>
      <c r="F26" s="1410"/>
      <c r="G26" s="1410"/>
      <c r="H26" s="1410"/>
      <c r="I26" s="1410"/>
      <c r="J26" s="1410"/>
      <c r="K26" s="1410"/>
      <c r="L26" s="1410"/>
      <c r="M26" s="1411"/>
    </row>
    <row r="27" spans="1:13" hidden="1">
      <c r="A27" s="207"/>
      <c r="B27" s="11"/>
      <c r="C27" s="11"/>
      <c r="D27" s="11"/>
      <c r="E27" s="11"/>
      <c r="F27" s="11"/>
      <c r="G27" s="11"/>
      <c r="H27" s="11"/>
      <c r="I27" s="11"/>
      <c r="J27" s="11"/>
    </row>
    <row r="28" spans="1:13" ht="12.75" customHeight="1">
      <c r="A28" s="1032" t="s">
        <v>743</v>
      </c>
      <c r="B28" s="252" t="s">
        <v>751</v>
      </c>
      <c r="C28" s="1412" t="s">
        <v>749</v>
      </c>
      <c r="D28" s="1413"/>
      <c r="E28" s="1413"/>
      <c r="F28" s="1413"/>
      <c r="G28" s="1413"/>
      <c r="H28" s="1413"/>
      <c r="I28" s="1413"/>
      <c r="J28" s="1413"/>
      <c r="K28" s="1413"/>
      <c r="L28" s="1413"/>
      <c r="M28" s="1414"/>
    </row>
    <row r="29" spans="1:13">
      <c r="A29" s="1031"/>
      <c r="B29" s="11"/>
      <c r="C29" s="11"/>
      <c r="D29" s="11"/>
      <c r="E29" s="11"/>
      <c r="F29" s="11"/>
      <c r="G29" s="11"/>
      <c r="H29" s="11"/>
      <c r="I29" s="11"/>
      <c r="J29" s="11"/>
    </row>
    <row r="30" spans="1:13" ht="28.5" customHeight="1">
      <c r="A30" s="1034" t="s">
        <v>744</v>
      </c>
      <c r="B30" s="252" t="s">
        <v>751</v>
      </c>
      <c r="C30" s="1406" t="s">
        <v>813</v>
      </c>
      <c r="D30" s="1407"/>
      <c r="E30" s="1407"/>
      <c r="F30" s="1407"/>
      <c r="G30" s="1407"/>
      <c r="H30" s="1407"/>
      <c r="I30" s="1407"/>
      <c r="J30" s="1407"/>
      <c r="K30" s="1407"/>
      <c r="L30" s="1407"/>
      <c r="M30" s="1408"/>
    </row>
    <row r="31" spans="1:13" ht="41.25" customHeight="1">
      <c r="A31" s="1035"/>
      <c r="C31" s="1403" t="s">
        <v>829</v>
      </c>
      <c r="D31" s="1404"/>
      <c r="E31" s="1404"/>
      <c r="F31" s="1404"/>
      <c r="G31" s="1404"/>
      <c r="H31" s="1404"/>
      <c r="I31" s="1404"/>
      <c r="J31" s="1404"/>
      <c r="K31" s="1404"/>
      <c r="L31" s="1404"/>
      <c r="M31" s="1405"/>
    </row>
    <row r="32" spans="1:13">
      <c r="A32" s="1035"/>
      <c r="B32" s="11"/>
      <c r="C32" s="11"/>
      <c r="D32" s="11"/>
      <c r="E32" s="11"/>
      <c r="F32" s="11"/>
      <c r="G32" s="11"/>
      <c r="H32" s="11"/>
      <c r="I32" s="11"/>
      <c r="J32" s="11"/>
    </row>
    <row r="33" spans="1:15" ht="12.75" hidden="1" customHeight="1">
      <c r="H33" s="11"/>
      <c r="I33" s="11"/>
      <c r="J33" s="11"/>
      <c r="K33" s="1430"/>
      <c r="L33" s="1430"/>
      <c r="M33" s="1430"/>
      <c r="N33" s="1430"/>
      <c r="O33" s="1430"/>
    </row>
    <row r="34" spans="1:15" ht="12.75" customHeight="1">
      <c r="B34" s="1036" t="s">
        <v>165</v>
      </c>
      <c r="H34" s="11"/>
      <c r="I34" s="13" t="s">
        <v>166</v>
      </c>
      <c r="J34" s="13"/>
      <c r="K34" s="1430"/>
      <c r="L34" s="1430"/>
      <c r="M34" s="1430"/>
      <c r="N34" s="1430"/>
      <c r="O34" s="1430"/>
    </row>
    <row r="35" spans="1:15">
      <c r="H35" s="11"/>
      <c r="I35" s="11"/>
      <c r="J35" s="11"/>
    </row>
    <row r="36" spans="1:15" ht="12.75" customHeight="1">
      <c r="A36" s="1026"/>
      <c r="B36" s="1037" t="s">
        <v>167</v>
      </c>
      <c r="C36" s="1417"/>
      <c r="D36" s="1418"/>
      <c r="E36" s="1418"/>
      <c r="F36" s="1418"/>
      <c r="G36" s="1418"/>
      <c r="H36" s="11"/>
      <c r="I36" s="192"/>
      <c r="J36" s="565"/>
      <c r="L36" s="1430" t="s">
        <v>805</v>
      </c>
      <c r="M36" s="1430"/>
      <c r="N36" s="1430"/>
      <c r="O36" s="1430"/>
    </row>
    <row r="37" spans="1:15">
      <c r="A37" s="1026"/>
      <c r="B37" s="1037" t="s">
        <v>168</v>
      </c>
      <c r="C37" s="1417"/>
      <c r="D37" s="1418"/>
      <c r="E37" s="1418"/>
      <c r="F37" s="1418"/>
      <c r="G37" s="1418"/>
      <c r="H37" s="11"/>
      <c r="I37" s="11"/>
      <c r="J37" s="11"/>
      <c r="L37" s="1430"/>
      <c r="M37" s="1430"/>
      <c r="N37" s="1430"/>
      <c r="O37" s="1430"/>
    </row>
    <row r="38" spans="1:15" s="708" customFormat="1" ht="12.6" customHeight="1">
      <c r="B38" s="709"/>
      <c r="H38" s="11"/>
      <c r="I38" s="11"/>
      <c r="J38" s="11"/>
      <c r="L38" s="1028"/>
    </row>
    <row r="39" spans="1:15" s="708" customFormat="1" ht="13.5" customHeight="1">
      <c r="A39" s="1026"/>
      <c r="B39" s="1037" t="s">
        <v>167</v>
      </c>
      <c r="C39" s="1417"/>
      <c r="D39" s="1418"/>
      <c r="E39" s="1418"/>
      <c r="F39" s="1418"/>
      <c r="G39" s="1418"/>
      <c r="H39" s="11"/>
      <c r="I39" s="192"/>
      <c r="J39" s="565"/>
      <c r="K39" s="147"/>
      <c r="L39" s="1430" t="s">
        <v>805</v>
      </c>
      <c r="M39" s="1430"/>
      <c r="N39" s="1430"/>
      <c r="O39" s="1430"/>
    </row>
    <row r="40" spans="1:15" s="708" customFormat="1" ht="12.6" customHeight="1">
      <c r="A40" s="1026"/>
      <c r="B40" s="1037" t="s">
        <v>168</v>
      </c>
      <c r="C40" s="1417"/>
      <c r="D40" s="1418"/>
      <c r="E40" s="1418"/>
      <c r="F40" s="1418"/>
      <c r="G40" s="1418"/>
      <c r="H40" s="11"/>
      <c r="I40" s="11"/>
      <c r="J40" s="11"/>
      <c r="K40" s="147"/>
      <c r="L40" s="1430"/>
      <c r="M40" s="1430"/>
      <c r="N40" s="1430"/>
      <c r="O40" s="1430"/>
    </row>
    <row r="41" spans="1:15" s="708" customFormat="1" ht="12.6" customHeight="1">
      <c r="B41" s="709"/>
      <c r="H41" s="11"/>
      <c r="I41" s="11"/>
      <c r="J41" s="11"/>
      <c r="L41" s="1028"/>
    </row>
    <row r="42" spans="1:15" s="708" customFormat="1" ht="13.5" customHeight="1">
      <c r="A42" s="1026"/>
      <c r="B42" s="1037" t="s">
        <v>167</v>
      </c>
      <c r="C42" s="1417"/>
      <c r="D42" s="1418"/>
      <c r="E42" s="1418"/>
      <c r="F42" s="1418"/>
      <c r="G42" s="1418"/>
      <c r="H42" s="11"/>
      <c r="I42" s="192"/>
      <c r="J42" s="565"/>
      <c r="K42" s="147"/>
      <c r="L42" s="1430" t="s">
        <v>805</v>
      </c>
      <c r="M42" s="1430"/>
      <c r="N42" s="1430"/>
      <c r="O42" s="1430"/>
    </row>
    <row r="43" spans="1:15" s="708" customFormat="1" ht="12.6" customHeight="1">
      <c r="A43" s="1026"/>
      <c r="B43" s="1037" t="s">
        <v>168</v>
      </c>
      <c r="C43" s="1417"/>
      <c r="D43" s="1418"/>
      <c r="E43" s="1418"/>
      <c r="F43" s="1418"/>
      <c r="G43" s="1418"/>
      <c r="H43" s="11"/>
      <c r="I43" s="11"/>
      <c r="J43" s="11"/>
      <c r="K43" s="147"/>
      <c r="L43" s="1430"/>
      <c r="M43" s="1430"/>
      <c r="N43" s="1430"/>
      <c r="O43" s="1430"/>
    </row>
    <row r="44" spans="1:15" s="708" customFormat="1" ht="12.6" customHeight="1">
      <c r="A44" s="147"/>
      <c r="B44" s="147"/>
      <c r="C44" s="147"/>
      <c r="D44" s="147"/>
      <c r="E44" s="147"/>
      <c r="F44" s="147"/>
      <c r="G44" s="147"/>
      <c r="H44" s="11"/>
      <c r="I44" s="11"/>
      <c r="J44" s="11"/>
      <c r="L44" s="1028"/>
    </row>
    <row r="45" spans="1:15" s="708" customFormat="1" ht="13.5" customHeight="1">
      <c r="A45" s="1026"/>
      <c r="B45" s="1037" t="s">
        <v>167</v>
      </c>
      <c r="C45" s="1417"/>
      <c r="D45" s="1418"/>
      <c r="E45" s="1418"/>
      <c r="F45" s="1418"/>
      <c r="G45" s="1418"/>
      <c r="H45" s="11"/>
      <c r="I45" s="192"/>
      <c r="J45" s="565"/>
      <c r="K45" s="147"/>
      <c r="L45" s="1430" t="s">
        <v>805</v>
      </c>
      <c r="M45" s="1430"/>
      <c r="N45" s="1430"/>
      <c r="O45" s="1430"/>
    </row>
    <row r="46" spans="1:15">
      <c r="A46" s="1026"/>
      <c r="B46" s="1037" t="s">
        <v>168</v>
      </c>
      <c r="C46" s="1417"/>
      <c r="D46" s="1418"/>
      <c r="E46" s="1418"/>
      <c r="F46" s="1418"/>
      <c r="G46" s="1418"/>
      <c r="H46" s="11"/>
      <c r="I46" s="11"/>
      <c r="J46" s="11"/>
      <c r="L46" s="1430"/>
      <c r="M46" s="1430"/>
      <c r="N46" s="1430"/>
      <c r="O46" s="1430"/>
    </row>
    <row r="47" spans="1:15" s="708" customFormat="1" ht="12.6" customHeight="1">
      <c r="A47" s="147"/>
      <c r="B47" s="147"/>
      <c r="C47" s="147"/>
      <c r="D47" s="147"/>
      <c r="E47" s="147"/>
      <c r="F47" s="147"/>
      <c r="G47" s="147"/>
      <c r="H47" s="11"/>
      <c r="I47" s="11"/>
      <c r="J47" s="11"/>
      <c r="L47" s="1028"/>
    </row>
    <row r="48" spans="1:15" s="708" customFormat="1" ht="13.5" customHeight="1">
      <c r="A48" s="147"/>
      <c r="B48" s="1036" t="s">
        <v>169</v>
      </c>
      <c r="C48" s="147"/>
      <c r="D48" s="147"/>
      <c r="E48" s="147"/>
      <c r="F48" s="147"/>
      <c r="G48" s="147"/>
      <c r="H48" s="11"/>
      <c r="I48" s="13" t="s">
        <v>166</v>
      </c>
      <c r="J48" s="13"/>
      <c r="L48" s="1028"/>
    </row>
    <row r="49" spans="1:15">
      <c r="H49" s="11"/>
      <c r="I49" s="11"/>
      <c r="J49" s="11"/>
    </row>
    <row r="50" spans="1:15" ht="12.75" customHeight="1">
      <c r="A50" s="1026"/>
      <c r="B50" s="1037" t="s">
        <v>167</v>
      </c>
      <c r="C50" s="1417"/>
      <c r="D50" s="1418"/>
      <c r="E50" s="1418"/>
      <c r="F50" s="1418"/>
      <c r="G50" s="1418"/>
      <c r="H50" s="11"/>
      <c r="I50" s="192"/>
      <c r="J50" s="565"/>
      <c r="L50" s="1430" t="s">
        <v>750</v>
      </c>
      <c r="M50" s="1430"/>
      <c r="N50" s="1430"/>
      <c r="O50" s="1430"/>
    </row>
    <row r="51" spans="1:15">
      <c r="A51" s="1026"/>
      <c r="B51" s="1037" t="s">
        <v>168</v>
      </c>
      <c r="C51" s="1417"/>
      <c r="D51" s="1418"/>
      <c r="E51" s="1418"/>
      <c r="F51" s="1418"/>
      <c r="G51" s="1418"/>
      <c r="H51" s="11"/>
      <c r="I51" s="11"/>
      <c r="J51" s="11"/>
      <c r="L51" s="1430"/>
      <c r="M51" s="1430"/>
      <c r="N51" s="1430"/>
      <c r="O51" s="1430"/>
    </row>
    <row r="52" spans="1:15" s="708" customFormat="1" ht="12.6" customHeight="1">
      <c r="B52" s="709"/>
      <c r="H52" s="11"/>
      <c r="I52" s="11"/>
      <c r="J52" s="11"/>
      <c r="L52" s="1028"/>
    </row>
    <row r="53" spans="1:15" s="708" customFormat="1" ht="13.5" customHeight="1">
      <c r="A53" s="1026"/>
      <c r="B53" s="1037" t="s">
        <v>167</v>
      </c>
      <c r="C53" s="1417"/>
      <c r="D53" s="1418"/>
      <c r="E53" s="1418"/>
      <c r="F53" s="1418"/>
      <c r="G53" s="1418"/>
      <c r="H53" s="11"/>
      <c r="I53" s="192"/>
      <c r="J53" s="565"/>
      <c r="K53" s="147"/>
      <c r="L53" s="1430" t="s">
        <v>750</v>
      </c>
      <c r="M53" s="1430"/>
      <c r="N53" s="1430"/>
      <c r="O53" s="1430"/>
    </row>
    <row r="54" spans="1:15" s="708" customFormat="1" ht="12.6" customHeight="1">
      <c r="A54" s="1026"/>
      <c r="B54" s="1037" t="s">
        <v>168</v>
      </c>
      <c r="C54" s="1417"/>
      <c r="D54" s="1418"/>
      <c r="E54" s="1418"/>
      <c r="F54" s="1418"/>
      <c r="G54" s="1418"/>
      <c r="H54" s="11"/>
      <c r="I54" s="11"/>
      <c r="J54" s="11"/>
      <c r="K54" s="147"/>
      <c r="L54" s="1430"/>
      <c r="M54" s="1430"/>
      <c r="N54" s="1430"/>
      <c r="O54" s="1430"/>
    </row>
    <row r="55" spans="1:15" s="708" customFormat="1" ht="12.6" customHeight="1">
      <c r="B55" s="709"/>
      <c r="H55" s="11"/>
      <c r="I55" s="11"/>
      <c r="J55" s="11"/>
      <c r="L55" s="1028"/>
    </row>
    <row r="56" spans="1:15" s="708" customFormat="1" ht="13.5" customHeight="1">
      <c r="A56" s="1026"/>
      <c r="B56" s="1037" t="s">
        <v>167</v>
      </c>
      <c r="C56" s="1417"/>
      <c r="D56" s="1418"/>
      <c r="E56" s="1418"/>
      <c r="F56" s="1418"/>
      <c r="G56" s="1418"/>
      <c r="H56" s="11"/>
      <c r="I56" s="192"/>
      <c r="J56" s="565"/>
      <c r="K56" s="147"/>
      <c r="L56" s="1430" t="s">
        <v>750</v>
      </c>
      <c r="M56" s="1430"/>
      <c r="N56" s="1430"/>
      <c r="O56" s="1430"/>
    </row>
    <row r="57" spans="1:15" s="708" customFormat="1" ht="12.6" customHeight="1">
      <c r="A57" s="1026"/>
      <c r="B57" s="1037" t="s">
        <v>168</v>
      </c>
      <c r="C57" s="1417"/>
      <c r="D57" s="1418"/>
      <c r="E57" s="1418"/>
      <c r="F57" s="1418"/>
      <c r="G57" s="1418"/>
      <c r="H57" s="11"/>
      <c r="I57" s="11"/>
      <c r="J57" s="11"/>
      <c r="K57" s="147"/>
      <c r="L57" s="1430"/>
      <c r="M57" s="1430"/>
      <c r="N57" s="1430"/>
      <c r="O57" s="1430"/>
    </row>
    <row r="58" spans="1:15" s="708" customFormat="1" ht="12.6" customHeight="1">
      <c r="A58" s="147"/>
      <c r="B58" s="147"/>
      <c r="C58" s="147"/>
      <c r="D58" s="147"/>
      <c r="E58" s="147"/>
      <c r="F58" s="147"/>
      <c r="G58" s="147"/>
      <c r="H58" s="11"/>
      <c r="I58" s="11"/>
      <c r="J58" s="11"/>
      <c r="L58" s="1028"/>
    </row>
    <row r="59" spans="1:15" s="708" customFormat="1" ht="13.5" customHeight="1">
      <c r="A59" s="1026"/>
      <c r="B59" s="1037" t="s">
        <v>167</v>
      </c>
      <c r="C59" s="1417"/>
      <c r="D59" s="1418"/>
      <c r="E59" s="1418"/>
      <c r="F59" s="1418"/>
      <c r="G59" s="1418"/>
      <c r="H59" s="11"/>
      <c r="I59" s="192"/>
      <c r="J59" s="565"/>
      <c r="K59" s="147"/>
      <c r="L59" s="1430" t="s">
        <v>750</v>
      </c>
      <c r="M59" s="1430"/>
      <c r="N59" s="1430"/>
      <c r="O59" s="1430"/>
    </row>
    <row r="60" spans="1:15">
      <c r="A60" s="1026"/>
      <c r="B60" s="1037" t="s">
        <v>168</v>
      </c>
      <c r="C60" s="1417"/>
      <c r="D60" s="1418"/>
      <c r="E60" s="1418"/>
      <c r="F60" s="1418"/>
      <c r="G60" s="1418"/>
      <c r="H60" s="11"/>
      <c r="I60" s="11"/>
      <c r="J60" s="11"/>
      <c r="L60" s="1430"/>
      <c r="M60" s="1430"/>
      <c r="N60" s="1430"/>
      <c r="O60" s="1430"/>
    </row>
  </sheetData>
  <sheetProtection algorithmName="SHA-512" hashValue="1xpdOOuwf8elW4urcDNru2p7glEuK61Ye7ggsSWe/1F+bNRK4AS74Tzxqy+2trcapuEet8WS6TZAJxWs+q7EcQ==" saltValue="rFFkrXW2G1luYIiTvTV5Lw==" spinCount="100000" sheet="1" objects="1" scenarios="1"/>
  <customSheetViews>
    <customSheetView guid="{5CCA66B6-9DBD-4F43-8EC0-0C18444D6068}" showGridLines="0" showRuler="0">
      <selection activeCell="C16" sqref="C16:G16"/>
      <pageMargins left="0.75" right="0.75" top="0.56999999999999995" bottom="0.37" header="0.19" footer="0.17"/>
      <pageSetup scale="85"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43">
    <mergeCell ref="L45:O46"/>
    <mergeCell ref="L50:O51"/>
    <mergeCell ref="L53:O54"/>
    <mergeCell ref="L56:O57"/>
    <mergeCell ref="L59:O60"/>
    <mergeCell ref="C3:G3"/>
    <mergeCell ref="C4:G4"/>
    <mergeCell ref="C5:G5"/>
    <mergeCell ref="C42:G42"/>
    <mergeCell ref="C12:M12"/>
    <mergeCell ref="C16:M16"/>
    <mergeCell ref="C17:M17"/>
    <mergeCell ref="C18:M18"/>
    <mergeCell ref="C20:M20"/>
    <mergeCell ref="C22:M22"/>
    <mergeCell ref="C23:M23"/>
    <mergeCell ref="C24:M24"/>
    <mergeCell ref="L36:O37"/>
    <mergeCell ref="L39:O40"/>
    <mergeCell ref="L42:O43"/>
    <mergeCell ref="K33:O34"/>
    <mergeCell ref="C45:G45"/>
    <mergeCell ref="C46:G46"/>
    <mergeCell ref="C36:G36"/>
    <mergeCell ref="C37:G37"/>
    <mergeCell ref="C39:G39"/>
    <mergeCell ref="C40:G40"/>
    <mergeCell ref="C43:G43"/>
    <mergeCell ref="C56:G56"/>
    <mergeCell ref="C57:G57"/>
    <mergeCell ref="C59:G59"/>
    <mergeCell ref="C60:G60"/>
    <mergeCell ref="C50:G50"/>
    <mergeCell ref="C51:G51"/>
    <mergeCell ref="C53:G53"/>
    <mergeCell ref="C54:G54"/>
    <mergeCell ref="A9:M9"/>
    <mergeCell ref="A10:M10"/>
    <mergeCell ref="C31:M31"/>
    <mergeCell ref="C30:M30"/>
    <mergeCell ref="C26:M26"/>
    <mergeCell ref="C28:M28"/>
    <mergeCell ref="C14:M14"/>
  </mergeCells>
  <phoneticPr fontId="46" type="noConversion"/>
  <conditionalFormatting sqref="B12 B16 B20 B22 B26 B28">
    <cfRule type="cellIs" dxfId="10" priority="20" operator="equal">
      <formula>"Error"</formula>
    </cfRule>
  </conditionalFormatting>
  <conditionalFormatting sqref="B12">
    <cfRule type="cellIs" dxfId="9" priority="18" operator="equal">
      <formula>"Answer Required"</formula>
    </cfRule>
  </conditionalFormatting>
  <conditionalFormatting sqref="B14">
    <cfRule type="cellIs" dxfId="8" priority="1" operator="equal">
      <formula>"Answer Required"</formula>
    </cfRule>
    <cfRule type="cellIs" dxfId="7" priority="2" operator="equal">
      <formula>"Error"</formula>
    </cfRule>
  </conditionalFormatting>
  <conditionalFormatting sqref="B16">
    <cfRule type="cellIs" dxfId="6" priority="11" operator="equal">
      <formula>"Answer Required"</formula>
    </cfRule>
  </conditionalFormatting>
  <conditionalFormatting sqref="B20">
    <cfRule type="cellIs" dxfId="5" priority="10" operator="equal">
      <formula>"Answer Required"</formula>
    </cfRule>
  </conditionalFormatting>
  <conditionalFormatting sqref="B22">
    <cfRule type="cellIs" dxfId="4" priority="9" operator="equal">
      <formula>"Answer Required"</formula>
    </cfRule>
  </conditionalFormatting>
  <conditionalFormatting sqref="B26">
    <cfRule type="cellIs" dxfId="3" priority="8" operator="equal">
      <formula>"Answer Required"</formula>
    </cfRule>
  </conditionalFormatting>
  <conditionalFormatting sqref="B28">
    <cfRule type="cellIs" dxfId="2" priority="7" operator="equal">
      <formula>"Answer Required"</formula>
    </cfRule>
  </conditionalFormatting>
  <conditionalFormatting sqref="B30">
    <cfRule type="cellIs" dxfId="1" priority="4" operator="equal">
      <formula>"Answer Required"</formula>
    </cfRule>
    <cfRule type="cellIs" dxfId="0" priority="5" operator="equal">
      <formula>"Error"</formula>
    </cfRule>
  </conditionalFormatting>
  <dataValidations count="2">
    <dataValidation type="list" allowBlank="1" showInputMessage="1" showErrorMessage="1" error="Please use drop-down list to select Yes or No" sqref="B30 B12 B14 B16 B20 B28 B26" xr:uid="{00000000-0002-0000-1400-000000000000}">
      <formula1>$R$10:$R$11</formula1>
    </dataValidation>
    <dataValidation type="list" allowBlank="1" showInputMessage="1" showErrorMessage="1" error="Use the drop down to select Yes, No or N/A." sqref="B22" xr:uid="{00000000-0002-0000-1400-000001000000}">
      <formula1>$R$10:$R$12</formula1>
    </dataValidation>
  </dataValidations>
  <pageMargins left="0.75" right="0.25" top="0.56999999999999995" bottom="0.37" header="0.19" footer="0.17"/>
  <pageSetup scale="71"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6336" r:id="rId5" name="Check Box 16">
              <controlPr defaultSize="0" autoFill="0" autoLine="0" autoPict="0">
                <anchor moveWithCells="1">
                  <from>
                    <xdr:col>9</xdr:col>
                    <xdr:colOff>228600</xdr:colOff>
                    <xdr:row>35</xdr:row>
                    <xdr:rowOff>22860</xdr:rowOff>
                  </from>
                  <to>
                    <xdr:col>10</xdr:col>
                    <xdr:colOff>114300</xdr:colOff>
                    <xdr:row>36</xdr:row>
                    <xdr:rowOff>38100</xdr:rowOff>
                  </to>
                </anchor>
              </controlPr>
            </control>
          </mc:Choice>
        </mc:AlternateContent>
        <mc:AlternateContent xmlns:mc="http://schemas.openxmlformats.org/markup-compatibility/2006">
          <mc:Choice Requires="x14">
            <control shapeId="56337" r:id="rId6" name="Check Box 17">
              <controlPr defaultSize="0" autoFill="0" autoLine="0" autoPict="0">
                <anchor moveWithCells="1">
                  <from>
                    <xdr:col>9</xdr:col>
                    <xdr:colOff>220980</xdr:colOff>
                    <xdr:row>38</xdr:row>
                    <xdr:rowOff>7620</xdr:rowOff>
                  </from>
                  <to>
                    <xdr:col>10</xdr:col>
                    <xdr:colOff>106680</xdr:colOff>
                    <xdr:row>39</xdr:row>
                    <xdr:rowOff>22860</xdr:rowOff>
                  </to>
                </anchor>
              </controlPr>
            </control>
          </mc:Choice>
        </mc:AlternateContent>
        <mc:AlternateContent xmlns:mc="http://schemas.openxmlformats.org/markup-compatibility/2006">
          <mc:Choice Requires="x14">
            <control shapeId="56338" r:id="rId7" name="Check Box 18">
              <controlPr defaultSize="0" autoFill="0" autoLine="0" autoPict="0">
                <anchor moveWithCells="1">
                  <from>
                    <xdr:col>9</xdr:col>
                    <xdr:colOff>236220</xdr:colOff>
                    <xdr:row>40</xdr:row>
                    <xdr:rowOff>144780</xdr:rowOff>
                  </from>
                  <to>
                    <xdr:col>10</xdr:col>
                    <xdr:colOff>121920</xdr:colOff>
                    <xdr:row>42</xdr:row>
                    <xdr:rowOff>0</xdr:rowOff>
                  </to>
                </anchor>
              </controlPr>
            </control>
          </mc:Choice>
        </mc:AlternateContent>
        <mc:AlternateContent xmlns:mc="http://schemas.openxmlformats.org/markup-compatibility/2006">
          <mc:Choice Requires="x14">
            <control shapeId="56339" r:id="rId8" name="Check Box 19">
              <controlPr defaultSize="0" autoFill="0" autoLine="0" autoPict="0">
                <anchor moveWithCells="1">
                  <from>
                    <xdr:col>9</xdr:col>
                    <xdr:colOff>228600</xdr:colOff>
                    <xdr:row>44</xdr:row>
                    <xdr:rowOff>7620</xdr:rowOff>
                  </from>
                  <to>
                    <xdr:col>10</xdr:col>
                    <xdr:colOff>114300</xdr:colOff>
                    <xdr:row>45</xdr:row>
                    <xdr:rowOff>22860</xdr:rowOff>
                  </to>
                </anchor>
              </controlPr>
            </control>
          </mc:Choice>
        </mc:AlternateContent>
        <mc:AlternateContent xmlns:mc="http://schemas.openxmlformats.org/markup-compatibility/2006">
          <mc:Choice Requires="x14">
            <control shapeId="56340" r:id="rId9" name="Check Box 20">
              <controlPr defaultSize="0" autoFill="0" autoLine="0" autoPict="0">
                <anchor moveWithCells="1">
                  <from>
                    <xdr:col>9</xdr:col>
                    <xdr:colOff>266700</xdr:colOff>
                    <xdr:row>49</xdr:row>
                    <xdr:rowOff>68580</xdr:rowOff>
                  </from>
                  <to>
                    <xdr:col>10</xdr:col>
                    <xdr:colOff>152400</xdr:colOff>
                    <xdr:row>50</xdr:row>
                    <xdr:rowOff>83820</xdr:rowOff>
                  </to>
                </anchor>
              </controlPr>
            </control>
          </mc:Choice>
        </mc:AlternateContent>
        <mc:AlternateContent xmlns:mc="http://schemas.openxmlformats.org/markup-compatibility/2006">
          <mc:Choice Requires="x14">
            <control shapeId="56341" r:id="rId10" name="Check Box 21">
              <controlPr defaultSize="0" autoFill="0" autoLine="0" autoPict="0">
                <anchor moveWithCells="1">
                  <from>
                    <xdr:col>9</xdr:col>
                    <xdr:colOff>266700</xdr:colOff>
                    <xdr:row>52</xdr:row>
                    <xdr:rowOff>30480</xdr:rowOff>
                  </from>
                  <to>
                    <xdr:col>10</xdr:col>
                    <xdr:colOff>152400</xdr:colOff>
                    <xdr:row>53</xdr:row>
                    <xdr:rowOff>38100</xdr:rowOff>
                  </to>
                </anchor>
              </controlPr>
            </control>
          </mc:Choice>
        </mc:AlternateContent>
        <mc:AlternateContent xmlns:mc="http://schemas.openxmlformats.org/markup-compatibility/2006">
          <mc:Choice Requires="x14">
            <control shapeId="56342" r:id="rId11" name="Check Box 22">
              <controlPr defaultSize="0" autoFill="0" autoLine="0" autoPict="0">
                <anchor moveWithCells="1">
                  <from>
                    <xdr:col>9</xdr:col>
                    <xdr:colOff>274320</xdr:colOff>
                    <xdr:row>55</xdr:row>
                    <xdr:rowOff>38100</xdr:rowOff>
                  </from>
                  <to>
                    <xdr:col>10</xdr:col>
                    <xdr:colOff>160020</xdr:colOff>
                    <xdr:row>56</xdr:row>
                    <xdr:rowOff>45720</xdr:rowOff>
                  </to>
                </anchor>
              </controlPr>
            </control>
          </mc:Choice>
        </mc:AlternateContent>
        <mc:AlternateContent xmlns:mc="http://schemas.openxmlformats.org/markup-compatibility/2006">
          <mc:Choice Requires="x14">
            <control shapeId="56343" r:id="rId12" name="Check Box 23">
              <controlPr defaultSize="0" autoFill="0" autoLine="0" autoPict="0">
                <anchor moveWithCells="1">
                  <from>
                    <xdr:col>9</xdr:col>
                    <xdr:colOff>289560</xdr:colOff>
                    <xdr:row>58</xdr:row>
                    <xdr:rowOff>7620</xdr:rowOff>
                  </from>
                  <to>
                    <xdr:col>10</xdr:col>
                    <xdr:colOff>175260</xdr:colOff>
                    <xdr:row>59</xdr:row>
                    <xdr:rowOff>22860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G93"/>
  <sheetViews>
    <sheetView showGridLines="0" zoomScaleNormal="100" workbookViewId="0">
      <selection activeCell="C3" sqref="C3:F3"/>
    </sheetView>
  </sheetViews>
  <sheetFormatPr defaultColWidth="9.109375" defaultRowHeight="13.2"/>
  <cols>
    <col min="1" max="1" width="11.109375" style="11" customWidth="1"/>
    <col min="2" max="2" width="29.88671875" style="11" customWidth="1"/>
    <col min="3" max="4" width="8.6640625" style="11" customWidth="1"/>
    <col min="5" max="6" width="24.6640625" style="11" customWidth="1"/>
    <col min="7" max="16384" width="9.109375" style="11"/>
  </cols>
  <sheetData>
    <row r="1" spans="1:7">
      <c r="A1" s="1164" t="str">
        <f>'Internal Service Template'!A1:D1</f>
        <v>Agency Number:</v>
      </c>
      <c r="B1" s="1165"/>
      <c r="C1" s="1433" t="str">
        <f>'Internal Service Template'!E1</f>
        <v/>
      </c>
      <c r="D1" s="1433"/>
      <c r="E1" s="1291"/>
      <c r="F1" s="1291"/>
    </row>
    <row r="2" spans="1:7" ht="13.5" customHeight="1">
      <c r="A2" s="1164" t="str">
        <f>'Internal Service Template'!A2:D2</f>
        <v>Agency Fund Name:</v>
      </c>
      <c r="B2" s="1165"/>
      <c r="C2" s="1433" t="str">
        <f>IF('Internal Service Template'!E2="","",'Internal Service Template'!E2)</f>
        <v/>
      </c>
      <c r="D2" s="1433"/>
      <c r="E2" s="1291"/>
      <c r="F2" s="1291"/>
    </row>
    <row r="3" spans="1:7">
      <c r="A3" s="1164" t="str">
        <f>'Internal Service Template'!A3:D3</f>
        <v>Agency Contact Name:</v>
      </c>
      <c r="B3" s="1165"/>
      <c r="C3" s="1434" t="str">
        <f>IF('Internal Service Template'!E3="","",'Internal Service Template'!E3)</f>
        <v/>
      </c>
      <c r="D3" s="1434"/>
      <c r="E3" s="1294"/>
      <c r="F3" s="1294"/>
    </row>
    <row r="4" spans="1:7">
      <c r="A4" s="1164" t="str">
        <f>'Internal Service Template'!A4:D4</f>
        <v>Agency Contact Phone Number:</v>
      </c>
      <c r="B4" s="1165"/>
      <c r="C4" s="1127" t="str">
        <f>IF('Internal Service Template'!E4="","",'Internal Service Template'!E4)</f>
        <v/>
      </c>
      <c r="D4" s="1127"/>
      <c r="E4" s="1295"/>
      <c r="F4" s="1295"/>
    </row>
    <row r="5" spans="1:7">
      <c r="A5" s="1164" t="str">
        <f>'Internal Service Template'!A5:D5</f>
        <v>Agency Contact E-mail Address:</v>
      </c>
      <c r="B5" s="1165"/>
      <c r="C5" s="1431" t="str">
        <f>IF('Internal Service Template'!E5="","",'Internal Service Template'!E5)</f>
        <v/>
      </c>
      <c r="D5" s="1431"/>
      <c r="E5" s="1432"/>
      <c r="F5" s="1432"/>
    </row>
    <row r="6" spans="1:7">
      <c r="A6" s="1164" t="str">
        <f>'Internal Service Template'!A6:D6</f>
        <v>Date Completed:</v>
      </c>
      <c r="B6" s="1165"/>
      <c r="C6" s="1131" t="str">
        <f>IF('Internal Service Template'!E6="","",'Internal Service Template'!E6)</f>
        <v/>
      </c>
      <c r="D6" s="1131"/>
      <c r="E6" s="1293"/>
      <c r="F6" s="1293"/>
    </row>
    <row r="7" spans="1:7">
      <c r="A7" s="1164" t="str">
        <f>'Internal Service Template'!A7:D7</f>
        <v>Fund Number:</v>
      </c>
      <c r="B7" s="1165"/>
      <c r="C7" s="1433" t="str">
        <f>'Internal Service Template'!E7</f>
        <v/>
      </c>
      <c r="D7" s="1433"/>
      <c r="E7" s="1291"/>
      <c r="F7" s="1291"/>
    </row>
    <row r="9" spans="1:7" ht="26.25" customHeight="1">
      <c r="A9" s="982" t="s">
        <v>600</v>
      </c>
      <c r="B9" s="982" t="s">
        <v>601</v>
      </c>
      <c r="C9" s="982" t="s">
        <v>602</v>
      </c>
      <c r="D9" s="982" t="s">
        <v>603</v>
      </c>
      <c r="E9" s="982" t="s">
        <v>604</v>
      </c>
      <c r="F9" s="982" t="s">
        <v>242</v>
      </c>
      <c r="G9" s="76"/>
    </row>
    <row r="10" spans="1:7">
      <c r="A10" s="193"/>
      <c r="B10" s="3"/>
      <c r="C10" s="4"/>
      <c r="D10" s="4"/>
      <c r="E10" s="529"/>
      <c r="F10" s="529"/>
    </row>
    <row r="11" spans="1:7">
      <c r="A11" s="193"/>
      <c r="B11" s="3"/>
      <c r="C11" s="4"/>
      <c r="D11" s="4"/>
      <c r="E11" s="529"/>
      <c r="F11" s="529"/>
    </row>
    <row r="12" spans="1:7">
      <c r="A12" s="193"/>
      <c r="B12" s="3"/>
      <c r="C12" s="4"/>
      <c r="D12" s="4"/>
      <c r="E12" s="529"/>
      <c r="F12" s="529"/>
    </row>
    <row r="13" spans="1:7">
      <c r="A13" s="193"/>
      <c r="B13" s="3"/>
      <c r="C13" s="4"/>
      <c r="D13" s="4"/>
      <c r="E13" s="529"/>
      <c r="F13" s="529"/>
    </row>
    <row r="14" spans="1:7">
      <c r="A14" s="193"/>
      <c r="B14" s="3"/>
      <c r="C14" s="4"/>
      <c r="D14" s="4"/>
      <c r="E14" s="529"/>
      <c r="F14" s="529"/>
    </row>
    <row r="15" spans="1:7">
      <c r="A15" s="193"/>
      <c r="B15" s="3"/>
      <c r="C15" s="4"/>
      <c r="D15" s="4"/>
      <c r="E15" s="529"/>
      <c r="F15" s="529"/>
    </row>
    <row r="16" spans="1:7">
      <c r="A16" s="193"/>
      <c r="B16" s="3"/>
      <c r="C16" s="4"/>
      <c r="D16" s="4"/>
      <c r="E16" s="529"/>
      <c r="F16" s="529"/>
    </row>
    <row r="17" spans="1:6">
      <c r="A17" s="193"/>
      <c r="B17" s="3"/>
      <c r="C17" s="4"/>
      <c r="D17" s="4"/>
      <c r="E17" s="529"/>
      <c r="F17" s="529"/>
    </row>
    <row r="18" spans="1:6">
      <c r="A18" s="193"/>
      <c r="B18" s="3"/>
      <c r="C18" s="4"/>
      <c r="D18" s="4"/>
      <c r="E18" s="529"/>
      <c r="F18" s="529"/>
    </row>
    <row r="19" spans="1:6">
      <c r="A19" s="193"/>
      <c r="B19" s="3"/>
      <c r="C19" s="4"/>
      <c r="D19" s="4"/>
      <c r="E19" s="529"/>
      <c r="F19" s="529"/>
    </row>
    <row r="20" spans="1:6">
      <c r="A20" s="193"/>
      <c r="B20" s="3"/>
      <c r="C20" s="4"/>
      <c r="D20" s="4"/>
      <c r="E20" s="529"/>
      <c r="F20" s="529"/>
    </row>
    <row r="21" spans="1:6">
      <c r="A21" s="193"/>
      <c r="B21" s="3"/>
      <c r="C21" s="4"/>
      <c r="D21" s="4"/>
      <c r="E21" s="529"/>
      <c r="F21" s="529"/>
    </row>
    <row r="22" spans="1:6">
      <c r="A22" s="193"/>
      <c r="B22" s="3"/>
      <c r="C22" s="4"/>
      <c r="D22" s="4"/>
      <c r="E22" s="529"/>
      <c r="F22" s="529"/>
    </row>
    <row r="23" spans="1:6">
      <c r="A23" s="193"/>
      <c r="B23" s="3"/>
      <c r="C23" s="4"/>
      <c r="D23" s="4"/>
      <c r="E23" s="529"/>
      <c r="F23" s="529"/>
    </row>
    <row r="24" spans="1:6">
      <c r="A24" s="193"/>
      <c r="B24" s="3"/>
      <c r="C24" s="4"/>
      <c r="D24" s="4"/>
      <c r="E24" s="529"/>
      <c r="F24" s="529"/>
    </row>
    <row r="25" spans="1:6">
      <c r="A25" s="193"/>
      <c r="B25" s="3"/>
      <c r="C25" s="4"/>
      <c r="D25" s="4"/>
      <c r="E25" s="529"/>
      <c r="F25" s="529"/>
    </row>
    <row r="26" spans="1:6">
      <c r="A26" s="193"/>
      <c r="B26" s="3"/>
      <c r="C26" s="4"/>
      <c r="D26" s="4"/>
      <c r="E26" s="529"/>
      <c r="F26" s="529"/>
    </row>
    <row r="27" spans="1:6">
      <c r="A27" s="193"/>
      <c r="B27" s="3"/>
      <c r="C27" s="4"/>
      <c r="D27" s="4"/>
      <c r="E27" s="529"/>
      <c r="F27" s="529"/>
    </row>
    <row r="28" spans="1:6">
      <c r="A28" s="193"/>
      <c r="B28" s="3"/>
      <c r="C28" s="4"/>
      <c r="D28" s="4"/>
      <c r="E28" s="529"/>
      <c r="F28" s="529"/>
    </row>
    <row r="29" spans="1:6">
      <c r="A29" s="193"/>
      <c r="B29" s="3"/>
      <c r="C29" s="4"/>
      <c r="D29" s="4"/>
      <c r="E29" s="529"/>
      <c r="F29" s="529"/>
    </row>
    <row r="30" spans="1:6">
      <c r="A30" s="193"/>
      <c r="B30" s="3"/>
      <c r="C30" s="4"/>
      <c r="D30" s="4"/>
      <c r="E30" s="529"/>
      <c r="F30" s="529"/>
    </row>
    <row r="31" spans="1:6">
      <c r="A31" s="193"/>
      <c r="B31" s="3"/>
      <c r="C31" s="4"/>
      <c r="D31" s="4"/>
      <c r="E31" s="529"/>
      <c r="F31" s="529"/>
    </row>
    <row r="32" spans="1:6">
      <c r="A32" s="193"/>
      <c r="B32" s="3"/>
      <c r="C32" s="4"/>
      <c r="D32" s="4"/>
      <c r="E32" s="529"/>
      <c r="F32" s="529"/>
    </row>
    <row r="33" spans="1:6">
      <c r="A33" s="193"/>
      <c r="B33" s="3"/>
      <c r="C33" s="4"/>
      <c r="D33" s="4"/>
      <c r="E33" s="529"/>
      <c r="F33" s="529"/>
    </row>
    <row r="34" spans="1:6">
      <c r="A34" s="193"/>
      <c r="B34" s="3"/>
      <c r="C34" s="4"/>
      <c r="D34" s="4"/>
      <c r="E34" s="529"/>
      <c r="F34" s="529"/>
    </row>
    <row r="35" spans="1:6">
      <c r="A35" s="193"/>
      <c r="B35" s="3"/>
      <c r="C35" s="4"/>
      <c r="D35" s="4"/>
      <c r="E35" s="529"/>
      <c r="F35" s="529"/>
    </row>
    <row r="36" spans="1:6">
      <c r="A36" s="193"/>
      <c r="B36" s="3"/>
      <c r="C36" s="4"/>
      <c r="D36" s="4"/>
      <c r="E36" s="529"/>
      <c r="F36" s="529"/>
    </row>
    <row r="37" spans="1:6">
      <c r="A37" s="193"/>
      <c r="B37" s="3"/>
      <c r="C37" s="4"/>
      <c r="D37" s="4"/>
      <c r="E37" s="529"/>
      <c r="F37" s="529"/>
    </row>
    <row r="38" spans="1:6">
      <c r="A38" s="193"/>
      <c r="B38" s="3"/>
      <c r="C38" s="4"/>
      <c r="D38" s="4"/>
      <c r="E38" s="529"/>
      <c r="F38" s="529"/>
    </row>
    <row r="39" spans="1:6">
      <c r="A39" s="193"/>
      <c r="B39" s="3"/>
      <c r="C39" s="4"/>
      <c r="D39" s="4"/>
      <c r="E39" s="529"/>
      <c r="F39" s="529"/>
    </row>
    <row r="40" spans="1:6">
      <c r="A40" s="193"/>
      <c r="B40" s="3"/>
      <c r="C40" s="4"/>
      <c r="D40" s="4"/>
      <c r="E40" s="529"/>
      <c r="F40" s="529"/>
    </row>
    <row r="41" spans="1:6">
      <c r="A41" s="193"/>
      <c r="B41" s="3"/>
      <c r="C41" s="4"/>
      <c r="D41" s="4"/>
      <c r="E41" s="529"/>
      <c r="F41" s="529"/>
    </row>
    <row r="42" spans="1:6">
      <c r="A42" s="193"/>
      <c r="B42" s="3"/>
      <c r="C42" s="4"/>
      <c r="D42" s="4"/>
      <c r="E42" s="529"/>
      <c r="F42" s="529"/>
    </row>
    <row r="43" spans="1:6">
      <c r="A43" s="193"/>
      <c r="B43" s="3"/>
      <c r="C43" s="4"/>
      <c r="D43" s="4"/>
      <c r="E43" s="529"/>
      <c r="F43" s="529"/>
    </row>
    <row r="44" spans="1:6">
      <c r="A44" s="193"/>
      <c r="B44" s="3"/>
      <c r="C44" s="4"/>
      <c r="D44" s="4"/>
      <c r="E44" s="529"/>
      <c r="F44" s="529"/>
    </row>
    <row r="45" spans="1:6">
      <c r="A45" s="193"/>
      <c r="B45" s="3"/>
      <c r="C45" s="4"/>
      <c r="D45" s="4"/>
      <c r="E45" s="529"/>
      <c r="F45" s="529"/>
    </row>
    <row r="46" spans="1:6">
      <c r="A46" s="193"/>
      <c r="B46" s="3"/>
      <c r="C46" s="4"/>
      <c r="D46" s="4"/>
      <c r="E46" s="529"/>
      <c r="F46" s="529"/>
    </row>
    <row r="47" spans="1:6">
      <c r="A47" s="193"/>
      <c r="B47" s="3"/>
      <c r="C47" s="4"/>
      <c r="D47" s="4"/>
      <c r="E47" s="529"/>
      <c r="F47" s="529"/>
    </row>
    <row r="48" spans="1:6">
      <c r="A48" s="193"/>
      <c r="B48" s="3"/>
      <c r="C48" s="4"/>
      <c r="D48" s="4"/>
      <c r="E48" s="529"/>
      <c r="F48" s="529"/>
    </row>
    <row r="49" spans="1:6">
      <c r="A49" s="193"/>
      <c r="B49" s="3"/>
      <c r="C49" s="4"/>
      <c r="D49" s="4"/>
      <c r="E49" s="529"/>
      <c r="F49" s="529"/>
    </row>
    <row r="50" spans="1:6">
      <c r="A50" s="193"/>
      <c r="B50" s="3"/>
      <c r="C50" s="4"/>
      <c r="D50" s="4"/>
      <c r="E50" s="529"/>
      <c r="F50" s="529"/>
    </row>
    <row r="51" spans="1:6">
      <c r="A51" s="193"/>
      <c r="B51" s="3"/>
      <c r="C51" s="4"/>
      <c r="D51" s="4"/>
      <c r="E51" s="529"/>
      <c r="F51" s="529"/>
    </row>
    <row r="52" spans="1:6">
      <c r="A52" s="193"/>
      <c r="B52" s="3"/>
      <c r="C52" s="4"/>
      <c r="D52" s="4"/>
      <c r="E52" s="529"/>
      <c r="F52" s="529"/>
    </row>
    <row r="53" spans="1:6">
      <c r="A53" s="193"/>
      <c r="B53" s="3"/>
      <c r="C53" s="4"/>
      <c r="D53" s="4"/>
      <c r="E53" s="529"/>
      <c r="F53" s="529"/>
    </row>
    <row r="54" spans="1:6">
      <c r="A54" s="193"/>
      <c r="B54" s="3"/>
      <c r="C54" s="4"/>
      <c r="D54" s="4"/>
      <c r="E54" s="529"/>
      <c r="F54" s="529"/>
    </row>
    <row r="55" spans="1:6">
      <c r="A55" s="193"/>
      <c r="B55" s="3"/>
      <c r="C55" s="4"/>
      <c r="D55" s="4"/>
      <c r="E55" s="529"/>
      <c r="F55" s="529"/>
    </row>
    <row r="56" spans="1:6">
      <c r="A56" s="193"/>
      <c r="B56" s="3"/>
      <c r="C56" s="4"/>
      <c r="D56" s="4"/>
      <c r="E56" s="529"/>
      <c r="F56" s="529"/>
    </row>
    <row r="57" spans="1:6">
      <c r="A57" s="193"/>
      <c r="B57" s="3"/>
      <c r="C57" s="4"/>
      <c r="D57" s="4"/>
      <c r="E57" s="529"/>
      <c r="F57" s="529"/>
    </row>
    <row r="58" spans="1:6">
      <c r="A58" s="193"/>
      <c r="B58" s="3"/>
      <c r="C58" s="4"/>
      <c r="D58" s="4"/>
      <c r="E58" s="529"/>
      <c r="F58" s="529"/>
    </row>
    <row r="59" spans="1:6">
      <c r="A59" s="193"/>
      <c r="B59" s="3"/>
      <c r="C59" s="4"/>
      <c r="D59" s="4"/>
      <c r="E59" s="529"/>
      <c r="F59" s="529"/>
    </row>
    <row r="60" spans="1:6">
      <c r="A60" s="193"/>
      <c r="B60" s="3"/>
      <c r="C60" s="4"/>
      <c r="D60" s="4"/>
      <c r="E60" s="529"/>
      <c r="F60" s="529"/>
    </row>
    <row r="61" spans="1:6">
      <c r="A61" s="193"/>
      <c r="B61" s="3"/>
      <c r="C61" s="4"/>
      <c r="D61" s="4"/>
      <c r="E61" s="529"/>
      <c r="F61" s="529"/>
    </row>
    <row r="62" spans="1:6">
      <c r="A62" s="193"/>
      <c r="B62" s="3"/>
      <c r="C62" s="4"/>
      <c r="D62" s="4"/>
      <c r="E62" s="529"/>
      <c r="F62" s="529"/>
    </row>
    <row r="63" spans="1:6">
      <c r="A63" s="193"/>
      <c r="B63" s="3"/>
      <c r="C63" s="4"/>
      <c r="D63" s="4"/>
      <c r="E63" s="529"/>
      <c r="F63" s="529"/>
    </row>
    <row r="64" spans="1:6">
      <c r="A64" s="193"/>
      <c r="B64" s="3"/>
      <c r="C64" s="4"/>
      <c r="D64" s="4"/>
      <c r="E64" s="529"/>
      <c r="F64" s="529"/>
    </row>
    <row r="65" spans="1:6">
      <c r="A65" s="193"/>
      <c r="B65" s="3"/>
      <c r="C65" s="4"/>
      <c r="D65" s="4"/>
      <c r="E65" s="529"/>
      <c r="F65" s="529"/>
    </row>
    <row r="66" spans="1:6">
      <c r="A66" s="193"/>
      <c r="B66" s="3"/>
      <c r="C66" s="4"/>
      <c r="D66" s="4"/>
      <c r="E66" s="529"/>
      <c r="F66" s="529"/>
    </row>
    <row r="67" spans="1:6">
      <c r="A67" s="1038"/>
      <c r="B67" s="75"/>
      <c r="C67" s="207"/>
      <c r="D67" s="207"/>
      <c r="E67" s="91"/>
      <c r="F67" s="91"/>
    </row>
    <row r="68" spans="1:6">
      <c r="A68" s="1038"/>
      <c r="B68" s="75"/>
      <c r="C68" s="207"/>
      <c r="D68" s="207"/>
      <c r="E68" s="91"/>
      <c r="F68" s="91"/>
    </row>
    <row r="69" spans="1:6">
      <c r="A69" s="1038"/>
      <c r="B69" s="75"/>
      <c r="C69" s="207"/>
      <c r="D69" s="207"/>
      <c r="E69" s="91"/>
      <c r="F69" s="91"/>
    </row>
    <row r="70" spans="1:6">
      <c r="A70" s="1038"/>
      <c r="B70" s="75"/>
      <c r="C70" s="207"/>
      <c r="D70" s="207"/>
      <c r="E70" s="77"/>
      <c r="F70" s="77"/>
    </row>
    <row r="71" spans="1:6" hidden="1">
      <c r="B71" s="11" t="s">
        <v>663</v>
      </c>
      <c r="D71" s="207"/>
    </row>
    <row r="72" spans="1:6" hidden="1">
      <c r="B72" s="11" t="s">
        <v>754</v>
      </c>
      <c r="D72" s="207"/>
    </row>
    <row r="73" spans="1:6" hidden="1">
      <c r="B73" s="11" t="s">
        <v>458</v>
      </c>
      <c r="D73" s="207"/>
    </row>
    <row r="74" spans="1:6" hidden="1">
      <c r="B74" s="11" t="s">
        <v>75</v>
      </c>
      <c r="D74" s="207"/>
    </row>
    <row r="75" spans="1:6" hidden="1">
      <c r="B75" s="11" t="s">
        <v>394</v>
      </c>
      <c r="D75" s="207"/>
    </row>
    <row r="76" spans="1:6" hidden="1">
      <c r="B76" s="11" t="s">
        <v>312</v>
      </c>
      <c r="D76" s="207"/>
    </row>
    <row r="77" spans="1:6" hidden="1">
      <c r="B77" s="11" t="s">
        <v>266</v>
      </c>
      <c r="D77" s="207"/>
    </row>
    <row r="78" spans="1:6" hidden="1">
      <c r="B78" s="11" t="s">
        <v>267</v>
      </c>
      <c r="D78" s="207"/>
    </row>
    <row r="79" spans="1:6" hidden="1">
      <c r="B79" s="11" t="s">
        <v>76</v>
      </c>
      <c r="D79" s="207"/>
    </row>
    <row r="80" spans="1:6" hidden="1">
      <c r="B80" s="11" t="s">
        <v>268</v>
      </c>
      <c r="D80" s="207"/>
    </row>
    <row r="81" spans="2:4" hidden="1">
      <c r="B81" s="11" t="s">
        <v>269</v>
      </c>
      <c r="D81" s="207"/>
    </row>
    <row r="82" spans="2:4" hidden="1">
      <c r="B82" s="11" t="s">
        <v>270</v>
      </c>
      <c r="D82" s="207"/>
    </row>
    <row r="83" spans="2:4" hidden="1">
      <c r="B83" s="11" t="s">
        <v>271</v>
      </c>
      <c r="D83" s="207"/>
    </row>
    <row r="84" spans="2:4" hidden="1">
      <c r="B84" s="11" t="s">
        <v>77</v>
      </c>
      <c r="D84" s="207"/>
    </row>
    <row r="85" spans="2:4" hidden="1">
      <c r="B85" s="11" t="s">
        <v>727</v>
      </c>
      <c r="D85" s="207"/>
    </row>
    <row r="86" spans="2:4" hidden="1">
      <c r="B86" s="11" t="s">
        <v>673</v>
      </c>
      <c r="D86" s="207"/>
    </row>
    <row r="87" spans="2:4" hidden="1">
      <c r="B87" s="11" t="s">
        <v>2611</v>
      </c>
      <c r="D87" s="207"/>
    </row>
    <row r="88" spans="2:4" hidden="1">
      <c r="B88" s="11" t="s">
        <v>74</v>
      </c>
      <c r="D88" s="207"/>
    </row>
    <row r="89" spans="2:4" hidden="1">
      <c r="B89" s="11" t="s">
        <v>455</v>
      </c>
      <c r="D89" s="207"/>
    </row>
    <row r="90" spans="2:4">
      <c r="D90" s="207"/>
    </row>
    <row r="91" spans="2:4">
      <c r="D91" s="207"/>
    </row>
    <row r="92" spans="2:4">
      <c r="D92" s="207"/>
    </row>
    <row r="93" spans="2:4">
      <c r="D93" s="207"/>
    </row>
  </sheetData>
  <sheetProtection algorithmName="SHA-512" hashValue="9eRkbGAjBu7+tzMAAmADLJUzMjFnEtu2YD5jsFV0p2ZWtErCXItX3ifBNiGcfhmXqNw6CJd9TVFT610HsLE4ZA==" saltValue="mZRCFEJaNH7KwM7rKU7cFg==" spinCount="100000" sheet="1" objects="1" scenarios="1"/>
  <customSheetViews>
    <customSheetView guid="{5CCA66B6-9DBD-4F43-8EC0-0C18444D6068}" scale="80" showGridLines="0" fitToPage="1" hiddenRows="1" showRuler="0">
      <selection activeCell="A10" sqref="A10"/>
      <pageMargins left="0.75" right="0.75" top="0.56999999999999995" bottom="0.37" header="0.19" footer="0.17"/>
      <pageSetup scale="74"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14">
    <mergeCell ref="A5:B5"/>
    <mergeCell ref="A6:B6"/>
    <mergeCell ref="A7:B7"/>
    <mergeCell ref="A1:B1"/>
    <mergeCell ref="A2:B2"/>
    <mergeCell ref="A3:B3"/>
    <mergeCell ref="A4:B4"/>
    <mergeCell ref="C5:F5"/>
    <mergeCell ref="C6:F6"/>
    <mergeCell ref="C7:F7"/>
    <mergeCell ref="C1:F1"/>
    <mergeCell ref="C2:F2"/>
    <mergeCell ref="C3:F3"/>
    <mergeCell ref="C4:F4"/>
  </mergeCells>
  <phoneticPr fontId="46" type="noConversion"/>
  <dataValidations count="8">
    <dataValidation type="date" allowBlank="1" showInputMessage="1" showErrorMessage="1" error="Enter a date between 6/1/03 and 12/15/03" sqref="A70" xr:uid="{00000000-0002-0000-1500-000000000000}">
      <formula1>37773</formula1>
      <formula2>37970</formula2>
    </dataValidation>
    <dataValidation type="whole" allowBlank="1" showInputMessage="1" showErrorMessage="1" error="Invalid row number.  Please revise as needed." sqref="C70" xr:uid="{00000000-0002-0000-1500-000001000000}">
      <formula1>14</formula1>
      <formula2>414</formula2>
    </dataValidation>
    <dataValidation type="whole" allowBlank="1" showInputMessage="1" showErrorMessage="1" error="Invalid row number.  Please revise as needed." sqref="C67:C69 D67:D93" xr:uid="{00000000-0002-0000-1500-000002000000}">
      <formula1>12</formula1>
      <formula2>370</formula2>
    </dataValidation>
    <dataValidation type="list" allowBlank="1" showInputMessage="1" showErrorMessage="1" sqref="B70" xr:uid="{00000000-0002-0000-1500-000003000000}">
      <formula1>$B$73:$B$81</formula1>
    </dataValidation>
    <dataValidation type="list" allowBlank="1" showInputMessage="1" showErrorMessage="1" sqref="B67:B69" xr:uid="{00000000-0002-0000-1500-000004000000}">
      <formula1>$B$73:$B$87</formula1>
    </dataValidation>
    <dataValidation type="date" allowBlank="1" showInputMessage="1" showErrorMessage="1" error="Enter a date between 6/1/05 and 12/15/05" sqref="A67:A69" xr:uid="{00000000-0002-0000-1500-000005000000}">
      <formula1>38504</formula1>
      <formula2>38701</formula2>
    </dataValidation>
    <dataValidation type="list" allowBlank="1" showInputMessage="1" showErrorMessage="1" error="Use the drop-down list to enter a tab name." sqref="B10:B66" xr:uid="{00000000-0002-0000-1500-000006000000}">
      <formula1>$B$71:$B$89</formula1>
    </dataValidation>
    <dataValidation allowBlank="1" showInputMessage="1" showErrorMessage="1" error="Enter a date between 6/1/07 and 12/15/07" sqref="A10:A66" xr:uid="{00000000-0002-0000-1500-000007000000}"/>
  </dataValidations>
  <pageMargins left="0.75" right="0.28999999999999998" top="0.65" bottom="0.37" header="0.19" footer="0.17"/>
  <pageSetup scale="75"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D752-1A03-4EF2-97CD-DF65DD79F6DF}">
  <sheetPr>
    <tabColor rgb="FFFF0000"/>
  </sheetPr>
  <dimension ref="A1:AF87"/>
  <sheetViews>
    <sheetView showGridLines="0" topLeftCell="A8" zoomScaleNormal="100" zoomScaleSheetLayoutView="120" workbookViewId="0">
      <pane xSplit="6" ySplit="14" topLeftCell="G22" activePane="bottomRight" state="frozen"/>
      <selection activeCell="A8" sqref="A8"/>
      <selection pane="topRight" activeCell="G8" sqref="G8"/>
      <selection pane="bottomLeft" activeCell="A22" sqref="A22"/>
      <selection pane="bottomRight" activeCell="AC18" sqref="AC18"/>
    </sheetView>
  </sheetViews>
  <sheetFormatPr defaultColWidth="7.5546875" defaultRowHeight="13.2"/>
  <cols>
    <col min="1" max="3" width="1.88671875" customWidth="1"/>
    <col min="4" max="4" width="27.88671875" customWidth="1"/>
    <col min="5" max="5" width="27" customWidth="1"/>
    <col min="6" max="6" width="11.44140625" customWidth="1"/>
    <col min="7" max="7" width="17.6640625" style="17" customWidth="1"/>
    <col min="8" max="8" width="2.44140625" style="17" customWidth="1"/>
    <col min="9" max="9" width="17.6640625" style="17" customWidth="1"/>
    <col min="10" max="10" width="2.44140625" style="17" customWidth="1"/>
    <col min="11" max="11" width="13.44140625" style="17" customWidth="1"/>
    <col min="12" max="12" width="3" style="17" customWidth="1"/>
    <col min="13" max="13" width="13.44140625" style="17" customWidth="1"/>
    <col min="14" max="14" width="3" style="17" customWidth="1"/>
    <col min="15" max="15" width="14.33203125" style="17" customWidth="1"/>
    <col min="16" max="16" width="2.44140625" style="17" customWidth="1"/>
    <col min="17" max="17" width="13.44140625" style="17" customWidth="1"/>
    <col min="18" max="18" width="2.44140625" style="17" customWidth="1"/>
    <col min="19" max="19" width="16" style="17" customWidth="1"/>
    <col min="20" max="20" width="2.44140625" style="17" customWidth="1"/>
    <col min="21" max="21" width="14.5546875" style="17" customWidth="1"/>
    <col min="22" max="22" width="2.44140625" style="17" customWidth="1"/>
    <col min="23" max="23" width="14.44140625" style="17" customWidth="1"/>
    <col min="24" max="24" width="2.44140625" style="17" customWidth="1"/>
    <col min="25" max="25" width="15.109375" style="17" customWidth="1"/>
    <col min="26" max="26" width="4" style="17" customWidth="1"/>
    <col min="27" max="27" width="12.33203125" style="17" customWidth="1"/>
    <col min="28" max="28" width="3.33203125" style="17" customWidth="1"/>
    <col min="29" max="29" width="12.33203125" style="17" customWidth="1"/>
    <col min="30" max="30" width="3" style="17" customWidth="1"/>
    <col min="31" max="31" width="12.33203125" style="17" customWidth="1"/>
    <col min="32" max="32" width="13.44140625" style="17" customWidth="1"/>
    <col min="33" max="16384" width="7.5546875" style="17"/>
  </cols>
  <sheetData>
    <row r="1" spans="1:19" ht="12.75" hidden="1" customHeight="1">
      <c r="A1" s="1050"/>
      <c r="B1" s="1051"/>
      <c r="C1" s="1051"/>
      <c r="D1" s="1051"/>
      <c r="E1" s="1048"/>
      <c r="F1" s="1049"/>
    </row>
    <row r="2" spans="1:19" ht="23.25" hidden="1" customHeight="1">
      <c r="A2" s="1050"/>
      <c r="B2" s="1051"/>
      <c r="C2" s="1051"/>
      <c r="D2" s="1051"/>
      <c r="E2" s="1058"/>
      <c r="F2" s="1055"/>
      <c r="G2"/>
      <c r="H2"/>
      <c r="I2"/>
      <c r="J2"/>
    </row>
    <row r="3" spans="1:19" ht="15" hidden="1" customHeight="1">
      <c r="A3" s="1050"/>
      <c r="B3" s="1051"/>
      <c r="C3" s="1051"/>
      <c r="D3" s="1051"/>
      <c r="E3" s="1059"/>
      <c r="F3" s="1060"/>
      <c r="G3"/>
      <c r="H3"/>
      <c r="I3"/>
      <c r="J3"/>
    </row>
    <row r="4" spans="1:19" ht="12.75" hidden="1" customHeight="1">
      <c r="A4" s="1050"/>
      <c r="B4" s="1051"/>
      <c r="C4" s="1051"/>
      <c r="D4" s="1051"/>
      <c r="E4" s="1059"/>
      <c r="F4" s="1060"/>
      <c r="G4"/>
      <c r="H4"/>
      <c r="I4"/>
      <c r="J4"/>
    </row>
    <row r="5" spans="1:19" ht="12.75" hidden="1" customHeight="1">
      <c r="A5" s="1050"/>
      <c r="B5" s="1051"/>
      <c r="C5" s="1051"/>
      <c r="D5" s="1051"/>
      <c r="E5" s="1054"/>
      <c r="F5" s="1055"/>
      <c r="G5"/>
      <c r="H5"/>
      <c r="I5"/>
      <c r="J5"/>
    </row>
    <row r="6" spans="1:19" ht="12.75" hidden="1" customHeight="1">
      <c r="A6" s="1050"/>
      <c r="B6" s="1051"/>
      <c r="C6" s="1051"/>
      <c r="D6" s="1051"/>
      <c r="E6" s="1056"/>
      <c r="F6" s="1057"/>
      <c r="G6"/>
      <c r="H6"/>
      <c r="I6"/>
      <c r="J6"/>
    </row>
    <row r="7" spans="1:19" ht="12.75" hidden="1" customHeight="1">
      <c r="A7" s="1050"/>
      <c r="B7" s="1051"/>
      <c r="C7" s="1051"/>
      <c r="D7" s="1051"/>
      <c r="E7" s="1048"/>
      <c r="F7" s="1048"/>
      <c r="G7"/>
      <c r="H7"/>
      <c r="I7"/>
      <c r="J7"/>
    </row>
    <row r="8" spans="1:19">
      <c r="A8" s="27" t="s">
        <v>405</v>
      </c>
      <c r="B8" s="84"/>
      <c r="C8" s="84"/>
      <c r="D8" s="84"/>
      <c r="E8" s="85"/>
      <c r="F8" s="87"/>
      <c r="G8"/>
      <c r="H8"/>
      <c r="I8"/>
      <c r="J8"/>
    </row>
    <row r="9" spans="1:19" hidden="1">
      <c r="A9" s="18"/>
      <c r="E9" s="86"/>
      <c r="F9" s="87"/>
      <c r="G9" s="233"/>
      <c r="H9"/>
      <c r="I9"/>
      <c r="J9"/>
      <c r="K9" s="234"/>
      <c r="M9" s="234"/>
      <c r="O9" s="234"/>
      <c r="Q9" s="234"/>
      <c r="R9" s="234"/>
      <c r="S9" s="234"/>
    </row>
    <row r="10" spans="1:19" hidden="1">
      <c r="A10" s="1053"/>
      <c r="B10" s="1053"/>
      <c r="C10" s="1053"/>
      <c r="D10" s="1053"/>
      <c r="E10" s="1053"/>
      <c r="F10" s="1053"/>
      <c r="G10" s="233"/>
      <c r="H10"/>
      <c r="I10"/>
      <c r="J10"/>
      <c r="K10" s="234"/>
      <c r="M10" s="234"/>
      <c r="O10" s="234"/>
      <c r="Q10" s="234"/>
      <c r="R10" s="234"/>
      <c r="S10" s="234"/>
    </row>
    <row r="11" spans="1:19" hidden="1">
      <c r="A11" s="1053"/>
      <c r="B11" s="1053"/>
      <c r="C11" s="1053"/>
      <c r="D11" s="1053"/>
      <c r="E11" s="1053"/>
      <c r="F11" s="1053"/>
      <c r="G11" s="233"/>
      <c r="H11"/>
      <c r="I11"/>
      <c r="J11"/>
      <c r="K11" s="234"/>
      <c r="M11" s="234"/>
      <c r="O11" s="234"/>
      <c r="Q11" s="234"/>
      <c r="R11" s="234"/>
      <c r="S11" s="234"/>
    </row>
    <row r="12" spans="1:19" hidden="1">
      <c r="A12" s="1053"/>
      <c r="B12" s="1053"/>
      <c r="C12" s="1053"/>
      <c r="D12" s="1053"/>
      <c r="E12" s="1053"/>
      <c r="F12" s="1053"/>
      <c r="G12" s="233"/>
      <c r="H12"/>
      <c r="I12"/>
      <c r="J12"/>
      <c r="K12" s="234"/>
      <c r="M12" s="234"/>
      <c r="O12" s="234"/>
      <c r="Q12" s="234"/>
      <c r="R12" s="234"/>
      <c r="S12" s="234"/>
    </row>
    <row r="13" spans="1:19" hidden="1">
      <c r="A13" s="1053"/>
      <c r="B13" s="1053"/>
      <c r="C13" s="1053"/>
      <c r="D13" s="1053"/>
      <c r="E13" s="1053"/>
      <c r="F13" s="1053"/>
      <c r="G13" s="233"/>
      <c r="H13"/>
      <c r="I13"/>
      <c r="J13"/>
      <c r="K13" s="234"/>
      <c r="M13" s="234"/>
      <c r="O13" s="234"/>
      <c r="Q13" s="234"/>
      <c r="R13" s="234"/>
      <c r="S13" s="234"/>
    </row>
    <row r="14" spans="1:19" hidden="1">
      <c r="A14" s="1053"/>
      <c r="B14" s="1053"/>
      <c r="C14" s="1053"/>
      <c r="D14" s="1053"/>
      <c r="E14" s="1053"/>
      <c r="F14" s="1053"/>
      <c r="G14" s="233"/>
      <c r="H14"/>
      <c r="I14"/>
      <c r="J14"/>
      <c r="K14" s="234"/>
      <c r="M14" s="234"/>
      <c r="O14" s="234"/>
      <c r="Q14" s="234"/>
      <c r="R14" s="234"/>
      <c r="S14" s="234"/>
    </row>
    <row r="15" spans="1:19" hidden="1">
      <c r="A15" s="1053"/>
      <c r="B15" s="1053"/>
      <c r="C15" s="1053"/>
      <c r="D15" s="1053"/>
      <c r="E15" s="1053"/>
      <c r="F15" s="1053"/>
      <c r="G15" s="233"/>
      <c r="H15"/>
      <c r="I15"/>
      <c r="J15"/>
      <c r="K15" s="234"/>
      <c r="M15" s="234"/>
      <c r="O15" s="234"/>
      <c r="Q15" s="234"/>
      <c r="R15" s="234"/>
      <c r="S15" s="234"/>
    </row>
    <row r="16" spans="1:19" hidden="1">
      <c r="A16" s="27"/>
      <c r="B16" s="17"/>
      <c r="C16" s="17"/>
      <c r="D16" s="17"/>
      <c r="E16" s="19"/>
      <c r="F16" s="20"/>
      <c r="G16" s="233"/>
      <c r="H16"/>
      <c r="I16"/>
      <c r="J16"/>
      <c r="K16" s="234"/>
      <c r="M16" s="234"/>
      <c r="O16" s="234"/>
      <c r="Q16" s="234"/>
      <c r="R16" s="234"/>
      <c r="S16" s="234"/>
    </row>
    <row r="17" spans="1:32" ht="12.75" customHeight="1">
      <c r="A17" s="1064" t="s">
        <v>3269</v>
      </c>
      <c r="B17" s="1064"/>
      <c r="C17" s="1064"/>
      <c r="D17" s="1064"/>
      <c r="E17" s="23"/>
      <c r="F17" s="24"/>
      <c r="G17"/>
      <c r="H17"/>
      <c r="I17"/>
      <c r="J17"/>
    </row>
    <row r="18" spans="1:32" ht="12.75" customHeight="1">
      <c r="A18" s="25"/>
      <c r="B18" s="25"/>
      <c r="C18" s="25"/>
      <c r="D18" s="25"/>
      <c r="E18" s="17"/>
      <c r="F18" s="26"/>
      <c r="G18" s="238"/>
      <c r="H18"/>
      <c r="I18"/>
      <c r="J18"/>
    </row>
    <row r="19" spans="1:32">
      <c r="A19" s="25"/>
      <c r="B19" s="25"/>
      <c r="C19" s="25"/>
      <c r="D19" s="25"/>
      <c r="E19" s="17"/>
      <c r="F19" s="26"/>
      <c r="G19" s="26"/>
      <c r="H19" s="160"/>
      <c r="I19" s="26"/>
      <c r="J19"/>
      <c r="K19" s="26"/>
      <c r="L19" s="26"/>
      <c r="M19" s="26"/>
      <c r="N19" s="26"/>
      <c r="O19" s="26"/>
      <c r="Q19" s="26"/>
      <c r="S19" s="26"/>
      <c r="U19" s="26"/>
      <c r="W19" s="26"/>
      <c r="Y19" s="26"/>
      <c r="Z19" s="26"/>
      <c r="AA19" s="26"/>
      <c r="AB19" s="26"/>
      <c r="AC19" s="26"/>
      <c r="AE19" s="26"/>
    </row>
    <row r="20" spans="1:32">
      <c r="E20" s="139" t="s">
        <v>403</v>
      </c>
    </row>
    <row r="21" spans="1:32" ht="36">
      <c r="D21" s="273"/>
      <c r="E21" s="274"/>
      <c r="F21">
        <v>1</v>
      </c>
      <c r="G21" s="444" t="s">
        <v>682</v>
      </c>
      <c r="H21" s="16"/>
      <c r="I21" s="444" t="s">
        <v>683</v>
      </c>
      <c r="J21" s="16"/>
      <c r="K21" s="445" t="s">
        <v>2726</v>
      </c>
      <c r="L21" s="16"/>
      <c r="M21" s="445" t="s">
        <v>145</v>
      </c>
      <c r="N21" s="16"/>
      <c r="O21" s="444" t="s">
        <v>696</v>
      </c>
      <c r="P21" s="132"/>
      <c r="Q21" s="445" t="s">
        <v>210</v>
      </c>
      <c r="R21" s="16"/>
      <c r="S21" s="444" t="s">
        <v>212</v>
      </c>
      <c r="T21" s="16"/>
      <c r="U21" s="445" t="s">
        <v>213</v>
      </c>
      <c r="V21" s="16"/>
      <c r="W21" s="444" t="s">
        <v>214</v>
      </c>
      <c r="X21" s="16"/>
      <c r="Y21" s="444" t="s">
        <v>215</v>
      </c>
      <c r="Z21" s="16"/>
      <c r="AA21" s="442" t="s">
        <v>2758</v>
      </c>
      <c r="AB21" s="16"/>
      <c r="AC21" s="442"/>
      <c r="AD21" s="23"/>
      <c r="AE21" s="445" t="s">
        <v>591</v>
      </c>
    </row>
    <row r="22" spans="1:32">
      <c r="D22" s="59"/>
      <c r="E22" s="108" t="s">
        <v>100</v>
      </c>
      <c r="F22">
        <v>2</v>
      </c>
    </row>
    <row r="23" spans="1:32">
      <c r="D23" s="108"/>
      <c r="E23" s="108" t="s">
        <v>101</v>
      </c>
      <c r="F23">
        <v>3</v>
      </c>
      <c r="G23" s="220"/>
      <c r="I23" s="220">
        <v>150000</v>
      </c>
      <c r="K23" s="137"/>
      <c r="L23" s="208"/>
      <c r="M23" s="137"/>
      <c r="N23" s="208"/>
      <c r="O23" s="137"/>
      <c r="Q23" s="137">
        <v>227869</v>
      </c>
      <c r="S23" s="137"/>
      <c r="U23" s="137"/>
      <c r="W23" s="137"/>
      <c r="Y23" s="137"/>
      <c r="Z23" s="208"/>
      <c r="AA23" s="137"/>
      <c r="AB23" s="208"/>
      <c r="AC23" s="137"/>
      <c r="AE23" s="137"/>
      <c r="AF23" s="5">
        <f>SUM(G23:AE23)</f>
        <v>377869</v>
      </c>
    </row>
    <row r="24" spans="1:32">
      <c r="D24" s="108"/>
      <c r="E24" s="108" t="s">
        <v>103</v>
      </c>
      <c r="F24">
        <v>4</v>
      </c>
      <c r="G24" s="220"/>
      <c r="I24" s="220">
        <v>1192387</v>
      </c>
      <c r="K24" s="137"/>
      <c r="L24" s="208"/>
      <c r="M24" s="137"/>
      <c r="N24" s="208"/>
      <c r="O24" s="137"/>
      <c r="Q24" s="137">
        <v>90000</v>
      </c>
      <c r="S24" s="137"/>
      <c r="U24" s="137"/>
      <c r="W24" s="137"/>
      <c r="Y24" s="137"/>
      <c r="Z24" s="208"/>
      <c r="AA24" s="137"/>
      <c r="AB24" s="208"/>
      <c r="AC24" s="137"/>
      <c r="AE24" s="137"/>
      <c r="AF24" s="5">
        <f>SUM(G24:AE24)</f>
        <v>1282387</v>
      </c>
    </row>
    <row r="25" spans="1:32">
      <c r="D25" s="108"/>
      <c r="E25" s="108" t="s">
        <v>137</v>
      </c>
      <c r="F25">
        <v>5</v>
      </c>
      <c r="G25" s="220"/>
      <c r="I25" s="220"/>
      <c r="K25" s="137"/>
      <c r="L25" s="208"/>
      <c r="M25" s="137"/>
      <c r="N25" s="208"/>
      <c r="O25" s="137"/>
      <c r="Q25" s="137"/>
      <c r="S25" s="137"/>
      <c r="U25" s="137"/>
      <c r="W25" s="137"/>
      <c r="Y25" s="137"/>
      <c r="Z25" s="208"/>
      <c r="AA25" s="137"/>
      <c r="AB25" s="208"/>
      <c r="AC25" s="137"/>
      <c r="AE25" s="137"/>
      <c r="AF25" s="5">
        <f>SUM(G25:AE25)</f>
        <v>0</v>
      </c>
    </row>
    <row r="26" spans="1:32">
      <c r="D26" s="108"/>
      <c r="E26" s="108" t="s">
        <v>138</v>
      </c>
      <c r="F26">
        <v>6</v>
      </c>
      <c r="G26" s="220"/>
      <c r="I26" s="220"/>
      <c r="K26" s="137"/>
      <c r="L26" s="208"/>
      <c r="M26" s="137"/>
      <c r="N26" s="208"/>
      <c r="O26" s="137"/>
      <c r="Q26" s="137"/>
      <c r="S26" s="137"/>
      <c r="U26" s="137"/>
      <c r="W26" s="137"/>
      <c r="Y26" s="137"/>
      <c r="Z26" s="208"/>
      <c r="AA26" s="137"/>
      <c r="AB26" s="208"/>
      <c r="AC26" s="137"/>
      <c r="AE26" s="137"/>
      <c r="AF26" s="5">
        <f>SUM(G26:AE26)</f>
        <v>0</v>
      </c>
    </row>
    <row r="27" spans="1:32">
      <c r="D27" s="59"/>
      <c r="E27" s="108" t="s">
        <v>139</v>
      </c>
      <c r="F27">
        <v>7</v>
      </c>
      <c r="G27" s="220"/>
      <c r="I27" s="220"/>
      <c r="K27" s="137"/>
      <c r="L27" s="208"/>
      <c r="M27" s="137"/>
      <c r="N27" s="208"/>
      <c r="O27" s="137"/>
      <c r="Q27" s="137"/>
      <c r="S27" s="137"/>
      <c r="U27" s="137"/>
      <c r="W27" s="137"/>
      <c r="Y27" s="137"/>
      <c r="Z27" s="208"/>
      <c r="AA27" s="137"/>
      <c r="AB27" s="208"/>
      <c r="AC27" s="137"/>
      <c r="AE27" s="137"/>
      <c r="AF27" s="5">
        <f>SUM(G27:AE27)</f>
        <v>0</v>
      </c>
    </row>
    <row r="28" spans="1:32">
      <c r="D28" s="59"/>
      <c r="E28" s="108"/>
      <c r="G28" s="221"/>
      <c r="I28" s="221"/>
      <c r="K28" s="208"/>
      <c r="L28" s="208"/>
      <c r="M28" s="208"/>
      <c r="N28" s="208"/>
      <c r="O28" s="208"/>
      <c r="Q28" s="208"/>
      <c r="S28" s="208"/>
      <c r="U28" s="208"/>
      <c r="W28" s="208"/>
      <c r="Y28" s="208"/>
      <c r="Z28" s="208"/>
      <c r="AA28" s="208"/>
      <c r="AB28" s="208"/>
      <c r="AC28" s="208"/>
      <c r="AE28" s="208"/>
    </row>
    <row r="29" spans="1:32">
      <c r="D29" s="59"/>
      <c r="E29" s="108" t="s">
        <v>104</v>
      </c>
      <c r="F29">
        <v>8</v>
      </c>
      <c r="G29" s="222">
        <f>SUM(G23:G24)</f>
        <v>0</v>
      </c>
      <c r="I29" s="222">
        <f>SUM(I23:I24)</f>
        <v>1342387</v>
      </c>
      <c r="K29" s="222">
        <f>SUM(K23:K24)</f>
        <v>0</v>
      </c>
      <c r="L29" s="221"/>
      <c r="M29" s="222">
        <f>SUM(M23:M24)</f>
        <v>0</v>
      </c>
      <c r="N29" s="221"/>
      <c r="O29" s="222">
        <f>SUM(O23:O24)</f>
        <v>0</v>
      </c>
      <c r="P29" s="221"/>
      <c r="Q29" s="222">
        <f t="shared" ref="Q29:AE29" si="0">SUM(Q23:Q24)</f>
        <v>317869</v>
      </c>
      <c r="R29" s="221"/>
      <c r="S29" s="222">
        <f t="shared" si="0"/>
        <v>0</v>
      </c>
      <c r="T29" s="221"/>
      <c r="U29" s="222">
        <f t="shared" si="0"/>
        <v>0</v>
      </c>
      <c r="V29" s="221"/>
      <c r="W29" s="222">
        <f t="shared" si="0"/>
        <v>0</v>
      </c>
      <c r="X29" s="221"/>
      <c r="Y29" s="222">
        <f t="shared" si="0"/>
        <v>0</v>
      </c>
      <c r="Z29" s="221"/>
      <c r="AA29" s="222">
        <f t="shared" ref="AA29" si="1">SUM(AA23:AA24)</f>
        <v>0</v>
      </c>
      <c r="AB29" s="221"/>
      <c r="AC29" s="222">
        <f t="shared" ref="AC29" si="2">SUM(AC23:AC24)</f>
        <v>0</v>
      </c>
      <c r="AE29" s="222">
        <f t="shared" si="0"/>
        <v>0</v>
      </c>
      <c r="AF29" s="5">
        <f>SUM(G29:AE29)</f>
        <v>1660256</v>
      </c>
    </row>
    <row r="30" spans="1:32">
      <c r="D30" s="59"/>
      <c r="E30" s="108"/>
      <c r="F30">
        <v>9</v>
      </c>
      <c r="G30" s="221"/>
      <c r="I30" s="221"/>
      <c r="K30" s="177"/>
      <c r="L30" s="177"/>
      <c r="M30" s="177"/>
      <c r="N30" s="177"/>
      <c r="O30" s="177"/>
      <c r="Q30" s="177"/>
      <c r="S30" s="177"/>
      <c r="U30" s="177"/>
      <c r="W30" s="177"/>
      <c r="Y30" s="177"/>
      <c r="Z30" s="177"/>
      <c r="AA30" s="177"/>
      <c r="AB30" s="177"/>
      <c r="AC30" s="177"/>
      <c r="AE30" s="177"/>
    </row>
    <row r="31" spans="1:32">
      <c r="D31" s="59"/>
      <c r="E31" s="493" t="s">
        <v>3077</v>
      </c>
      <c r="F31">
        <v>10</v>
      </c>
      <c r="G31" s="221"/>
      <c r="I31" s="221"/>
      <c r="K31" s="177"/>
      <c r="L31" s="177"/>
      <c r="M31" s="177"/>
      <c r="N31" s="177"/>
      <c r="O31" s="177"/>
      <c r="Q31" s="177"/>
      <c r="S31" s="177"/>
      <c r="U31" s="177"/>
      <c r="W31" s="177"/>
      <c r="Y31" s="177"/>
      <c r="Z31" s="177"/>
      <c r="AA31" s="177"/>
      <c r="AB31" s="177"/>
      <c r="AC31" s="177"/>
      <c r="AE31" s="177"/>
    </row>
    <row r="32" spans="1:32">
      <c r="D32" s="108"/>
      <c r="E32" s="108" t="s">
        <v>106</v>
      </c>
      <c r="F32">
        <v>12</v>
      </c>
      <c r="G32" s="220"/>
      <c r="I32" s="220">
        <v>13884113</v>
      </c>
      <c r="K32" s="137"/>
      <c r="L32" s="208"/>
      <c r="M32" s="137"/>
      <c r="N32" s="208"/>
      <c r="O32" s="137"/>
      <c r="Q32" s="137">
        <v>6277792</v>
      </c>
      <c r="S32" s="137"/>
      <c r="U32" s="137">
        <v>1188484</v>
      </c>
      <c r="W32" s="137"/>
      <c r="Y32" s="137"/>
      <c r="Z32" s="208"/>
      <c r="AA32" s="137"/>
      <c r="AB32" s="208"/>
      <c r="AC32" s="137"/>
      <c r="AE32" s="137">
        <v>2997</v>
      </c>
      <c r="AF32" s="5">
        <f t="shared" ref="AF32:AF41" si="3">SUM(G32:AE32)</f>
        <v>21353386</v>
      </c>
    </row>
    <row r="33" spans="4:32">
      <c r="D33" s="108"/>
      <c r="E33" s="108" t="s">
        <v>107</v>
      </c>
      <c r="F33">
        <v>13</v>
      </c>
      <c r="G33" s="220">
        <v>1415594</v>
      </c>
      <c r="I33" s="220">
        <v>3175827</v>
      </c>
      <c r="K33" s="137">
        <v>65150160</v>
      </c>
      <c r="L33" s="208"/>
      <c r="M33" s="137"/>
      <c r="N33" s="208"/>
      <c r="O33" s="137"/>
      <c r="Q33" s="137">
        <v>25967461</v>
      </c>
      <c r="S33" s="137"/>
      <c r="U33" s="137">
        <v>81694211</v>
      </c>
      <c r="W33" s="137"/>
      <c r="Y33" s="137"/>
      <c r="Z33" s="208"/>
      <c r="AA33" s="137"/>
      <c r="AB33" s="208"/>
      <c r="AC33" s="137"/>
      <c r="AE33" s="137">
        <v>102835</v>
      </c>
      <c r="AF33" s="5">
        <f t="shared" si="3"/>
        <v>177506088</v>
      </c>
    </row>
    <row r="34" spans="4:32">
      <c r="D34" s="108"/>
      <c r="E34" s="108" t="s">
        <v>108</v>
      </c>
      <c r="F34">
        <v>14</v>
      </c>
      <c r="G34" s="220">
        <v>3606833</v>
      </c>
      <c r="I34" s="220">
        <v>715395</v>
      </c>
      <c r="K34" s="137"/>
      <c r="L34" s="208"/>
      <c r="M34" s="137"/>
      <c r="N34" s="208"/>
      <c r="O34" s="137"/>
      <c r="Q34" s="137">
        <v>682937</v>
      </c>
      <c r="S34" s="137"/>
      <c r="U34" s="137"/>
      <c r="W34" s="137"/>
      <c r="Y34" s="137"/>
      <c r="Z34" s="208"/>
      <c r="AA34" s="137"/>
      <c r="AB34" s="208"/>
      <c r="AC34" s="137"/>
      <c r="AE34" s="137"/>
      <c r="AF34" s="5">
        <f t="shared" si="3"/>
        <v>5005165</v>
      </c>
    </row>
    <row r="35" spans="4:32">
      <c r="D35" s="108"/>
      <c r="E35" s="108" t="s">
        <v>140</v>
      </c>
      <c r="F35">
        <v>15</v>
      </c>
      <c r="G35" s="220"/>
      <c r="I35" s="220"/>
      <c r="K35" s="137"/>
      <c r="L35" s="208"/>
      <c r="M35" s="137"/>
      <c r="N35" s="208"/>
      <c r="O35" s="137"/>
      <c r="Q35" s="137"/>
      <c r="S35" s="137"/>
      <c r="U35" s="137"/>
      <c r="W35" s="137"/>
      <c r="Y35" s="137"/>
      <c r="Z35" s="208"/>
      <c r="AA35" s="137"/>
      <c r="AB35" s="208"/>
      <c r="AC35" s="137"/>
      <c r="AE35" s="137"/>
      <c r="AF35" s="5">
        <f t="shared" si="3"/>
        <v>0</v>
      </c>
    </row>
    <row r="36" spans="4:32">
      <c r="D36" s="108"/>
      <c r="E36" s="108" t="s">
        <v>141</v>
      </c>
      <c r="F36">
        <v>16</v>
      </c>
      <c r="G36" s="220"/>
      <c r="I36" s="220"/>
      <c r="K36" s="137"/>
      <c r="L36" s="208"/>
      <c r="M36" s="137"/>
      <c r="N36" s="208"/>
      <c r="O36" s="137"/>
      <c r="Q36" s="137"/>
      <c r="S36" s="137"/>
      <c r="U36" s="137"/>
      <c r="W36" s="137"/>
      <c r="Y36" s="137"/>
      <c r="Z36" s="208"/>
      <c r="AA36" s="137"/>
      <c r="AB36" s="208"/>
      <c r="AC36" s="137"/>
      <c r="AE36" s="137"/>
      <c r="AF36" s="5">
        <f t="shared" si="3"/>
        <v>0</v>
      </c>
    </row>
    <row r="37" spans="4:32">
      <c r="D37" s="108"/>
      <c r="E37" s="108" t="s">
        <v>142</v>
      </c>
      <c r="F37">
        <v>17</v>
      </c>
      <c r="G37" s="5"/>
      <c r="I37" s="5"/>
      <c r="K37" s="5"/>
      <c r="L37" s="5"/>
      <c r="M37" s="5"/>
      <c r="N37" s="5"/>
      <c r="O37" s="5"/>
      <c r="P37" s="5"/>
      <c r="Q37" s="5"/>
      <c r="R37" s="5"/>
      <c r="S37" s="5"/>
      <c r="U37" s="5"/>
      <c r="W37" s="5"/>
      <c r="Y37" s="5"/>
      <c r="Z37" s="5"/>
      <c r="AA37" s="5"/>
      <c r="AB37" s="5"/>
      <c r="AC37" s="5"/>
      <c r="AE37" s="5"/>
      <c r="AF37" s="5">
        <f t="shared" si="3"/>
        <v>0</v>
      </c>
    </row>
    <row r="38" spans="4:32">
      <c r="D38" s="108"/>
      <c r="E38" s="108" t="s">
        <v>143</v>
      </c>
      <c r="F38">
        <v>18</v>
      </c>
      <c r="G38" s="220"/>
      <c r="I38" s="220"/>
      <c r="K38" s="137">
        <v>62110908</v>
      </c>
      <c r="L38" s="208"/>
      <c r="M38" s="137"/>
      <c r="N38" s="208"/>
      <c r="O38" s="137">
        <v>191049348</v>
      </c>
      <c r="Q38" s="137">
        <v>640972</v>
      </c>
      <c r="S38" s="137"/>
      <c r="U38" s="137"/>
      <c r="W38" s="137">
        <v>249936</v>
      </c>
      <c r="Y38" s="137"/>
      <c r="Z38" s="208"/>
      <c r="AA38" s="137"/>
      <c r="AB38" s="208"/>
      <c r="AC38" s="137"/>
      <c r="AE38" s="137"/>
      <c r="AF38" s="5">
        <f t="shared" si="3"/>
        <v>254051164</v>
      </c>
    </row>
    <row r="39" spans="4:32">
      <c r="D39" s="108"/>
      <c r="E39" s="108" t="s">
        <v>154</v>
      </c>
      <c r="F39">
        <v>19</v>
      </c>
      <c r="G39" s="220"/>
      <c r="I39" s="220"/>
      <c r="K39" s="137"/>
      <c r="L39" s="208"/>
      <c r="M39" s="137"/>
      <c r="N39" s="208"/>
      <c r="O39" s="137"/>
      <c r="Q39" s="137"/>
      <c r="S39" s="137"/>
      <c r="U39" s="137"/>
      <c r="W39" s="137"/>
      <c r="Y39" s="137"/>
      <c r="Z39" s="208"/>
      <c r="AA39" s="137"/>
      <c r="AB39" s="208"/>
      <c r="AC39" s="137"/>
      <c r="AE39" s="137"/>
      <c r="AF39" s="5">
        <f t="shared" si="3"/>
        <v>0</v>
      </c>
    </row>
    <row r="40" spans="4:32">
      <c r="D40" s="108"/>
      <c r="E40" s="108" t="s">
        <v>155</v>
      </c>
      <c r="F40">
        <v>20</v>
      </c>
      <c r="G40" s="220"/>
      <c r="I40" s="220"/>
      <c r="K40" s="137"/>
      <c r="L40" s="208"/>
      <c r="M40" s="137"/>
      <c r="N40" s="208"/>
      <c r="O40" s="137"/>
      <c r="Q40" s="137"/>
      <c r="S40" s="137"/>
      <c r="U40" s="137"/>
      <c r="W40" s="137"/>
      <c r="Y40" s="137"/>
      <c r="Z40" s="208"/>
      <c r="AA40" s="137"/>
      <c r="AB40" s="208"/>
      <c r="AC40" s="137"/>
      <c r="AE40" s="137"/>
      <c r="AF40" s="5">
        <f t="shared" si="3"/>
        <v>0</v>
      </c>
    </row>
    <row r="41" spans="4:32">
      <c r="D41" s="108"/>
      <c r="E41" s="493" t="s">
        <v>157</v>
      </c>
      <c r="F41">
        <v>21</v>
      </c>
      <c r="G41" s="220"/>
      <c r="I41" s="220"/>
      <c r="K41" s="137"/>
      <c r="L41" s="208"/>
      <c r="M41" s="137"/>
      <c r="N41" s="208"/>
      <c r="O41" s="137"/>
      <c r="Q41" s="137"/>
      <c r="S41" s="137"/>
      <c r="U41" s="137"/>
      <c r="W41" s="137"/>
      <c r="Y41" s="137"/>
      <c r="Z41" s="208"/>
      <c r="AA41" s="137"/>
      <c r="AB41" s="208"/>
      <c r="AC41" s="137"/>
      <c r="AE41" s="137"/>
      <c r="AF41" s="5">
        <f t="shared" si="3"/>
        <v>0</v>
      </c>
    </row>
    <row r="42" spans="4:32">
      <c r="D42" s="275"/>
      <c r="E42" s="276"/>
      <c r="F42">
        <v>22</v>
      </c>
      <c r="G42" s="224"/>
      <c r="I42" s="224"/>
      <c r="K42" s="177"/>
      <c r="L42" s="177"/>
      <c r="M42" s="177"/>
      <c r="N42" s="177"/>
      <c r="O42" s="177"/>
      <c r="Q42" s="177"/>
      <c r="S42" s="177"/>
      <c r="U42" s="177"/>
      <c r="W42" s="177"/>
      <c r="Y42" s="177"/>
      <c r="Z42" s="177"/>
      <c r="AA42" s="177"/>
      <c r="AB42" s="177"/>
      <c r="AC42" s="177"/>
      <c r="AE42" s="177"/>
      <c r="AF42" s="5"/>
    </row>
    <row r="43" spans="4:32">
      <c r="D43" s="275"/>
      <c r="E43" s="515" t="s">
        <v>3276</v>
      </c>
      <c r="F43">
        <v>23</v>
      </c>
      <c r="G43" s="221"/>
      <c r="I43" s="221"/>
      <c r="K43" s="208"/>
      <c r="L43" s="208"/>
      <c r="M43" s="208"/>
      <c r="N43" s="208"/>
      <c r="O43" s="208"/>
      <c r="Q43" s="208"/>
      <c r="S43" s="208"/>
      <c r="U43" s="208"/>
      <c r="W43" s="208"/>
      <c r="Y43" s="208"/>
      <c r="Z43" s="208"/>
      <c r="AA43" s="208"/>
      <c r="AB43" s="208"/>
      <c r="AC43" s="208"/>
      <c r="AE43" s="208"/>
      <c r="AF43" s="5">
        <f t="shared" ref="AF43:AF50" si="4">SUM(G43:AE43)</f>
        <v>0</v>
      </c>
    </row>
    <row r="44" spans="4:32">
      <c r="D44" s="275"/>
      <c r="E44" s="515" t="s">
        <v>101</v>
      </c>
      <c r="F44">
        <v>24</v>
      </c>
      <c r="G44" s="220"/>
      <c r="I44" s="220"/>
      <c r="K44" s="137"/>
      <c r="L44" s="177"/>
      <c r="M44" s="137"/>
      <c r="N44" s="177"/>
      <c r="O44" s="137"/>
      <c r="Q44" s="137"/>
      <c r="S44" s="137"/>
      <c r="U44" s="137"/>
      <c r="W44" s="137"/>
      <c r="Y44" s="137"/>
      <c r="Z44" s="177"/>
      <c r="AA44" s="137"/>
      <c r="AB44" s="177"/>
      <c r="AC44" s="137"/>
      <c r="AE44" s="137"/>
      <c r="AF44" s="5">
        <f t="shared" si="4"/>
        <v>0</v>
      </c>
    </row>
    <row r="45" spans="4:32">
      <c r="D45" s="275"/>
      <c r="E45" s="515" t="s">
        <v>106</v>
      </c>
      <c r="F45">
        <v>25</v>
      </c>
      <c r="G45" s="220">
        <v>350585060</v>
      </c>
      <c r="I45" s="220"/>
      <c r="K45" s="137"/>
      <c r="L45" s="177"/>
      <c r="M45" s="137"/>
      <c r="N45" s="177"/>
      <c r="O45" s="137"/>
      <c r="Q45" s="137"/>
      <c r="S45" s="137"/>
      <c r="U45" s="137"/>
      <c r="W45" s="137"/>
      <c r="Y45" s="137"/>
      <c r="Z45" s="177"/>
      <c r="AA45" s="137"/>
      <c r="AB45" s="177"/>
      <c r="AC45" s="137"/>
      <c r="AE45" s="137"/>
      <c r="AF45" s="5">
        <f t="shared" si="4"/>
        <v>350585060</v>
      </c>
    </row>
    <row r="46" spans="4:32">
      <c r="D46" s="275"/>
      <c r="E46" s="515" t="s">
        <v>107</v>
      </c>
      <c r="F46">
        <v>26</v>
      </c>
      <c r="G46" s="220"/>
      <c r="I46" s="220"/>
      <c r="K46" s="137">
        <v>51832626</v>
      </c>
      <c r="L46" s="177"/>
      <c r="M46" s="137"/>
      <c r="N46" s="177"/>
      <c r="O46" s="137"/>
      <c r="Q46" s="137">
        <v>781037</v>
      </c>
      <c r="S46" s="137"/>
      <c r="U46" s="137"/>
      <c r="W46" s="137"/>
      <c r="Y46" s="137"/>
      <c r="Z46" s="177"/>
      <c r="AA46" s="137"/>
      <c r="AB46" s="177"/>
      <c r="AC46" s="137"/>
      <c r="AE46" s="137"/>
      <c r="AF46" s="5">
        <f t="shared" si="4"/>
        <v>52613663</v>
      </c>
    </row>
    <row r="47" spans="4:32">
      <c r="D47" s="275"/>
      <c r="E47" s="515" t="s">
        <v>108</v>
      </c>
      <c r="F47">
        <v>27</v>
      </c>
      <c r="G47" s="220"/>
      <c r="I47" s="220"/>
      <c r="K47" s="137"/>
      <c r="L47" s="177"/>
      <c r="M47" s="137"/>
      <c r="N47" s="177"/>
      <c r="O47" s="137"/>
      <c r="Q47" s="137"/>
      <c r="S47" s="137"/>
      <c r="U47" s="137"/>
      <c r="W47" s="137"/>
      <c r="Y47" s="137"/>
      <c r="Z47" s="177"/>
      <c r="AA47" s="137"/>
      <c r="AB47" s="177"/>
      <c r="AC47" s="137"/>
      <c r="AE47" s="137"/>
      <c r="AF47" s="5">
        <f t="shared" si="4"/>
        <v>0</v>
      </c>
    </row>
    <row r="48" spans="4:32">
      <c r="D48" s="275"/>
      <c r="E48" s="518" t="s">
        <v>157</v>
      </c>
      <c r="F48">
        <v>28</v>
      </c>
      <c r="G48" s="220"/>
      <c r="I48" s="220"/>
      <c r="K48" s="137"/>
      <c r="L48" s="177"/>
      <c r="M48" s="137"/>
      <c r="N48" s="177"/>
      <c r="O48" s="137"/>
      <c r="Q48" s="137"/>
      <c r="S48" s="137"/>
      <c r="U48" s="137"/>
      <c r="W48" s="137"/>
      <c r="Y48" s="137"/>
      <c r="Z48" s="177"/>
      <c r="AA48" s="137"/>
      <c r="AB48" s="177"/>
      <c r="AC48" s="137"/>
      <c r="AE48" s="137"/>
      <c r="AF48" s="5">
        <f t="shared" si="4"/>
        <v>0</v>
      </c>
    </row>
    <row r="49" spans="4:32">
      <c r="D49" s="275"/>
      <c r="E49" s="515" t="s">
        <v>3280</v>
      </c>
      <c r="F49">
        <v>29</v>
      </c>
      <c r="G49" s="220">
        <v>1369802</v>
      </c>
      <c r="I49" s="220"/>
      <c r="K49" s="137">
        <v>74464446</v>
      </c>
      <c r="L49" s="177"/>
      <c r="M49" s="137"/>
      <c r="N49" s="177"/>
      <c r="O49" s="137"/>
      <c r="Q49" s="137">
        <v>197998</v>
      </c>
      <c r="S49" s="137"/>
      <c r="U49" s="137"/>
      <c r="W49" s="137"/>
      <c r="Y49" s="137"/>
      <c r="Z49" s="177"/>
      <c r="AA49" s="137"/>
      <c r="AB49" s="177"/>
      <c r="AC49" s="137"/>
      <c r="AE49" s="137"/>
      <c r="AF49" s="5">
        <f t="shared" ref="AF49" si="5">SUM(G49:AE49)</f>
        <v>76032246</v>
      </c>
    </row>
    <row r="50" spans="4:32">
      <c r="D50" s="59"/>
      <c r="E50" s="516" t="s">
        <v>3281</v>
      </c>
      <c r="F50">
        <v>30</v>
      </c>
      <c r="G50" s="223">
        <f>SUM(G32:G49)</f>
        <v>356977289</v>
      </c>
      <c r="I50" s="223">
        <f>SUM(I32:I49)</f>
        <v>17775335</v>
      </c>
      <c r="K50" s="223">
        <f>SUM(K32:K49)</f>
        <v>253558140</v>
      </c>
      <c r="L50" s="221"/>
      <c r="M50" s="223">
        <f>SUM(M32:M49)</f>
        <v>0</v>
      </c>
      <c r="N50" s="221"/>
      <c r="O50" s="223">
        <f>SUM(O32:O49)</f>
        <v>191049348</v>
      </c>
      <c r="P50" s="221"/>
      <c r="Q50" s="223">
        <f>SUM(Q32:Q49)</f>
        <v>34548197</v>
      </c>
      <c r="R50" s="221"/>
      <c r="S50" s="223">
        <f>SUM(S32:S49)</f>
        <v>0</v>
      </c>
      <c r="T50" s="221"/>
      <c r="U50" s="223">
        <f>SUM(U32:U49)</f>
        <v>82882695</v>
      </c>
      <c r="V50" s="221"/>
      <c r="W50" s="223">
        <f>SUM(W32:W49)</f>
        <v>249936</v>
      </c>
      <c r="X50" s="221"/>
      <c r="Y50" s="223">
        <f>SUM(Y32:Y49)</f>
        <v>0</v>
      </c>
      <c r="Z50" s="221"/>
      <c r="AA50" s="223">
        <f>SUM(AA32:AA49)</f>
        <v>0</v>
      </c>
      <c r="AB50" s="221"/>
      <c r="AC50" s="223">
        <f>SUM(AC32:AC49)</f>
        <v>0</v>
      </c>
      <c r="AE50" s="223">
        <f>SUM(AE32:AE49)</f>
        <v>105832</v>
      </c>
      <c r="AF50" s="5">
        <f t="shared" si="4"/>
        <v>937146772</v>
      </c>
    </row>
    <row r="51" spans="4:32">
      <c r="D51" s="275"/>
      <c r="E51" s="276"/>
      <c r="F51">
        <v>31</v>
      </c>
      <c r="G51" s="224"/>
      <c r="I51" s="224"/>
      <c r="K51" s="177"/>
      <c r="L51" s="177"/>
      <c r="M51" s="177"/>
      <c r="N51" s="177"/>
      <c r="O51" s="177"/>
      <c r="Q51" s="177"/>
      <c r="S51" s="177"/>
      <c r="U51" s="177"/>
      <c r="W51" s="177"/>
      <c r="Y51" s="177"/>
      <c r="Z51" s="177"/>
      <c r="AA51" s="177"/>
      <c r="AB51" s="177"/>
      <c r="AC51" s="177"/>
      <c r="AE51" s="177"/>
    </row>
    <row r="52" spans="4:32">
      <c r="D52" s="59"/>
      <c r="E52" s="108" t="s">
        <v>110</v>
      </c>
      <c r="F52">
        <v>32</v>
      </c>
      <c r="G52" s="224"/>
      <c r="I52" s="224"/>
      <c r="K52" s="177"/>
      <c r="L52" s="177"/>
      <c r="M52" s="177"/>
      <c r="N52" s="177"/>
      <c r="O52" s="177"/>
      <c r="Q52" s="177"/>
      <c r="S52" s="177"/>
      <c r="U52" s="177"/>
      <c r="W52" s="177"/>
      <c r="Y52" s="177"/>
      <c r="Z52" s="177"/>
      <c r="AA52" s="177"/>
      <c r="AB52" s="177"/>
      <c r="AC52" s="177"/>
      <c r="AE52" s="177"/>
    </row>
    <row r="53" spans="4:32">
      <c r="D53" s="108"/>
      <c r="E53" s="108" t="s">
        <v>111</v>
      </c>
      <c r="F53">
        <v>33</v>
      </c>
      <c r="G53" s="220"/>
      <c r="I53" s="220">
        <v>13770841</v>
      </c>
      <c r="K53" s="137"/>
      <c r="L53" s="208"/>
      <c r="M53" s="137"/>
      <c r="N53" s="208"/>
      <c r="O53" s="137"/>
      <c r="Q53" s="137">
        <v>4313482</v>
      </c>
      <c r="S53" s="137"/>
      <c r="U53" s="137">
        <v>1067883</v>
      </c>
      <c r="W53" s="137"/>
      <c r="Y53" s="137"/>
      <c r="Z53" s="208"/>
      <c r="AA53" s="137"/>
      <c r="AB53" s="208"/>
      <c r="AC53" s="137"/>
      <c r="AE53" s="137">
        <v>99</v>
      </c>
      <c r="AF53" s="5">
        <f t="shared" ref="AF53:AF63" si="6">SUM(G53:AE53)</f>
        <v>19152305</v>
      </c>
    </row>
    <row r="54" spans="4:32">
      <c r="D54" s="108"/>
      <c r="E54" s="108" t="s">
        <v>112</v>
      </c>
      <c r="F54">
        <v>34</v>
      </c>
      <c r="G54" s="220">
        <v>1413685</v>
      </c>
      <c r="I54" s="220">
        <v>2436788</v>
      </c>
      <c r="K54" s="137">
        <v>64869541</v>
      </c>
      <c r="L54" s="208"/>
      <c r="M54" s="137"/>
      <c r="N54" s="208"/>
      <c r="O54" s="137"/>
      <c r="Q54" s="137">
        <v>22022759</v>
      </c>
      <c r="S54" s="137"/>
      <c r="U54" s="137">
        <v>48942902</v>
      </c>
      <c r="W54" s="137"/>
      <c r="Y54" s="137"/>
      <c r="Z54" s="208"/>
      <c r="AA54" s="137"/>
      <c r="AB54" s="208"/>
      <c r="AC54" s="137"/>
      <c r="AE54" s="137">
        <v>47303</v>
      </c>
      <c r="AF54" s="5">
        <f t="shared" si="6"/>
        <v>139732978</v>
      </c>
    </row>
    <row r="55" spans="4:32">
      <c r="D55" s="108"/>
      <c r="E55" s="108" t="s">
        <v>113</v>
      </c>
      <c r="F55">
        <v>35</v>
      </c>
      <c r="G55" s="220">
        <v>3015825</v>
      </c>
      <c r="I55" s="220">
        <v>597647</v>
      </c>
      <c r="K55" s="137"/>
      <c r="L55" s="208"/>
      <c r="M55" s="137"/>
      <c r="N55" s="208"/>
      <c r="O55" s="137"/>
      <c r="Q55" s="137">
        <v>249085</v>
      </c>
      <c r="S55" s="137"/>
      <c r="U55" s="137"/>
      <c r="W55" s="137"/>
      <c r="Y55" s="137"/>
      <c r="Z55" s="208"/>
      <c r="AA55" s="137"/>
      <c r="AB55" s="208"/>
      <c r="AC55" s="137"/>
      <c r="AE55" s="137"/>
      <c r="AF55" s="5">
        <f t="shared" si="6"/>
        <v>3862557</v>
      </c>
    </row>
    <row r="56" spans="4:32">
      <c r="D56" s="108"/>
      <c r="E56" s="108" t="s">
        <v>140</v>
      </c>
      <c r="F56">
        <v>36</v>
      </c>
      <c r="G56" s="220"/>
      <c r="I56" s="220"/>
      <c r="K56" s="137"/>
      <c r="L56" s="208"/>
      <c r="M56" s="137"/>
      <c r="N56" s="208"/>
      <c r="O56" s="137"/>
      <c r="Q56" s="137"/>
      <c r="S56" s="137"/>
      <c r="U56" s="137"/>
      <c r="W56" s="137"/>
      <c r="Y56" s="137"/>
      <c r="Z56" s="208"/>
      <c r="AA56" s="137"/>
      <c r="AB56" s="208"/>
      <c r="AC56" s="137"/>
      <c r="AE56" s="137"/>
      <c r="AF56" s="5">
        <f t="shared" si="6"/>
        <v>0</v>
      </c>
    </row>
    <row r="57" spans="4:32">
      <c r="D57" s="108"/>
      <c r="E57" s="108" t="s">
        <v>141</v>
      </c>
      <c r="F57">
        <v>37</v>
      </c>
      <c r="G57" s="220"/>
      <c r="I57" s="220"/>
      <c r="K57" s="137"/>
      <c r="L57" s="208"/>
      <c r="M57" s="137"/>
      <c r="N57" s="208"/>
      <c r="O57" s="137"/>
      <c r="Q57" s="137"/>
      <c r="S57" s="137"/>
      <c r="U57" s="137"/>
      <c r="W57" s="137"/>
      <c r="Y57" s="137"/>
      <c r="Z57" s="208"/>
      <c r="AA57" s="137"/>
      <c r="AB57" s="208"/>
      <c r="AC57" s="137"/>
      <c r="AE57" s="137"/>
      <c r="AF57" s="5">
        <f t="shared" si="6"/>
        <v>0</v>
      </c>
    </row>
    <row r="58" spans="4:32">
      <c r="D58" s="108"/>
      <c r="E58" s="108" t="s">
        <v>142</v>
      </c>
      <c r="F58">
        <v>38</v>
      </c>
      <c r="G58" s="5"/>
      <c r="I58" s="5"/>
      <c r="K58" s="5"/>
      <c r="L58" s="5"/>
      <c r="M58" s="5"/>
      <c r="N58" s="5"/>
      <c r="O58" s="5"/>
      <c r="P58" s="5"/>
      <c r="Q58" s="5"/>
      <c r="R58" s="5"/>
      <c r="S58" s="5"/>
      <c r="U58" s="5"/>
      <c r="W58" s="5"/>
      <c r="Y58" s="5"/>
      <c r="Z58" s="5"/>
      <c r="AA58" s="5"/>
      <c r="AB58" s="5"/>
      <c r="AC58" s="5"/>
      <c r="AE58" s="5"/>
      <c r="AF58" s="5">
        <f t="shared" si="6"/>
        <v>0</v>
      </c>
    </row>
    <row r="59" spans="4:32">
      <c r="D59" s="108"/>
      <c r="E59" s="108" t="s">
        <v>143</v>
      </c>
      <c r="F59">
        <v>39</v>
      </c>
      <c r="G59" s="220"/>
      <c r="I59" s="220"/>
      <c r="K59" s="137">
        <v>60893675</v>
      </c>
      <c r="L59" s="208"/>
      <c r="M59" s="137"/>
      <c r="N59" s="208"/>
      <c r="O59" s="137">
        <v>72241603</v>
      </c>
      <c r="Q59" s="137">
        <v>585774</v>
      </c>
      <c r="S59" s="137"/>
      <c r="U59" s="137"/>
      <c r="W59" s="137">
        <v>169015</v>
      </c>
      <c r="Y59" s="137"/>
      <c r="Z59" s="208"/>
      <c r="AA59" s="137"/>
      <c r="AB59" s="208"/>
      <c r="AC59" s="137"/>
      <c r="AE59" s="137"/>
      <c r="AF59" s="5">
        <f t="shared" si="6"/>
        <v>133890067</v>
      </c>
    </row>
    <row r="60" spans="4:32">
      <c r="D60" s="108"/>
      <c r="E60" s="108" t="s">
        <v>154</v>
      </c>
      <c r="F60">
        <v>40</v>
      </c>
      <c r="G60" s="220"/>
      <c r="I60" s="220"/>
      <c r="K60" s="137"/>
      <c r="L60" s="208"/>
      <c r="M60" s="137"/>
      <c r="N60" s="208"/>
      <c r="O60" s="137"/>
      <c r="Q60" s="137"/>
      <c r="S60" s="137"/>
      <c r="U60" s="137"/>
      <c r="W60" s="137"/>
      <c r="Y60" s="137"/>
      <c r="Z60" s="208"/>
      <c r="AA60" s="137"/>
      <c r="AB60" s="208"/>
      <c r="AC60" s="137"/>
      <c r="AE60" s="137"/>
      <c r="AF60" s="5">
        <f t="shared" si="6"/>
        <v>0</v>
      </c>
    </row>
    <row r="61" spans="4:32">
      <c r="D61" s="108"/>
      <c r="E61" s="108" t="s">
        <v>155</v>
      </c>
      <c r="F61">
        <v>41</v>
      </c>
      <c r="G61" s="220"/>
      <c r="I61" s="220"/>
      <c r="K61" s="137"/>
      <c r="L61" s="208"/>
      <c r="M61" s="137"/>
      <c r="N61" s="208"/>
      <c r="O61" s="137"/>
      <c r="Q61" s="137"/>
      <c r="S61" s="137"/>
      <c r="U61" s="137"/>
      <c r="W61" s="137"/>
      <c r="Y61" s="137"/>
      <c r="Z61" s="208"/>
      <c r="AA61" s="137"/>
      <c r="AB61" s="208"/>
      <c r="AC61" s="137"/>
      <c r="AE61" s="137"/>
      <c r="AF61" s="5">
        <f t="shared" si="6"/>
        <v>0</v>
      </c>
    </row>
    <row r="62" spans="4:32">
      <c r="D62" s="108"/>
      <c r="E62" s="493" t="s">
        <v>157</v>
      </c>
      <c r="F62">
        <v>42</v>
      </c>
      <c r="G62" s="220"/>
      <c r="I62" s="220"/>
      <c r="K62" s="137"/>
      <c r="L62" s="208"/>
      <c r="M62" s="137"/>
      <c r="N62" s="208"/>
      <c r="O62" s="137"/>
      <c r="Q62" s="137"/>
      <c r="S62" s="137"/>
      <c r="U62" s="137"/>
      <c r="W62" s="137"/>
      <c r="Y62" s="137"/>
      <c r="Z62" s="208"/>
      <c r="AA62" s="137"/>
      <c r="AB62" s="208"/>
      <c r="AC62" s="137"/>
      <c r="AE62" s="137"/>
      <c r="AF62" s="5">
        <f t="shared" si="6"/>
        <v>0</v>
      </c>
    </row>
    <row r="63" spans="4:32">
      <c r="D63" s="59"/>
      <c r="E63" s="108" t="s">
        <v>114</v>
      </c>
      <c r="F63">
        <v>43</v>
      </c>
      <c r="G63" s="223">
        <f>SUM(G53:G62)</f>
        <v>4429510</v>
      </c>
      <c r="I63" s="223">
        <f>SUM(I53:I62)</f>
        <v>16805276</v>
      </c>
      <c r="K63" s="223">
        <f>SUM(K53:K62)</f>
        <v>125763216</v>
      </c>
      <c r="L63" s="221"/>
      <c r="M63" s="223">
        <f>SUM(M53:M62)</f>
        <v>0</v>
      </c>
      <c r="N63" s="221"/>
      <c r="O63" s="223">
        <f>SUM(O53:O62)</f>
        <v>72241603</v>
      </c>
      <c r="P63" s="221"/>
      <c r="Q63" s="223">
        <f>SUM(Q53:Q62)</f>
        <v>27171100</v>
      </c>
      <c r="R63" s="221"/>
      <c r="S63" s="223">
        <f>SUM(S53:S62)</f>
        <v>0</v>
      </c>
      <c r="T63" s="221"/>
      <c r="U63" s="223">
        <f>SUM(U53:U62)</f>
        <v>50010785</v>
      </c>
      <c r="V63" s="221"/>
      <c r="W63" s="223">
        <f>SUM(W53:W62)</f>
        <v>169015</v>
      </c>
      <c r="X63" s="221"/>
      <c r="Y63" s="223">
        <f>SUM(Y53:Y62)</f>
        <v>0</v>
      </c>
      <c r="Z63" s="221"/>
      <c r="AA63" s="223">
        <f>SUM(AA53:AA62)</f>
        <v>0</v>
      </c>
      <c r="AB63" s="221"/>
      <c r="AC63" s="223">
        <f>SUM(AC53:AC62)</f>
        <v>0</v>
      </c>
      <c r="AE63" s="223">
        <f>SUM(AE53:AE62)</f>
        <v>47402</v>
      </c>
      <c r="AF63" s="5">
        <f t="shared" si="6"/>
        <v>296637907</v>
      </c>
    </row>
    <row r="64" spans="4:32">
      <c r="D64" s="59"/>
      <c r="E64" s="108" t="s">
        <v>115</v>
      </c>
      <c r="F64">
        <v>44</v>
      </c>
      <c r="G64" s="224"/>
      <c r="I64" s="224"/>
      <c r="K64" s="177"/>
      <c r="L64" s="177"/>
      <c r="M64" s="177"/>
      <c r="N64" s="177"/>
      <c r="O64" s="177"/>
      <c r="Q64" s="177"/>
      <c r="S64" s="177"/>
      <c r="U64" s="177"/>
      <c r="W64" s="177"/>
      <c r="Y64" s="177"/>
      <c r="Z64" s="177"/>
      <c r="AA64" s="177"/>
      <c r="AB64" s="177"/>
      <c r="AC64" s="177"/>
      <c r="AE64" s="177"/>
      <c r="AF64" s="5"/>
    </row>
    <row r="65" spans="2:32">
      <c r="D65" s="59"/>
      <c r="E65" s="517" t="s">
        <v>3224</v>
      </c>
      <c r="F65">
        <v>45</v>
      </c>
      <c r="G65" s="224"/>
      <c r="I65" s="224"/>
      <c r="K65" s="177"/>
      <c r="L65" s="177"/>
      <c r="M65" s="177"/>
      <c r="N65" s="177"/>
      <c r="O65" s="177"/>
      <c r="Q65" s="177"/>
      <c r="S65" s="177"/>
      <c r="U65" s="177"/>
      <c r="W65" s="177"/>
      <c r="Y65" s="177"/>
      <c r="Z65" s="177"/>
      <c r="AA65" s="177"/>
      <c r="AB65" s="177"/>
      <c r="AC65" s="177"/>
      <c r="AE65" s="177"/>
      <c r="AF65" s="5"/>
    </row>
    <row r="66" spans="2:32">
      <c r="D66" s="59"/>
      <c r="E66" s="517" t="s">
        <v>3276</v>
      </c>
      <c r="F66">
        <v>46</v>
      </c>
      <c r="G66" s="224"/>
      <c r="I66" s="224"/>
      <c r="K66" s="177"/>
      <c r="L66" s="177"/>
      <c r="M66" s="177"/>
      <c r="N66" s="177"/>
      <c r="O66" s="177"/>
      <c r="Q66" s="177"/>
      <c r="S66" s="177"/>
      <c r="U66" s="177"/>
      <c r="W66" s="177"/>
      <c r="Y66" s="177"/>
      <c r="Z66" s="177"/>
      <c r="AA66" s="177"/>
      <c r="AB66" s="177"/>
      <c r="AC66" s="177"/>
      <c r="AE66" s="177"/>
      <c r="AF66" s="5">
        <f t="shared" ref="AF66:AF73" si="7">SUM(G66:AE66)</f>
        <v>0</v>
      </c>
    </row>
    <row r="67" spans="2:32">
      <c r="D67" s="59"/>
      <c r="E67" s="517" t="s">
        <v>101</v>
      </c>
      <c r="F67">
        <v>47</v>
      </c>
      <c r="G67" s="220"/>
      <c r="I67" s="220"/>
      <c r="K67" s="220"/>
      <c r="L67" s="177"/>
      <c r="M67" s="220"/>
      <c r="N67" s="177"/>
      <c r="O67" s="220"/>
      <c r="Q67" s="220"/>
      <c r="S67" s="220"/>
      <c r="U67" s="220"/>
      <c r="W67" s="220"/>
      <c r="Y67" s="220"/>
      <c r="Z67" s="177"/>
      <c r="AA67" s="220"/>
      <c r="AB67" s="177"/>
      <c r="AC67" s="220"/>
      <c r="AE67" s="220"/>
      <c r="AF67" s="5">
        <f t="shared" si="7"/>
        <v>0</v>
      </c>
    </row>
    <row r="68" spans="2:32">
      <c r="D68" s="59"/>
      <c r="E68" s="517" t="s">
        <v>106</v>
      </c>
      <c r="F68">
        <v>48</v>
      </c>
      <c r="G68" s="220">
        <v>50783924</v>
      </c>
      <c r="I68" s="220"/>
      <c r="K68" s="220"/>
      <c r="L68" s="177"/>
      <c r="M68" s="220"/>
      <c r="N68" s="177"/>
      <c r="O68" s="220"/>
      <c r="Q68" s="220"/>
      <c r="S68" s="220"/>
      <c r="U68" s="220"/>
      <c r="W68" s="220"/>
      <c r="Y68" s="220"/>
      <c r="Z68" s="177"/>
      <c r="AA68" s="220"/>
      <c r="AB68" s="177"/>
      <c r="AC68" s="220"/>
      <c r="AE68" s="220"/>
      <c r="AF68" s="5">
        <f t="shared" si="7"/>
        <v>50783924</v>
      </c>
    </row>
    <row r="69" spans="2:32">
      <c r="D69" s="59"/>
      <c r="E69" s="517" t="s">
        <v>112</v>
      </c>
      <c r="F69">
        <v>49</v>
      </c>
      <c r="G69" s="220"/>
      <c r="I69" s="220"/>
      <c r="K69" s="220">
        <v>20403673</v>
      </c>
      <c r="L69" s="177"/>
      <c r="M69" s="220"/>
      <c r="N69" s="177"/>
      <c r="O69" s="220"/>
      <c r="Q69" s="220">
        <v>286380</v>
      </c>
      <c r="S69" s="220"/>
      <c r="U69" s="220"/>
      <c r="W69" s="220"/>
      <c r="Y69" s="220"/>
      <c r="Z69" s="177"/>
      <c r="AA69" s="220"/>
      <c r="AB69" s="177"/>
      <c r="AC69" s="220"/>
      <c r="AE69" s="220"/>
      <c r="AF69" s="5">
        <f t="shared" si="7"/>
        <v>20690053</v>
      </c>
    </row>
    <row r="70" spans="2:32">
      <c r="D70" s="59"/>
      <c r="E70" s="517" t="s">
        <v>113</v>
      </c>
      <c r="F70">
        <v>50</v>
      </c>
      <c r="G70" s="220"/>
      <c r="I70" s="220"/>
      <c r="K70" s="220"/>
      <c r="L70" s="177"/>
      <c r="M70" s="220"/>
      <c r="N70" s="177"/>
      <c r="O70" s="220"/>
      <c r="Q70" s="220"/>
      <c r="S70" s="220"/>
      <c r="U70" s="220"/>
      <c r="W70" s="220"/>
      <c r="Y70" s="220"/>
      <c r="Z70" s="177"/>
      <c r="AA70" s="220"/>
      <c r="AB70" s="177"/>
      <c r="AC70" s="220"/>
      <c r="AE70" s="220"/>
      <c r="AF70" s="5">
        <f t="shared" si="7"/>
        <v>0</v>
      </c>
    </row>
    <row r="71" spans="2:32">
      <c r="D71" s="59"/>
      <c r="E71" s="517" t="s">
        <v>3079</v>
      </c>
      <c r="F71">
        <v>51</v>
      </c>
      <c r="G71" s="220"/>
      <c r="I71" s="220"/>
      <c r="K71" s="220"/>
      <c r="L71" s="177"/>
      <c r="M71" s="220"/>
      <c r="N71" s="177"/>
      <c r="O71" s="220"/>
      <c r="Q71" s="220"/>
      <c r="S71" s="220"/>
      <c r="U71" s="220"/>
      <c r="W71" s="220"/>
      <c r="Y71" s="220"/>
      <c r="Z71" s="177"/>
      <c r="AA71" s="220"/>
      <c r="AB71" s="177"/>
      <c r="AC71" s="220"/>
      <c r="AE71" s="220"/>
      <c r="AF71" s="5">
        <f t="shared" ref="AF71" si="8">SUM(G71:AE71)</f>
        <v>0</v>
      </c>
    </row>
    <row r="72" spans="2:32">
      <c r="D72" s="59"/>
      <c r="E72" s="515" t="s">
        <v>3280</v>
      </c>
      <c r="F72">
        <v>52</v>
      </c>
      <c r="G72" s="220">
        <v>408015</v>
      </c>
      <c r="I72" s="220"/>
      <c r="K72" s="220">
        <v>26904025</v>
      </c>
      <c r="L72" s="177"/>
      <c r="M72" s="220"/>
      <c r="N72" s="177"/>
      <c r="O72" s="220"/>
      <c r="Q72" s="220">
        <v>34737</v>
      </c>
      <c r="S72" s="220"/>
      <c r="U72" s="220"/>
      <c r="W72" s="220"/>
      <c r="Y72" s="220"/>
      <c r="Z72" s="177"/>
      <c r="AA72" s="220"/>
      <c r="AB72" s="177"/>
      <c r="AC72" s="220"/>
      <c r="AE72" s="220"/>
      <c r="AF72" s="5">
        <f t="shared" si="7"/>
        <v>27346777</v>
      </c>
    </row>
    <row r="73" spans="2:32">
      <c r="D73" s="59"/>
      <c r="E73" s="517" t="s">
        <v>3212</v>
      </c>
      <c r="F73">
        <v>53</v>
      </c>
      <c r="G73" s="510">
        <f>SUM(G66:G72)</f>
        <v>51191939</v>
      </c>
      <c r="I73" s="510">
        <f>SUM(I66:I72)</f>
        <v>0</v>
      </c>
      <c r="K73" s="510">
        <f>SUM(K66:K72)</f>
        <v>47307698</v>
      </c>
      <c r="L73" s="177"/>
      <c r="M73" s="510">
        <f>SUM(M66:M72)</f>
        <v>0</v>
      </c>
      <c r="N73" s="177"/>
      <c r="O73" s="510">
        <f>SUM(O66:O72)</f>
        <v>0</v>
      </c>
      <c r="Q73" s="510">
        <f>SUM(Q66:Q72)</f>
        <v>321117</v>
      </c>
      <c r="S73" s="510">
        <f>SUM(S66:S72)</f>
        <v>0</v>
      </c>
      <c r="U73" s="510">
        <f>SUM(U66:U72)</f>
        <v>0</v>
      </c>
      <c r="W73" s="510">
        <f>SUM(W66:W72)</f>
        <v>0</v>
      </c>
      <c r="Y73" s="510">
        <f>SUM(Y66:Y72)</f>
        <v>0</v>
      </c>
      <c r="Z73" s="177"/>
      <c r="AA73" s="510">
        <f>SUM(AA66:AA72)</f>
        <v>0</v>
      </c>
      <c r="AB73" s="177"/>
      <c r="AC73" s="510">
        <f>SUM(AC66:AC72)</f>
        <v>0</v>
      </c>
      <c r="AE73" s="510">
        <f>SUM(AE66:AE72)</f>
        <v>0</v>
      </c>
      <c r="AF73" s="5">
        <f t="shared" si="7"/>
        <v>98820754</v>
      </c>
    </row>
    <row r="74" spans="2:32">
      <c r="D74" s="59"/>
      <c r="E74" s="108"/>
      <c r="F74">
        <v>54</v>
      </c>
      <c r="G74" s="224"/>
      <c r="I74" s="224"/>
      <c r="K74" s="177"/>
      <c r="L74" s="177"/>
      <c r="M74" s="177"/>
      <c r="N74" s="177"/>
      <c r="O74" s="177"/>
      <c r="Q74" s="177"/>
      <c r="S74" s="177"/>
      <c r="U74" s="177"/>
      <c r="W74" s="177"/>
      <c r="Y74" s="177"/>
      <c r="Z74" s="177"/>
      <c r="AA74" s="177"/>
      <c r="AB74" s="177"/>
      <c r="AC74" s="177"/>
      <c r="AE74" s="177"/>
    </row>
    <row r="75" spans="2:32">
      <c r="D75" s="59"/>
      <c r="E75" s="516" t="s">
        <v>3211</v>
      </c>
      <c r="F75">
        <v>55</v>
      </c>
      <c r="G75" s="222">
        <f>G73+G63</f>
        <v>55621449</v>
      </c>
      <c r="I75" s="222">
        <f>I73+I63</f>
        <v>16805276</v>
      </c>
      <c r="K75" s="222">
        <f>K73+K63</f>
        <v>173070914</v>
      </c>
      <c r="L75" s="221"/>
      <c r="M75" s="222">
        <f>M73+M63</f>
        <v>0</v>
      </c>
      <c r="N75" s="221"/>
      <c r="O75" s="222">
        <f>O73+O63</f>
        <v>72241603</v>
      </c>
      <c r="P75" s="221"/>
      <c r="Q75" s="222">
        <f>Q73+Q63</f>
        <v>27492217</v>
      </c>
      <c r="R75" s="221"/>
      <c r="S75" s="222">
        <f>S73+S63</f>
        <v>0</v>
      </c>
      <c r="T75" s="221"/>
      <c r="U75" s="222">
        <f>U73+U63</f>
        <v>50010785</v>
      </c>
      <c r="V75" s="221"/>
      <c r="W75" s="222">
        <f>W73+W63</f>
        <v>169015</v>
      </c>
      <c r="X75" s="221"/>
      <c r="Y75" s="222">
        <f>Y73+Y63</f>
        <v>0</v>
      </c>
      <c r="Z75" s="221"/>
      <c r="AA75" s="222">
        <f>AA73+AA63</f>
        <v>0</v>
      </c>
      <c r="AB75" s="221"/>
      <c r="AC75" s="222">
        <f>AC73+AC63</f>
        <v>0</v>
      </c>
      <c r="AE75" s="222">
        <f>AE73+AE63</f>
        <v>47402</v>
      </c>
      <c r="AF75" s="5">
        <f>SUM(G75:AE75)</f>
        <v>395458661</v>
      </c>
    </row>
    <row r="76" spans="2:32">
      <c r="D76" s="59"/>
      <c r="E76" s="493" t="s">
        <v>3210</v>
      </c>
      <c r="F76">
        <v>56</v>
      </c>
      <c r="G76" s="511">
        <f>G50-G75</f>
        <v>301355840</v>
      </c>
      <c r="I76" s="511">
        <f>I50-I75</f>
        <v>970059</v>
      </c>
      <c r="K76" s="512">
        <f>K50-K75</f>
        <v>80487226</v>
      </c>
      <c r="L76" s="177"/>
      <c r="M76" s="512">
        <f>M50-M75</f>
        <v>0</v>
      </c>
      <c r="N76" s="177"/>
      <c r="O76" s="512">
        <f>O50-O75</f>
        <v>118807745</v>
      </c>
      <c r="Q76" s="512">
        <f>Q50-Q75</f>
        <v>7055980</v>
      </c>
      <c r="S76" s="512">
        <f>S50-S75</f>
        <v>0</v>
      </c>
      <c r="U76" s="512">
        <f>U50-U75</f>
        <v>32871910</v>
      </c>
      <c r="W76" s="512">
        <f>W50-W75</f>
        <v>80921</v>
      </c>
      <c r="Y76" s="512">
        <f>Y50-Y75</f>
        <v>0</v>
      </c>
      <c r="Z76" s="177"/>
      <c r="AA76" s="512">
        <f>AA50-AA75</f>
        <v>0</v>
      </c>
      <c r="AB76" s="177"/>
      <c r="AC76" s="512">
        <f>AC50-AC75</f>
        <v>0</v>
      </c>
      <c r="AE76" s="512">
        <f>AE50-AE75</f>
        <v>58430</v>
      </c>
      <c r="AF76" s="5">
        <f>SUM(G76:AE76)</f>
        <v>541688111</v>
      </c>
    </row>
    <row r="77" spans="2:32" ht="13.8" thickBot="1">
      <c r="D77" s="59"/>
      <c r="E77" s="108" t="s">
        <v>190</v>
      </c>
      <c r="F77">
        <v>57</v>
      </c>
      <c r="G77" s="225">
        <f>G29+G76</f>
        <v>301355840</v>
      </c>
      <c r="I77" s="225">
        <f>I29+I76</f>
        <v>2312446</v>
      </c>
      <c r="K77" s="225">
        <f>K29+K76</f>
        <v>80487226</v>
      </c>
      <c r="L77" s="221"/>
      <c r="M77" s="225">
        <f>M29+M76</f>
        <v>0</v>
      </c>
      <c r="N77" s="221"/>
      <c r="O77" s="225">
        <f>O29+O76</f>
        <v>118807745</v>
      </c>
      <c r="P77" s="221"/>
      <c r="Q77" s="225">
        <f>Q29+Q76</f>
        <v>7373849</v>
      </c>
      <c r="R77" s="221"/>
      <c r="S77" s="225">
        <f>S29+S76</f>
        <v>0</v>
      </c>
      <c r="T77" s="221"/>
      <c r="U77" s="225">
        <f>U29+U76</f>
        <v>32871910</v>
      </c>
      <c r="V77" s="221"/>
      <c r="W77" s="225">
        <f>W29+W76</f>
        <v>80921</v>
      </c>
      <c r="X77" s="221"/>
      <c r="Y77" s="225">
        <f>Y29+Y76</f>
        <v>0</v>
      </c>
      <c r="Z77" s="221"/>
      <c r="AA77" s="225">
        <f>AA29+AA76</f>
        <v>0</v>
      </c>
      <c r="AB77" s="221"/>
      <c r="AC77" s="225">
        <f>AC29+AC76</f>
        <v>0</v>
      </c>
      <c r="AE77" s="225">
        <f>AE29+AE76</f>
        <v>58430</v>
      </c>
      <c r="AF77" s="5">
        <f>SUM(G77:AE77)</f>
        <v>543348367</v>
      </c>
    </row>
    <row r="78" spans="2:32" ht="13.8" thickTop="1">
      <c r="D78" s="20"/>
      <c r="E78" s="273"/>
      <c r="G78" s="177"/>
      <c r="I78" s="177"/>
    </row>
    <row r="79" spans="2:32">
      <c r="B79" s="531" t="s">
        <v>3459</v>
      </c>
      <c r="G79" s="530">
        <f>G77-'Prior Year FS Balances'!G76-'Prior Year FS Balances'!G75</f>
        <v>0</v>
      </c>
      <c r="I79" s="530">
        <f>I77-'Prior Year FS Balances'!I76-'Prior Year FS Balances'!I75</f>
        <v>0</v>
      </c>
      <c r="K79" s="530">
        <f>K77-'Prior Year FS Balances'!L76-'Prior Year FS Balances'!L75</f>
        <v>0</v>
      </c>
      <c r="M79" s="530">
        <f>M77-'Prior Year FS Balances'!N76-'Prior Year FS Balances'!N75</f>
        <v>0</v>
      </c>
      <c r="O79" s="530">
        <f>O77-'Prior Year FS Balances'!P76-'Prior Year FS Balances'!P75</f>
        <v>0</v>
      </c>
      <c r="Q79" s="530">
        <f>Q77-'Prior Year FS Balances'!R76-'Prior Year FS Balances'!R75</f>
        <v>0</v>
      </c>
      <c r="S79" s="530">
        <f>S77-'Prior Year FS Balances'!T76-'Prior Year FS Balances'!T75</f>
        <v>0</v>
      </c>
      <c r="U79" s="530">
        <f>U77-'Prior Year FS Balances'!V76-'Prior Year FS Balances'!V75</f>
        <v>0</v>
      </c>
      <c r="W79" s="530">
        <f>W77-'Prior Year FS Balances'!X76-'Prior Year FS Balances'!X75</f>
        <v>0</v>
      </c>
      <c r="Y79" s="530">
        <f>Y77-'Prior Year FS Balances'!Z76-'Prior Year FS Balances'!Z75</f>
        <v>0</v>
      </c>
      <c r="AA79" s="530">
        <f>AA77-'Prior Year FS Balances'!AB76-'Prior Year FS Balances'!AB75</f>
        <v>0</v>
      </c>
      <c r="AC79" s="530">
        <f>AC77-'Prior Year FS Balances'!AD76-'Prior Year FS Balances'!AD75</f>
        <v>0</v>
      </c>
      <c r="AE79" s="530">
        <f>AE77-'Prior Year FS Balances'!AF76-'Prior Year FS Balances'!AF75</f>
        <v>0</v>
      </c>
    </row>
    <row r="80" spans="2:32">
      <c r="D80" s="139"/>
    </row>
    <row r="81" spans="4:16">
      <c r="E81" s="136"/>
      <c r="F81" s="136"/>
      <c r="G81" s="136"/>
      <c r="H81" s="136"/>
      <c r="I81" s="136"/>
      <c r="J81" s="136"/>
      <c r="K81" s="136"/>
      <c r="L81" s="136"/>
      <c r="M81" s="136"/>
      <c r="N81" s="136"/>
    </row>
    <row r="82" spans="4:16">
      <c r="E82" s="17"/>
      <c r="F82" s="17"/>
      <c r="P82" s="5"/>
    </row>
    <row r="85" spans="4:16">
      <c r="D85" s="139"/>
    </row>
    <row r="86" spans="4:16">
      <c r="E86" s="136"/>
      <c r="F86" s="136"/>
      <c r="G86" s="136"/>
      <c r="H86" s="136"/>
      <c r="I86" s="136"/>
      <c r="J86" s="136"/>
      <c r="K86" s="136"/>
      <c r="L86" s="136"/>
      <c r="M86" s="136"/>
      <c r="N86" s="136"/>
    </row>
    <row r="87" spans="4:16">
      <c r="E87" s="17"/>
      <c r="F87" s="17"/>
    </row>
  </sheetData>
  <mergeCells count="16">
    <mergeCell ref="A1:D1"/>
    <mergeCell ref="E1:F1"/>
    <mergeCell ref="A2:D2"/>
    <mergeCell ref="E2:F2"/>
    <mergeCell ref="A3:D3"/>
    <mergeCell ref="E3:F3"/>
    <mergeCell ref="A7:D7"/>
    <mergeCell ref="E7:F7"/>
    <mergeCell ref="A10:F15"/>
    <mergeCell ref="A17:D17"/>
    <mergeCell ref="A4:D4"/>
    <mergeCell ref="E4:F4"/>
    <mergeCell ref="A5:D5"/>
    <mergeCell ref="E5:F5"/>
    <mergeCell ref="A6:D6"/>
    <mergeCell ref="E6:F6"/>
  </mergeCells>
  <dataValidations count="5">
    <dataValidation type="whole" allowBlank="1" showErrorMessage="1" error="Amount must be rounded to nearest dollar._x000a_" prompt="_x000a__x000a_" sqref="R37 P37 R58 P58" xr:uid="{B671A1F3-7611-4847-8D6E-4E5321BF6C56}">
      <formula1>-999999999999999000</formula1>
      <formula2>9999999999999990000</formula2>
    </dataValidation>
    <dataValidation allowBlank="1" showErrorMessage="1" prompt="_x000a__x000a_" sqref="E16" xr:uid="{54870115-1F07-4A18-A032-021002851269}"/>
    <dataValidation allowBlank="1" showErrorMessage="1" sqref="I21 G21" xr:uid="{99A4C53D-0F45-43BF-B17B-2AED515AAB7D}"/>
    <dataValidation type="whole" allowBlank="1" showInputMessage="1" showErrorMessage="1" sqref="V77 T77 R77 P77 V75 T75 R75 P75 X75 V63 T63 R63 P63 X63 O50:Y50 V29 T29 R29 P29 X29 X77 O23:O49 Q23:Q49 S23:S49 U23:U49 W23:W49 Y23:Y49 Z23:AC77 S51:S77 G23:G77 U51:U77 W51:W77 Q51:Q77 I23:I77 O51:O77 K23:N77 Y51:Y77 AE23:AE77" xr:uid="{A3B29391-2604-4493-A6B2-913EC71F3D60}">
      <formula1>-9999999999999</formula1>
      <formula2>9999999999999</formula2>
    </dataValidation>
    <dataValidation type="whole" allowBlank="1" showErrorMessage="1" error="Amount must be rounded to the nearest dollar._x000a_" prompt="_x000a__x000a_" sqref="H81 H86 R21 P21" xr:uid="{D8652AB4-7DCF-436E-BCBC-77E5D5DF3654}">
      <formula1>-999999999999999</formula1>
      <formula2>99999999999999900000</formula2>
    </dataValidation>
  </dataValidations>
  <pageMargins left="0.21" right="0.31" top="1" bottom="1" header="0.32" footer="0.5"/>
  <pageSetup scale="41" orientation="landscape" cellComments="asDisplayed" r:id="rId1"/>
  <headerFooter alignWithMargins="0">
    <oddHeader>&amp;C&amp;"Times New Roman,Bold"Attachment 10
Financial Statement Template
&amp;A</oddHeader>
    <oddFooter>&amp;L&amp;F&amp;RAttachment 10-&amp;A- Page&amp;P</oddFooter>
  </headerFooter>
  <rowBreaks count="1" manualBreakCount="1">
    <brk id="79" max="2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H496"/>
  <sheetViews>
    <sheetView showGridLines="0" tabSelected="1" zoomScaleNormal="100" zoomScaleSheetLayoutView="80" workbookViewId="0">
      <selection activeCell="E2" sqref="E2:G2"/>
    </sheetView>
  </sheetViews>
  <sheetFormatPr defaultColWidth="7.5546875" defaultRowHeight="13.2"/>
  <cols>
    <col min="1" max="3" width="1.88671875" style="11" customWidth="1"/>
    <col min="4" max="4" width="49.109375" style="11" customWidth="1"/>
    <col min="5" max="5" width="28.88671875" style="11" customWidth="1"/>
    <col min="6" max="6" width="16.6640625" style="11" customWidth="1"/>
    <col min="7" max="7" width="27.33203125" style="17" customWidth="1"/>
    <col min="8" max="8" width="18.109375" style="17" hidden="1" customWidth="1"/>
    <col min="9" max="9" width="19" style="17" hidden="1" customWidth="1"/>
    <col min="10" max="11" width="18.109375" style="17" hidden="1" customWidth="1"/>
    <col min="12" max="12" width="19.6640625" style="17" hidden="1" customWidth="1"/>
    <col min="13" max="14" width="18.109375" style="17" hidden="1" customWidth="1"/>
    <col min="15" max="15" width="18.44140625" style="17" hidden="1" customWidth="1"/>
    <col min="16" max="16" width="16.44140625" style="17" customWidth="1"/>
    <col min="17" max="17" width="18.6640625" style="17" customWidth="1"/>
    <col min="18" max="18" width="15.88671875" style="17" customWidth="1"/>
    <col min="19" max="19" width="7.5546875" style="17" hidden="1" customWidth="1"/>
    <col min="20" max="20" width="0.6640625" style="17" hidden="1" customWidth="1"/>
    <col min="21" max="21" width="1.6640625" style="17" hidden="1" customWidth="1"/>
    <col min="22" max="22" width="18.109375" style="17" customWidth="1"/>
    <col min="23" max="23" width="17.33203125" style="17" customWidth="1"/>
    <col min="24" max="24" width="33.33203125" style="17" customWidth="1"/>
    <col min="25" max="25" width="4.109375" style="17" customWidth="1"/>
    <col min="26" max="26" width="18.33203125" style="17" customWidth="1"/>
    <col min="27" max="27" width="26.88671875" style="17" customWidth="1"/>
    <col min="28" max="28" width="12.88671875" style="17" customWidth="1"/>
    <col min="29" max="31" width="7.5546875" style="17" customWidth="1"/>
    <col min="32" max="32" width="36.109375" style="17" hidden="1" customWidth="1"/>
    <col min="33" max="33" width="45.109375" style="17" hidden="1" customWidth="1"/>
    <col min="34" max="34" width="7.5546875" style="17" hidden="1" customWidth="1"/>
    <col min="35" max="39" width="7.5546875" style="17" customWidth="1"/>
    <col min="40" max="16384" width="7.5546875" style="17"/>
  </cols>
  <sheetData>
    <row r="1" spans="1:34">
      <c r="A1" s="1069" t="s">
        <v>562</v>
      </c>
      <c r="B1" s="1070"/>
      <c r="C1" s="1070"/>
      <c r="D1" s="1071"/>
      <c r="E1" s="1081" t="str">
        <f>IF(ISNA(VLOOKUP(E2,AF3:AH14,3,FALSE)),"",(VLOOKUP(E2,AF3:AH14,3,FALSE)))</f>
        <v/>
      </c>
      <c r="F1" s="1082"/>
      <c r="G1" s="1083"/>
      <c r="H1" s="92"/>
      <c r="I1" s="92"/>
      <c r="J1" s="92"/>
      <c r="K1" s="92"/>
      <c r="L1" s="92"/>
      <c r="M1" s="92"/>
      <c r="N1" s="92"/>
      <c r="O1" s="92"/>
    </row>
    <row r="2" spans="1:34">
      <c r="A2" s="1069" t="s">
        <v>177</v>
      </c>
      <c r="B2" s="1070"/>
      <c r="C2" s="1070"/>
      <c r="D2" s="1071"/>
      <c r="E2" s="1075"/>
      <c r="F2" s="1076"/>
      <c r="G2" s="1077"/>
      <c r="H2" s="13"/>
      <c r="I2" s="13"/>
      <c r="J2" s="13"/>
      <c r="K2" s="13"/>
      <c r="L2" s="13"/>
      <c r="M2" s="13"/>
      <c r="N2" s="13"/>
      <c r="O2" s="13"/>
      <c r="X2" s="11"/>
      <c r="Y2" s="11"/>
      <c r="Z2" s="7"/>
    </row>
    <row r="3" spans="1:34" ht="15" customHeight="1">
      <c r="A3" s="1069" t="s">
        <v>586</v>
      </c>
      <c r="B3" s="1070"/>
      <c r="C3" s="1070"/>
      <c r="D3" s="1071"/>
      <c r="E3" s="1078"/>
      <c r="F3" s="1079"/>
      <c r="G3" s="1080"/>
      <c r="H3" s="11"/>
      <c r="I3" s="11"/>
      <c r="J3" s="11"/>
      <c r="K3" s="11"/>
      <c r="L3" s="11"/>
      <c r="M3" s="11"/>
      <c r="N3" s="11"/>
      <c r="O3" s="11"/>
      <c r="X3" s="11"/>
      <c r="Y3" s="11"/>
      <c r="Z3" s="7"/>
      <c r="AF3" s="11" t="s">
        <v>682</v>
      </c>
      <c r="AG3" s="11" t="s">
        <v>882</v>
      </c>
      <c r="AH3" s="11">
        <v>194</v>
      </c>
    </row>
    <row r="4" spans="1:34" ht="15" customHeight="1">
      <c r="A4" s="1069" t="s">
        <v>587</v>
      </c>
      <c r="B4" s="1070"/>
      <c r="C4" s="1070"/>
      <c r="D4" s="1071"/>
      <c r="E4" s="1072"/>
      <c r="F4" s="1073"/>
      <c r="G4" s="1074"/>
      <c r="H4" s="11"/>
      <c r="I4" s="11"/>
      <c r="J4" s="11"/>
      <c r="K4" s="11"/>
      <c r="L4" s="11"/>
      <c r="M4" s="11"/>
      <c r="N4" s="11"/>
      <c r="O4" s="11"/>
      <c r="X4" s="11"/>
      <c r="Y4" s="11"/>
      <c r="Z4" s="7"/>
      <c r="AF4" s="11" t="s">
        <v>683</v>
      </c>
      <c r="AG4" s="75" t="s">
        <v>885</v>
      </c>
      <c r="AH4" s="11">
        <v>194</v>
      </c>
    </row>
    <row r="5" spans="1:34">
      <c r="A5" s="1069" t="s">
        <v>2770</v>
      </c>
      <c r="B5" s="1070"/>
      <c r="C5" s="1070"/>
      <c r="D5" s="1071"/>
      <c r="E5" s="1085"/>
      <c r="F5" s="1086"/>
      <c r="G5" s="1087"/>
      <c r="H5" s="13"/>
      <c r="I5" s="13"/>
      <c r="J5" s="13"/>
      <c r="K5" s="13"/>
      <c r="L5" s="13"/>
      <c r="M5" s="13"/>
      <c r="N5" s="13"/>
      <c r="O5" s="13"/>
      <c r="X5" s="11"/>
      <c r="Y5" s="11"/>
      <c r="Z5" s="7"/>
      <c r="AF5" s="11" t="s">
        <v>213</v>
      </c>
      <c r="AG5" s="11" t="s">
        <v>883</v>
      </c>
      <c r="AH5" s="11">
        <v>194</v>
      </c>
    </row>
    <row r="6" spans="1:34">
      <c r="A6" s="1069" t="s">
        <v>588</v>
      </c>
      <c r="B6" s="1070"/>
      <c r="C6" s="1070"/>
      <c r="D6" s="1071"/>
      <c r="E6" s="1088"/>
      <c r="F6" s="1089"/>
      <c r="G6" s="1090"/>
      <c r="H6" s="565"/>
      <c r="I6" s="565"/>
      <c r="J6" s="565"/>
      <c r="K6" s="565"/>
      <c r="L6" s="565"/>
      <c r="M6" s="565"/>
      <c r="N6" s="565"/>
      <c r="O6" s="565"/>
      <c r="X6" s="11"/>
      <c r="Y6" s="11"/>
      <c r="Z6" s="7"/>
      <c r="AF6" s="11" t="s">
        <v>215</v>
      </c>
      <c r="AG6" s="11" t="s">
        <v>886</v>
      </c>
      <c r="AH6" s="11">
        <v>129</v>
      </c>
    </row>
    <row r="7" spans="1:34">
      <c r="A7" s="1069" t="s">
        <v>557</v>
      </c>
      <c r="B7" s="1070"/>
      <c r="C7" s="1070"/>
      <c r="D7" s="1071"/>
      <c r="E7" s="1084" t="str">
        <f>IF(ISNA(VLOOKUP(E2,AF3:AG17,2,FALSE)),"",(VLOOKUP(E2,AF3:AG17,2,FALSE)))</f>
        <v/>
      </c>
      <c r="F7" s="1084"/>
      <c r="G7" s="1084"/>
      <c r="H7" s="566"/>
      <c r="I7" s="566"/>
      <c r="J7" s="566"/>
      <c r="K7" s="566"/>
      <c r="L7" s="566"/>
      <c r="M7" s="566"/>
      <c r="N7" s="566"/>
      <c r="O7" s="566"/>
      <c r="X7" s="11"/>
      <c r="Y7" s="11"/>
      <c r="Z7" s="7"/>
      <c r="AF7" s="11" t="s">
        <v>212</v>
      </c>
      <c r="AG7" s="11" t="s">
        <v>2702</v>
      </c>
      <c r="AH7" s="11">
        <v>149</v>
      </c>
    </row>
    <row r="8" spans="1:34" ht="13.5" customHeight="1">
      <c r="A8" s="46"/>
      <c r="B8" s="75"/>
      <c r="C8" s="75"/>
      <c r="D8" s="75"/>
      <c r="E8" s="85"/>
      <c r="G8" s="11"/>
      <c r="H8" s="11"/>
      <c r="I8" s="11"/>
      <c r="J8" s="11"/>
      <c r="K8" s="11"/>
      <c r="L8" s="11"/>
      <c r="M8" s="11"/>
      <c r="N8" s="11"/>
      <c r="O8" s="11"/>
      <c r="X8" s="11"/>
      <c r="Y8" s="11"/>
      <c r="Z8" s="7"/>
      <c r="AF8" s="11" t="s">
        <v>214</v>
      </c>
      <c r="AG8" s="11" t="s">
        <v>886</v>
      </c>
      <c r="AH8" s="11">
        <v>152</v>
      </c>
    </row>
    <row r="9" spans="1:34">
      <c r="A9" s="18" t="s">
        <v>401</v>
      </c>
      <c r="E9" s="86"/>
      <c r="G9" s="11"/>
      <c r="H9" s="11"/>
      <c r="I9" s="11"/>
      <c r="J9" s="11"/>
      <c r="K9" s="11"/>
      <c r="L9" s="11"/>
      <c r="M9" s="11"/>
      <c r="N9" s="11"/>
      <c r="O9" s="11"/>
      <c r="X9" s="11"/>
      <c r="Y9" s="11"/>
      <c r="Z9" s="7"/>
      <c r="AF9" s="11" t="s">
        <v>210</v>
      </c>
      <c r="AG9" s="11" t="s">
        <v>887</v>
      </c>
      <c r="AH9" s="11">
        <v>711</v>
      </c>
    </row>
    <row r="10" spans="1:34">
      <c r="A10" s="18"/>
      <c r="E10" s="86"/>
      <c r="G10" s="11"/>
      <c r="H10" s="11"/>
      <c r="I10" s="11"/>
      <c r="J10" s="11"/>
      <c r="K10" s="11"/>
      <c r="L10" s="11"/>
      <c r="M10" s="11"/>
      <c r="N10" s="11"/>
      <c r="O10" s="11"/>
      <c r="X10" s="11"/>
      <c r="Y10" s="11"/>
      <c r="Z10" s="7"/>
      <c r="AF10" s="11" t="s">
        <v>2758</v>
      </c>
      <c r="AG10" s="11" t="s">
        <v>2759</v>
      </c>
      <c r="AH10" s="11">
        <v>149</v>
      </c>
    </row>
    <row r="11" spans="1:34">
      <c r="A11" s="18"/>
      <c r="E11" s="86"/>
      <c r="G11" s="11"/>
      <c r="H11" s="11"/>
      <c r="I11" s="11"/>
      <c r="J11" s="11"/>
      <c r="K11" s="11"/>
      <c r="L11" s="11"/>
      <c r="M11" s="11"/>
      <c r="N11" s="11"/>
      <c r="O11" s="11"/>
      <c r="X11" s="11"/>
      <c r="Y11" s="11"/>
      <c r="Z11" s="7"/>
      <c r="AF11" s="11" t="s">
        <v>2726</v>
      </c>
      <c r="AG11" s="11" t="s">
        <v>3218</v>
      </c>
      <c r="AH11" s="11">
        <v>136</v>
      </c>
    </row>
    <row r="12" spans="1:34" ht="242.25" customHeight="1">
      <c r="A12" s="1091" t="str">
        <f>IF(ISNA(VLOOKUP(E2,'Prior Year FS Balances'!D523:E535,2,FALSE)),"",(VLOOKUP(E2,'Prior Year FS Balances'!D523:E535,2,FALSE)))</f>
        <v/>
      </c>
      <c r="B12" s="1092"/>
      <c r="C12" s="1092"/>
      <c r="D12" s="1092"/>
      <c r="E12" s="1092"/>
      <c r="F12" s="1093"/>
      <c r="G12" s="561"/>
      <c r="H12" s="561"/>
      <c r="I12" s="561"/>
      <c r="J12" s="561"/>
      <c r="K12" s="561"/>
      <c r="L12" s="561"/>
      <c r="M12" s="561"/>
      <c r="N12" s="561"/>
      <c r="O12" s="561"/>
      <c r="P12" s="561"/>
      <c r="X12" s="11"/>
      <c r="Y12" s="11"/>
      <c r="Z12" s="7"/>
      <c r="AF12" s="11" t="s">
        <v>145</v>
      </c>
      <c r="AG12" s="75" t="s">
        <v>3213</v>
      </c>
      <c r="AH12" s="11">
        <v>180</v>
      </c>
    </row>
    <row r="13" spans="1:34" ht="19.5" hidden="1" customHeight="1">
      <c r="A13" s="1094"/>
      <c r="B13" s="1095"/>
      <c r="C13" s="1095"/>
      <c r="D13" s="1095"/>
      <c r="E13" s="1095"/>
      <c r="F13" s="1096"/>
      <c r="G13" s="561"/>
      <c r="H13" s="561"/>
      <c r="I13" s="561"/>
      <c r="J13" s="561"/>
      <c r="K13" s="561"/>
      <c r="L13" s="561"/>
      <c r="M13" s="561"/>
      <c r="N13" s="561"/>
      <c r="O13" s="561"/>
      <c r="P13" s="561"/>
      <c r="X13" s="11"/>
      <c r="Y13" s="11"/>
      <c r="Z13" s="7"/>
      <c r="AF13" s="11" t="s">
        <v>591</v>
      </c>
      <c r="AG13" s="75" t="s">
        <v>884</v>
      </c>
      <c r="AH13" s="11">
        <v>151</v>
      </c>
    </row>
    <row r="14" spans="1:34" ht="19.5" hidden="1" customHeight="1">
      <c r="A14" s="1094"/>
      <c r="B14" s="1095"/>
      <c r="C14" s="1095"/>
      <c r="D14" s="1095"/>
      <c r="E14" s="1095"/>
      <c r="F14" s="1096"/>
      <c r="G14" s="561"/>
      <c r="H14" s="561"/>
      <c r="I14" s="561"/>
      <c r="J14" s="561"/>
      <c r="K14" s="561"/>
      <c r="L14" s="561"/>
      <c r="M14" s="561"/>
      <c r="N14" s="561"/>
      <c r="O14" s="561"/>
      <c r="P14" s="561"/>
      <c r="X14" s="11"/>
      <c r="Y14" s="11"/>
      <c r="Z14" s="7"/>
      <c r="AF14" s="11" t="s">
        <v>696</v>
      </c>
      <c r="AG14" s="75" t="s">
        <v>888</v>
      </c>
      <c r="AH14" s="11">
        <v>151</v>
      </c>
    </row>
    <row r="15" spans="1:34" ht="15.75" hidden="1" customHeight="1">
      <c r="A15" s="1094"/>
      <c r="B15" s="1095"/>
      <c r="C15" s="1095"/>
      <c r="D15" s="1095"/>
      <c r="E15" s="1095"/>
      <c r="F15" s="1096"/>
      <c r="G15" s="561"/>
      <c r="H15" s="561"/>
      <c r="I15" s="561"/>
      <c r="J15" s="561"/>
      <c r="K15" s="561"/>
      <c r="L15" s="561"/>
      <c r="M15" s="561"/>
      <c r="N15" s="561"/>
      <c r="O15" s="561"/>
      <c r="P15" s="561"/>
      <c r="X15" s="11"/>
      <c r="Y15" s="11"/>
      <c r="Z15" s="7"/>
      <c r="AF15" s="11"/>
      <c r="AG15" s="75"/>
      <c r="AH15" s="11"/>
    </row>
    <row r="16" spans="1:34" ht="33" hidden="1" customHeight="1">
      <c r="A16" s="1094"/>
      <c r="B16" s="1095"/>
      <c r="C16" s="1095"/>
      <c r="D16" s="1095"/>
      <c r="E16" s="1095"/>
      <c r="F16" s="1096"/>
      <c r="G16" s="561"/>
      <c r="H16" s="561"/>
      <c r="I16" s="561"/>
      <c r="J16" s="561"/>
      <c r="K16" s="561"/>
      <c r="L16" s="561"/>
      <c r="M16" s="561"/>
      <c r="N16" s="561"/>
      <c r="O16" s="561"/>
      <c r="P16" s="561"/>
      <c r="X16" s="11"/>
      <c r="Y16" s="11"/>
      <c r="Z16" s="7"/>
      <c r="AF16" s="11"/>
      <c r="AG16" s="75"/>
      <c r="AH16" s="11"/>
    </row>
    <row r="17" spans="1:34" ht="259.5" hidden="1" customHeight="1">
      <c r="A17" s="1094"/>
      <c r="B17" s="1095"/>
      <c r="C17" s="1095"/>
      <c r="D17" s="1095"/>
      <c r="E17" s="1095"/>
      <c r="F17" s="1096"/>
      <c r="G17" s="561"/>
      <c r="H17" s="561"/>
      <c r="I17" s="561"/>
      <c r="J17" s="561"/>
      <c r="K17" s="561"/>
      <c r="L17" s="561"/>
      <c r="M17" s="561"/>
      <c r="N17" s="561"/>
      <c r="O17" s="561"/>
      <c r="P17" s="561"/>
      <c r="X17" s="11"/>
      <c r="Y17" s="11"/>
      <c r="Z17" s="7"/>
      <c r="AF17" s="11"/>
      <c r="AG17" s="75"/>
      <c r="AH17" s="11"/>
    </row>
    <row r="18" spans="1:34" ht="21" hidden="1" customHeight="1">
      <c r="A18" s="1094"/>
      <c r="B18" s="1095"/>
      <c r="C18" s="1095"/>
      <c r="D18" s="1095"/>
      <c r="E18" s="1095"/>
      <c r="F18" s="1096"/>
      <c r="G18" s="561"/>
      <c r="H18" s="561"/>
      <c r="I18" s="561"/>
      <c r="J18" s="561"/>
      <c r="K18" s="561"/>
      <c r="L18" s="561"/>
      <c r="M18" s="561"/>
      <c r="N18" s="561"/>
      <c r="O18" s="561"/>
      <c r="P18" s="561"/>
      <c r="V18" s="17" t="str">
        <f>IF(50001&lt;$V13&lt;100000,"3,000","-")</f>
        <v>-</v>
      </c>
      <c r="X18" s="11"/>
      <c r="Y18" s="11"/>
      <c r="Z18" s="7"/>
      <c r="AF18" s="11"/>
      <c r="AG18" s="75"/>
      <c r="AH18" s="11"/>
    </row>
    <row r="19" spans="1:34" ht="22.5" hidden="1" customHeight="1">
      <c r="A19" s="1094"/>
      <c r="B19" s="1095"/>
      <c r="C19" s="1095"/>
      <c r="D19" s="1095"/>
      <c r="E19" s="1095"/>
      <c r="F19" s="1096"/>
      <c r="G19" s="561"/>
      <c r="H19" s="561"/>
      <c r="I19" s="561"/>
      <c r="J19" s="561"/>
      <c r="K19" s="561"/>
      <c r="L19" s="561"/>
      <c r="M19" s="561"/>
      <c r="N19" s="561"/>
      <c r="O19" s="561"/>
      <c r="P19" s="561"/>
      <c r="V19" s="17" t="str">
        <f t="shared" ref="V19:V30" si="0">IF(50001&lt;$V15&lt;100000,"3,000","-")</f>
        <v>-</v>
      </c>
      <c r="X19" s="11"/>
      <c r="Y19" s="11"/>
      <c r="Z19" s="7"/>
      <c r="AF19" s="11"/>
      <c r="AG19" s="75"/>
      <c r="AH19" s="11"/>
    </row>
    <row r="20" spans="1:34" ht="22.5" hidden="1" customHeight="1">
      <c r="A20" s="1094"/>
      <c r="B20" s="1095"/>
      <c r="C20" s="1095"/>
      <c r="D20" s="1095"/>
      <c r="E20" s="1095"/>
      <c r="F20" s="1096"/>
      <c r="G20" s="561"/>
      <c r="H20" s="561"/>
      <c r="I20" s="561"/>
      <c r="J20" s="561"/>
      <c r="K20" s="561"/>
      <c r="L20" s="561"/>
      <c r="M20" s="561"/>
      <c r="N20" s="561"/>
      <c r="O20" s="561"/>
      <c r="P20" s="561"/>
      <c r="V20" s="17" t="str">
        <f t="shared" si="0"/>
        <v>-</v>
      </c>
      <c r="X20" s="11"/>
      <c r="Y20" s="11"/>
      <c r="Z20" s="7"/>
      <c r="AF20" s="11"/>
      <c r="AG20" s="75"/>
      <c r="AH20" s="11"/>
    </row>
    <row r="21" spans="1:34" ht="19.5" hidden="1" customHeight="1">
      <c r="A21" s="1094"/>
      <c r="B21" s="1095"/>
      <c r="C21" s="1095"/>
      <c r="D21" s="1095"/>
      <c r="E21" s="1095"/>
      <c r="F21" s="1096"/>
      <c r="G21" s="561"/>
      <c r="H21" s="561"/>
      <c r="I21" s="561"/>
      <c r="J21" s="561"/>
      <c r="K21" s="561"/>
      <c r="L21" s="561"/>
      <c r="M21" s="561"/>
      <c r="N21" s="561"/>
      <c r="O21" s="561"/>
      <c r="P21" s="561"/>
      <c r="V21" s="17" t="str">
        <f t="shared" si="0"/>
        <v>-</v>
      </c>
      <c r="X21" s="11"/>
      <c r="Y21" s="11"/>
      <c r="Z21" s="7"/>
      <c r="AF21" s="11"/>
      <c r="AG21" s="75"/>
      <c r="AH21" s="11"/>
    </row>
    <row r="22" spans="1:34" ht="21.75" hidden="1" customHeight="1">
      <c r="A22" s="1094"/>
      <c r="B22" s="1095"/>
      <c r="C22" s="1095"/>
      <c r="D22" s="1095"/>
      <c r="E22" s="1095"/>
      <c r="F22" s="1096"/>
      <c r="G22" s="561"/>
      <c r="H22" s="561"/>
      <c r="I22" s="561"/>
      <c r="J22" s="561"/>
      <c r="K22" s="561"/>
      <c r="L22" s="561"/>
      <c r="M22" s="561"/>
      <c r="N22" s="561"/>
      <c r="O22" s="561"/>
      <c r="P22" s="561"/>
      <c r="V22" s="17" t="str">
        <f t="shared" si="0"/>
        <v>-</v>
      </c>
      <c r="X22" s="11"/>
      <c r="Y22" s="11"/>
      <c r="Z22" s="7"/>
      <c r="AF22" s="11"/>
      <c r="AG22" s="75"/>
      <c r="AH22" s="11"/>
    </row>
    <row r="23" spans="1:34" ht="21.75" hidden="1" customHeight="1">
      <c r="A23" s="1094"/>
      <c r="B23" s="1095"/>
      <c r="C23" s="1095"/>
      <c r="D23" s="1095"/>
      <c r="E23" s="1095"/>
      <c r="F23" s="1096"/>
      <c r="G23" s="561"/>
      <c r="H23" s="561"/>
      <c r="I23" s="561"/>
      <c r="J23" s="561"/>
      <c r="K23" s="561"/>
      <c r="L23" s="561"/>
      <c r="M23" s="561"/>
      <c r="N23" s="561"/>
      <c r="O23" s="561"/>
      <c r="P23" s="561"/>
      <c r="V23" s="17" t="str">
        <f t="shared" si="0"/>
        <v>-</v>
      </c>
      <c r="X23" s="11"/>
      <c r="Y23" s="11"/>
      <c r="Z23" s="7"/>
      <c r="AF23" s="11"/>
      <c r="AG23" s="75"/>
      <c r="AH23" s="11"/>
    </row>
    <row r="24" spans="1:34" ht="21.75" hidden="1" customHeight="1">
      <c r="A24" s="1094"/>
      <c r="B24" s="1095"/>
      <c r="C24" s="1095"/>
      <c r="D24" s="1095"/>
      <c r="E24" s="1095"/>
      <c r="F24" s="1096"/>
      <c r="G24" s="561"/>
      <c r="H24" s="561"/>
      <c r="I24" s="561"/>
      <c r="J24" s="561"/>
      <c r="K24" s="561"/>
      <c r="L24" s="561"/>
      <c r="M24" s="561"/>
      <c r="N24" s="561"/>
      <c r="O24" s="561"/>
      <c r="P24" s="561"/>
      <c r="V24" s="17" t="str">
        <f t="shared" si="0"/>
        <v>-</v>
      </c>
      <c r="X24" s="11"/>
      <c r="Y24" s="11"/>
      <c r="Z24" s="7"/>
      <c r="AF24" s="11"/>
      <c r="AG24" s="75"/>
      <c r="AH24" s="11"/>
    </row>
    <row r="25" spans="1:34" ht="34.5" hidden="1" customHeight="1">
      <c r="A25" s="1094"/>
      <c r="B25" s="1095"/>
      <c r="C25" s="1095"/>
      <c r="D25" s="1095"/>
      <c r="E25" s="1095"/>
      <c r="F25" s="1096"/>
      <c r="G25" s="561"/>
      <c r="H25" s="561"/>
      <c r="I25" s="561"/>
      <c r="J25" s="561"/>
      <c r="K25" s="561"/>
      <c r="L25" s="561"/>
      <c r="M25" s="561"/>
      <c r="N25" s="561"/>
      <c r="O25" s="561"/>
      <c r="P25" s="561"/>
      <c r="V25" s="17" t="str">
        <f t="shared" si="0"/>
        <v>-</v>
      </c>
      <c r="X25" s="11"/>
      <c r="Y25" s="11"/>
      <c r="Z25" s="7"/>
      <c r="AF25" s="11"/>
      <c r="AG25" s="75"/>
      <c r="AH25" s="11"/>
    </row>
    <row r="26" spans="1:34" ht="33" hidden="1" customHeight="1">
      <c r="A26" s="1094"/>
      <c r="B26" s="1095"/>
      <c r="C26" s="1095"/>
      <c r="D26" s="1095"/>
      <c r="E26" s="1095"/>
      <c r="F26" s="1096"/>
      <c r="G26" s="561"/>
      <c r="H26" s="561"/>
      <c r="I26" s="561"/>
      <c r="J26" s="561"/>
      <c r="K26" s="561"/>
      <c r="L26" s="561"/>
      <c r="M26" s="561"/>
      <c r="N26" s="561"/>
      <c r="O26" s="561"/>
      <c r="P26" s="561"/>
      <c r="V26" s="17" t="str">
        <f t="shared" si="0"/>
        <v>-</v>
      </c>
      <c r="X26" s="11"/>
      <c r="Y26" s="11"/>
      <c r="Z26" s="7"/>
      <c r="AF26" s="11"/>
      <c r="AG26" s="75"/>
      <c r="AH26" s="11"/>
    </row>
    <row r="27" spans="1:34" ht="21.75" hidden="1" customHeight="1">
      <c r="A27" s="1094"/>
      <c r="B27" s="1095"/>
      <c r="C27" s="1095"/>
      <c r="D27" s="1095"/>
      <c r="E27" s="1095"/>
      <c r="F27" s="1096"/>
      <c r="G27" s="561"/>
      <c r="H27" s="561"/>
      <c r="I27" s="561"/>
      <c r="J27" s="561"/>
      <c r="K27" s="561"/>
      <c r="L27" s="561"/>
      <c r="M27" s="561"/>
      <c r="N27" s="561"/>
      <c r="O27" s="561"/>
      <c r="P27" s="561"/>
      <c r="V27" s="17" t="str">
        <f t="shared" si="0"/>
        <v>-</v>
      </c>
      <c r="X27" s="11"/>
      <c r="Y27" s="11"/>
      <c r="Z27" s="7"/>
      <c r="AF27" s="11"/>
      <c r="AG27" s="75"/>
      <c r="AH27" s="11"/>
    </row>
    <row r="28" spans="1:34" ht="21.75" hidden="1" customHeight="1">
      <c r="A28" s="1094"/>
      <c r="B28" s="1095"/>
      <c r="C28" s="1095"/>
      <c r="D28" s="1095"/>
      <c r="E28" s="1095"/>
      <c r="F28" s="1096"/>
      <c r="G28" s="561"/>
      <c r="H28" s="561"/>
      <c r="I28" s="561"/>
      <c r="J28" s="561"/>
      <c r="K28" s="561"/>
      <c r="L28" s="561"/>
      <c r="M28" s="561"/>
      <c r="N28" s="561"/>
      <c r="O28" s="561"/>
      <c r="P28" s="561"/>
      <c r="V28" s="17" t="str">
        <f t="shared" si="0"/>
        <v>-</v>
      </c>
      <c r="X28" s="11"/>
      <c r="Y28" s="11"/>
      <c r="Z28" s="7"/>
      <c r="AF28" s="11"/>
      <c r="AG28" s="75"/>
      <c r="AH28" s="11"/>
    </row>
    <row r="29" spans="1:34" ht="23.25" hidden="1" customHeight="1">
      <c r="A29" s="1094"/>
      <c r="B29" s="1095"/>
      <c r="C29" s="1095"/>
      <c r="D29" s="1095"/>
      <c r="E29" s="1095"/>
      <c r="F29" s="1096"/>
      <c r="G29" s="561"/>
      <c r="H29" s="561"/>
      <c r="I29" s="561"/>
      <c r="J29" s="561"/>
      <c r="K29" s="561"/>
      <c r="L29" s="561"/>
      <c r="M29" s="561"/>
      <c r="N29" s="561"/>
      <c r="O29" s="561"/>
      <c r="P29" s="561"/>
      <c r="V29" s="17" t="str">
        <f t="shared" si="0"/>
        <v>-</v>
      </c>
      <c r="X29" s="11"/>
      <c r="Y29" s="11"/>
      <c r="Z29" s="7"/>
      <c r="AF29" s="11"/>
      <c r="AG29" s="75"/>
      <c r="AH29" s="11"/>
    </row>
    <row r="30" spans="1:34" ht="29.25" hidden="1" customHeight="1">
      <c r="A30" s="1097"/>
      <c r="B30" s="1098"/>
      <c r="C30" s="1098"/>
      <c r="D30" s="1098"/>
      <c r="E30" s="1098"/>
      <c r="F30" s="1099"/>
      <c r="G30" s="561"/>
      <c r="H30" s="561"/>
      <c r="I30" s="561"/>
      <c r="J30" s="561"/>
      <c r="K30" s="561"/>
      <c r="L30" s="561"/>
      <c r="M30" s="561"/>
      <c r="N30" s="561"/>
      <c r="O30" s="561"/>
      <c r="P30" s="561"/>
      <c r="V30" s="17" t="str">
        <f t="shared" si="0"/>
        <v>-</v>
      </c>
      <c r="X30" s="11"/>
      <c r="Y30" s="11"/>
      <c r="Z30" s="7"/>
      <c r="AF30" s="11"/>
      <c r="AG30" s="75"/>
      <c r="AH30" s="11"/>
    </row>
    <row r="31" spans="1:34" ht="15" customHeight="1" thickBot="1">
      <c r="A31" s="567"/>
      <c r="B31" s="567"/>
      <c r="C31" s="567"/>
      <c r="D31" s="567"/>
      <c r="E31" s="567"/>
      <c r="F31" s="567"/>
      <c r="G31" s="568"/>
      <c r="H31" s="568"/>
      <c r="I31" s="568"/>
      <c r="J31" s="568"/>
      <c r="K31" s="568"/>
      <c r="L31" s="568"/>
      <c r="M31" s="568"/>
      <c r="N31" s="568"/>
      <c r="O31" s="568"/>
      <c r="P31" s="568"/>
      <c r="Q31" s="135"/>
      <c r="R31" s="135"/>
      <c r="S31" s="135"/>
      <c r="X31" s="11"/>
      <c r="Y31" s="11"/>
      <c r="Z31" s="7"/>
      <c r="AF31" s="11"/>
      <c r="AG31" s="75"/>
      <c r="AH31" s="11"/>
    </row>
    <row r="32" spans="1:34" ht="10.5" customHeight="1">
      <c r="A32" s="27"/>
      <c r="B32" s="17"/>
      <c r="C32" s="17"/>
      <c r="D32" s="17"/>
      <c r="E32" s="19"/>
      <c r="F32" s="20"/>
      <c r="G32" s="21"/>
      <c r="H32" s="21"/>
      <c r="I32" s="21"/>
      <c r="J32" s="21"/>
      <c r="K32" s="21"/>
      <c r="L32" s="21"/>
      <c r="M32" s="21"/>
      <c r="N32" s="21"/>
      <c r="O32" s="21"/>
      <c r="X32" s="11"/>
      <c r="Y32" s="11"/>
      <c r="Z32" s="7"/>
      <c r="AF32" s="11"/>
      <c r="AG32" s="75"/>
      <c r="AH32" s="11"/>
    </row>
    <row r="33" spans="1:34" s="11" customFormat="1">
      <c r="A33" s="13" t="s">
        <v>712</v>
      </c>
      <c r="B33" s="13"/>
      <c r="C33" s="13"/>
      <c r="D33" s="13"/>
      <c r="F33" s="22"/>
      <c r="Q33" s="13"/>
      <c r="Z33" s="7"/>
      <c r="AG33" s="75"/>
    </row>
    <row r="34" spans="1:34" ht="12.75" customHeight="1">
      <c r="A34" s="1064" t="s">
        <v>3809</v>
      </c>
      <c r="B34" s="1064"/>
      <c r="C34" s="1064"/>
      <c r="D34" s="1064"/>
      <c r="E34" s="23"/>
      <c r="F34" s="569"/>
      <c r="G34" s="23"/>
      <c r="H34" s="23"/>
      <c r="I34" s="23"/>
      <c r="J34" s="23"/>
      <c r="K34" s="23"/>
      <c r="L34" s="23"/>
      <c r="M34" s="23"/>
      <c r="N34" s="23"/>
      <c r="O34" s="23"/>
      <c r="P34" s="23"/>
      <c r="Q34" s="211"/>
      <c r="R34" s="23"/>
      <c r="S34" s="23"/>
      <c r="W34" s="5"/>
      <c r="X34" s="11"/>
      <c r="Y34" s="11"/>
      <c r="Z34" s="11"/>
      <c r="AA34" s="11"/>
      <c r="AF34" s="11"/>
      <c r="AG34" s="75"/>
    </row>
    <row r="35" spans="1:34" ht="7.5" customHeight="1">
      <c r="A35" s="25"/>
      <c r="B35" s="25"/>
      <c r="C35" s="25"/>
      <c r="D35" s="25"/>
      <c r="E35" s="17"/>
      <c r="F35" s="26"/>
      <c r="P35" s="27"/>
      <c r="X35" s="11"/>
      <c r="Y35" s="11"/>
      <c r="AA35" s="5"/>
      <c r="AF35" s="11"/>
      <c r="AG35" s="75"/>
    </row>
    <row r="36" spans="1:34" hidden="1">
      <c r="A36" s="25"/>
      <c r="B36" s="25"/>
      <c r="C36" s="25"/>
      <c r="D36" s="25"/>
      <c r="E36" s="17"/>
      <c r="F36" s="26"/>
      <c r="T36" s="28"/>
      <c r="X36" s="11"/>
      <c r="Y36" s="11"/>
      <c r="AB36" s="28"/>
      <c r="AF36" s="11"/>
      <c r="AG36" s="75"/>
    </row>
    <row r="37" spans="1:34" ht="39" customHeight="1">
      <c r="A37" s="27" t="s">
        <v>734</v>
      </c>
      <c r="B37" s="17"/>
      <c r="C37" s="17"/>
      <c r="D37" s="17"/>
      <c r="E37" s="430" t="s">
        <v>298</v>
      </c>
      <c r="F37" s="16" t="s">
        <v>685</v>
      </c>
      <c r="G37" s="16" t="s">
        <v>216</v>
      </c>
      <c r="H37" s="100" t="e">
        <f>HLOOKUP($E2,$AF$41:$AI$47,2,FALSE)</f>
        <v>#N/A</v>
      </c>
      <c r="I37" s="100" t="e">
        <f>HLOOKUP($E2,$AF$41:$AI$47,3,FALSE)</f>
        <v>#N/A</v>
      </c>
      <c r="J37" s="100" t="e">
        <f>HLOOKUP($E2,$AF$41:$AI$47,4,FALSE)</f>
        <v>#N/A</v>
      </c>
      <c r="K37" s="100" t="e">
        <f>HLOOKUP($E2,$AF$41:$AI$47,5,FALSE)</f>
        <v>#N/A</v>
      </c>
      <c r="L37" s="100" t="e">
        <f>HLOOKUP($E2,$AF$41:$AI$47,6,FALSE)</f>
        <v>#N/A</v>
      </c>
      <c r="M37" s="100" t="e">
        <f>HLOOKUP($E2,$AF$41:$AI$47,7,FALSE)</f>
        <v>#N/A</v>
      </c>
      <c r="N37" s="16" t="s">
        <v>684</v>
      </c>
      <c r="O37" s="100" t="e">
        <f>VLOOKUP(E2,AF50:AG62,2,FALSE)</f>
        <v>#N/A</v>
      </c>
      <c r="P37" s="570" t="s">
        <v>532</v>
      </c>
      <c r="Q37" s="15" t="s">
        <v>102</v>
      </c>
      <c r="R37" s="16" t="s">
        <v>237</v>
      </c>
      <c r="S37" s="29" t="s">
        <v>238</v>
      </c>
      <c r="T37" s="132" t="s">
        <v>406</v>
      </c>
      <c r="W37" s="5"/>
      <c r="X37" s="11"/>
      <c r="Y37" s="11"/>
      <c r="AF37" s="11"/>
      <c r="AG37" s="75"/>
    </row>
    <row r="38" spans="1:34">
      <c r="A38" s="27" t="s">
        <v>615</v>
      </c>
      <c r="B38" s="17"/>
      <c r="C38" s="17"/>
      <c r="D38" s="17"/>
      <c r="E38" s="26"/>
      <c r="F38" s="36"/>
      <c r="G38" s="36"/>
      <c r="H38" s="76"/>
      <c r="I38" s="76"/>
      <c r="J38" s="76"/>
      <c r="K38" s="76"/>
      <c r="L38" s="76"/>
      <c r="M38" s="76"/>
      <c r="N38" s="36"/>
      <c r="O38" s="76"/>
      <c r="P38" s="26"/>
      <c r="Q38" s="251"/>
      <c r="R38" s="36"/>
      <c r="S38" s="27"/>
      <c r="T38" s="571"/>
      <c r="X38" s="11"/>
      <c r="Y38" s="11"/>
      <c r="AF38" s="11"/>
      <c r="AG38" s="75"/>
    </row>
    <row r="39" spans="1:34">
      <c r="A39" s="17" t="s">
        <v>537</v>
      </c>
      <c r="B39" s="17"/>
      <c r="C39" s="17"/>
      <c r="D39" s="17"/>
      <c r="E39" s="17"/>
      <c r="F39" s="20"/>
      <c r="R39" s="5"/>
      <c r="T39" s="5"/>
      <c r="V39" s="5"/>
      <c r="W39" s="5"/>
      <c r="X39" s="11"/>
      <c r="Y39" s="11"/>
      <c r="AF39" s="11"/>
      <c r="AG39" s="11"/>
    </row>
    <row r="40" spans="1:34">
      <c r="A40" s="17"/>
      <c r="B40" s="17" t="s">
        <v>2593</v>
      </c>
      <c r="C40" s="17"/>
      <c r="D40" s="17"/>
      <c r="E40" s="17"/>
      <c r="F40" s="30" t="s">
        <v>853</v>
      </c>
      <c r="G40" s="1"/>
      <c r="H40" s="31"/>
      <c r="I40" s="31"/>
      <c r="J40" s="31"/>
      <c r="K40" s="31"/>
      <c r="L40" s="31"/>
      <c r="M40" s="31"/>
      <c r="N40" s="31"/>
      <c r="O40" s="88">
        <f>SUM(G40:N40)</f>
        <v>0</v>
      </c>
      <c r="P40" s="5" t="str">
        <f>IF(ISNA(HLOOKUP($E$2,'Prior Year FS Balances'!$G$21:$AF$464,3,FALSE)),"",(HLOOKUP($E$2,'Prior Year FS Balances'!$G$21:$AF$464,3,FALSE)))</f>
        <v/>
      </c>
      <c r="Q40" s="5" t="str">
        <f>IF(ISERR(O40-P40),"",(O40-P40))</f>
        <v/>
      </c>
      <c r="R40" s="201" t="str">
        <f>IF($E$7="","",IF(AND(O40=0,P40=0),"",IF(ISERR(Q40/ABS(P40)),100%,Q40/ABS(P40))))</f>
        <v/>
      </c>
      <c r="S40" s="572"/>
      <c r="T40" s="5"/>
      <c r="V40" s="5"/>
      <c r="W40" s="5"/>
      <c r="X40" s="11"/>
      <c r="Y40" s="11"/>
      <c r="Z40" s="5"/>
      <c r="AF40" s="11" t="s">
        <v>683</v>
      </c>
      <c r="AG40" s="11" t="s">
        <v>682</v>
      </c>
      <c r="AH40" s="17" t="s">
        <v>696</v>
      </c>
    </row>
    <row r="41" spans="1:34">
      <c r="A41" s="17"/>
      <c r="B41" s="17" t="s">
        <v>487</v>
      </c>
      <c r="C41" s="17"/>
      <c r="D41" s="17"/>
      <c r="E41" s="17"/>
      <c r="F41" s="30" t="s">
        <v>854</v>
      </c>
      <c r="G41" s="1"/>
      <c r="H41" s="31"/>
      <c r="I41" s="31"/>
      <c r="J41" s="31"/>
      <c r="K41" s="31"/>
      <c r="L41" s="31"/>
      <c r="M41" s="31"/>
      <c r="N41" s="31"/>
      <c r="O41" s="88">
        <f>SUM(G41:N41)</f>
        <v>0</v>
      </c>
      <c r="P41" s="5" t="str">
        <f>IF(ISNA(HLOOKUP($E$2,'Prior Year FS Balances'!$G$21:$AF$464,4,FALSE)),"",(HLOOKUP($E$2,'Prior Year FS Balances'!$G$21:$AF$464,4,FALSE)))</f>
        <v/>
      </c>
      <c r="Q41" s="5" t="str">
        <f>IF(ISERR(O41-P41),"",(O41-P41))</f>
        <v/>
      </c>
      <c r="R41" s="201" t="str">
        <f>IF($E$7="","",IF(AND(O41=0,P41=0),"",IF(ISERR(Q41/ABS(P41)),100%,Q41/ABS(P41))))</f>
        <v/>
      </c>
      <c r="S41" s="572"/>
      <c r="T41" s="5"/>
      <c r="V41" s="5"/>
      <c r="W41" s="5"/>
      <c r="X41" s="5"/>
      <c r="Z41" s="5"/>
      <c r="AF41" s="100" t="s">
        <v>119</v>
      </c>
      <c r="AG41" s="16" t="s">
        <v>116</v>
      </c>
      <c r="AH41" s="573" t="s">
        <v>2600</v>
      </c>
    </row>
    <row r="42" spans="1:34">
      <c r="A42" s="17"/>
      <c r="B42" s="17" t="s">
        <v>272</v>
      </c>
      <c r="C42" s="17"/>
      <c r="D42" s="17"/>
      <c r="E42" s="17"/>
      <c r="F42" s="20"/>
      <c r="G42" s="1"/>
      <c r="H42" s="31"/>
      <c r="I42" s="31"/>
      <c r="J42" s="31"/>
      <c r="K42" s="31"/>
      <c r="L42" s="31"/>
      <c r="M42" s="31"/>
      <c r="N42" s="31"/>
      <c r="O42" s="88">
        <f>SUM(G42:N42)</f>
        <v>0</v>
      </c>
      <c r="P42" s="5" t="str">
        <f>IF(ISNA(HLOOKUP($E$2,'Prior Year FS Balances'!$G$21:$AF$464,5,FALSE)),"",(HLOOKUP($E$2,'Prior Year FS Balances'!$G$21:$AF$464,5,FALSE)))</f>
        <v/>
      </c>
      <c r="Q42" s="5" t="str">
        <f>IF(ISERR(O42-P42),"",(O42-P42))</f>
        <v/>
      </c>
      <c r="R42" s="201" t="str">
        <f>IF($E$7="","",IF(AND(O42=0,P42=0),"",IF(ISERR(Q42/ABS(P42)),100%,Q42/ABS(P42))))</f>
        <v/>
      </c>
      <c r="S42" s="572"/>
      <c r="T42" s="5"/>
      <c r="V42" s="5"/>
      <c r="W42" s="5"/>
      <c r="X42" s="5"/>
      <c r="Z42" s="5"/>
      <c r="AF42" s="100" t="s">
        <v>118</v>
      </c>
      <c r="AG42" s="16" t="s">
        <v>117</v>
      </c>
      <c r="AH42" s="573" t="s">
        <v>2601</v>
      </c>
    </row>
    <row r="43" spans="1:34">
      <c r="A43" s="17"/>
      <c r="B43" s="17" t="s">
        <v>88</v>
      </c>
      <c r="C43" s="17"/>
      <c r="D43" s="17"/>
      <c r="E43" s="17"/>
      <c r="F43" s="30" t="s">
        <v>855</v>
      </c>
      <c r="G43" s="1"/>
      <c r="H43" s="31"/>
      <c r="I43" s="31"/>
      <c r="J43" s="31"/>
      <c r="K43" s="31"/>
      <c r="L43" s="31"/>
      <c r="M43" s="31"/>
      <c r="N43" s="31"/>
      <c r="O43" s="88">
        <f>SUM(G43:N43)</f>
        <v>0</v>
      </c>
      <c r="P43" s="5" t="str">
        <f>IF(ISNA(HLOOKUP($E$2,'Prior Year FS Balances'!$G$21:$AF$464,6,FALSE)),"",(HLOOKUP($E$2,'Prior Year FS Balances'!$G$21:$AF$464,6,FALSE)))</f>
        <v/>
      </c>
      <c r="Q43" s="5" t="str">
        <f>IF(ISERR(O43-P43),"",(O43-P43))</f>
        <v/>
      </c>
      <c r="R43" s="201" t="str">
        <f>IF($E$7="","",IF(AND(O43=0,P43=0),"",IF(ISERR(Q43/ABS(P43)),100%,Q43/ABS(P43))))</f>
        <v/>
      </c>
      <c r="S43" s="572"/>
      <c r="T43" s="5"/>
      <c r="V43" s="5"/>
      <c r="W43" s="5"/>
      <c r="X43" s="5"/>
      <c r="Z43" s="5"/>
      <c r="AF43" s="100" t="s">
        <v>120</v>
      </c>
      <c r="AG43" s="11" t="s">
        <v>262</v>
      </c>
      <c r="AH43" s="13" t="s">
        <v>3237</v>
      </c>
    </row>
    <row r="44" spans="1:34">
      <c r="A44" s="17"/>
      <c r="B44" s="17" t="s">
        <v>612</v>
      </c>
      <c r="C44" s="17"/>
      <c r="D44" s="17"/>
      <c r="E44" s="17"/>
      <c r="F44" s="30" t="s">
        <v>3932</v>
      </c>
      <c r="G44" s="1"/>
      <c r="H44" s="31"/>
      <c r="I44" s="31"/>
      <c r="J44" s="31"/>
      <c r="K44" s="31"/>
      <c r="L44" s="31"/>
      <c r="M44" s="31"/>
      <c r="N44" s="31"/>
      <c r="O44" s="88">
        <f>SUM(G44:N44)</f>
        <v>0</v>
      </c>
      <c r="P44" s="5" t="str">
        <f>IF(ISNA(HLOOKUP($E$2,'Prior Year FS Balances'!$G$21:$AF$464,7,FALSE)),"",(HLOOKUP($E$2,'Prior Year FS Balances'!$G$21:$AF$464,7,FALSE)))</f>
        <v/>
      </c>
      <c r="Q44" s="5" t="str">
        <f>IF(ISERR(O44-P44),"",(O44-P44))</f>
        <v/>
      </c>
      <c r="R44" s="201" t="str">
        <f>IF($E$7="","",IF(AND(O44=0,P44=0),"",IF(ISERR(Q44/ABS(P44)),100%,Q44/ABS(P44))))</f>
        <v/>
      </c>
      <c r="S44" s="572"/>
      <c r="T44" s="5"/>
      <c r="V44" s="5"/>
      <c r="W44" s="5"/>
      <c r="Z44" s="5"/>
      <c r="AF44" s="76" t="s">
        <v>239</v>
      </c>
      <c r="AG44" s="17" t="s">
        <v>262</v>
      </c>
      <c r="AH44" s="11" t="s">
        <v>262</v>
      </c>
    </row>
    <row r="45" spans="1:34">
      <c r="A45" s="17"/>
      <c r="B45" s="17"/>
      <c r="C45" s="33" t="s">
        <v>220</v>
      </c>
      <c r="D45" s="17"/>
      <c r="E45" s="17"/>
      <c r="F45" s="30" t="s">
        <v>856</v>
      </c>
      <c r="G45" s="34">
        <f t="shared" ref="G45:Q45" si="1">SUM(G40:G44)</f>
        <v>0</v>
      </c>
      <c r="H45" s="34">
        <f t="shared" si="1"/>
        <v>0</v>
      </c>
      <c r="I45" s="34">
        <f t="shared" si="1"/>
        <v>0</v>
      </c>
      <c r="J45" s="34">
        <f>SUM(J40:J44)</f>
        <v>0</v>
      </c>
      <c r="K45" s="34">
        <f t="shared" si="1"/>
        <v>0</v>
      </c>
      <c r="L45" s="34">
        <f t="shared" si="1"/>
        <v>0</v>
      </c>
      <c r="M45" s="34">
        <f t="shared" si="1"/>
        <v>0</v>
      </c>
      <c r="N45" s="34">
        <f t="shared" si="1"/>
        <v>0</v>
      </c>
      <c r="O45" s="34">
        <f>SUM(O40:O44)</f>
        <v>0</v>
      </c>
      <c r="P45" s="34">
        <f>SUM(P40:P44)</f>
        <v>0</v>
      </c>
      <c r="Q45" s="34">
        <f t="shared" si="1"/>
        <v>0</v>
      </c>
      <c r="R45" s="202" t="str">
        <f>IF(Q45=0,"0%",IF(ISERR(Q45/ABS(P45)),100%,Q45/ABS(P45)))</f>
        <v>0%</v>
      </c>
      <c r="T45" s="5"/>
      <c r="V45" s="5"/>
      <c r="W45" s="5"/>
      <c r="X45" s="5"/>
      <c r="Z45" s="5"/>
      <c r="AF45" s="76" t="s">
        <v>240</v>
      </c>
      <c r="AG45" s="11" t="s">
        <v>262</v>
      </c>
      <c r="AH45" s="11" t="s">
        <v>262</v>
      </c>
    </row>
    <row r="46" spans="1:34">
      <c r="A46" s="17"/>
      <c r="B46" s="17"/>
      <c r="C46" s="17"/>
      <c r="D46" s="17"/>
      <c r="E46" s="17"/>
      <c r="F46" s="20"/>
      <c r="G46" s="5"/>
      <c r="H46" s="5"/>
      <c r="I46" s="5"/>
      <c r="J46" s="5"/>
      <c r="K46" s="5"/>
      <c r="L46" s="5"/>
      <c r="M46" s="5"/>
      <c r="N46" s="5"/>
      <c r="O46" s="5"/>
      <c r="P46" s="5"/>
      <c r="Q46" s="5"/>
      <c r="R46" s="5"/>
      <c r="T46" s="5"/>
      <c r="V46" s="5"/>
      <c r="W46" s="5"/>
      <c r="X46" s="5"/>
      <c r="Z46" s="5"/>
      <c r="AF46" s="76" t="s">
        <v>241</v>
      </c>
      <c r="AG46" s="11" t="s">
        <v>262</v>
      </c>
      <c r="AH46" s="11" t="s">
        <v>262</v>
      </c>
    </row>
    <row r="47" spans="1:34">
      <c r="A47" s="17"/>
      <c r="B47" s="17" t="s">
        <v>273</v>
      </c>
      <c r="C47" s="17"/>
      <c r="D47" s="17"/>
      <c r="E47" s="17"/>
      <c r="F47" s="20"/>
      <c r="G47" s="1"/>
      <c r="H47" s="31"/>
      <c r="I47" s="31"/>
      <c r="J47" s="31"/>
      <c r="K47" s="31"/>
      <c r="L47" s="31"/>
      <c r="M47" s="31"/>
      <c r="N47" s="31"/>
      <c r="O47" s="88">
        <f>SUM(G47:N47)</f>
        <v>0</v>
      </c>
      <c r="P47" s="5" t="str">
        <f>IF(ISNA(HLOOKUP($E$2,'Prior Year FS Balances'!$G$21:$AF$464,10,FALSE)),"",(HLOOKUP($E$2,'Prior Year FS Balances'!$G$21:$AF$464,10,FALSE)))</f>
        <v/>
      </c>
      <c r="Q47" s="5" t="str">
        <f>IF(ISERR(O47-P47),"",(O47-P47))</f>
        <v/>
      </c>
      <c r="R47" s="201" t="str">
        <f>IF($E$7="","",IF(AND(O47=0,P47=0),"",IF(ISERR(Q47/ABS(P47)),100%,Q47/ABS(P47))))</f>
        <v/>
      </c>
      <c r="S47" s="572"/>
      <c r="T47" s="5"/>
      <c r="V47" s="5"/>
      <c r="W47" s="5"/>
      <c r="X47" s="5"/>
      <c r="Z47" s="5"/>
      <c r="AF47" s="11"/>
      <c r="AG47" s="11"/>
    </row>
    <row r="48" spans="1:34">
      <c r="A48" s="17"/>
      <c r="B48" s="17" t="s">
        <v>628</v>
      </c>
      <c r="C48" s="17"/>
      <c r="D48" s="17"/>
      <c r="E48" s="17"/>
      <c r="F48" s="30"/>
      <c r="G48" s="1"/>
      <c r="H48" s="31"/>
      <c r="I48" s="31"/>
      <c r="J48" s="31"/>
      <c r="K48" s="31"/>
      <c r="L48" s="31"/>
      <c r="M48" s="31"/>
      <c r="N48" s="31"/>
      <c r="O48" s="88">
        <f>SUM(G48:N48)</f>
        <v>0</v>
      </c>
      <c r="P48" s="5" t="str">
        <f>IF(ISNA(HLOOKUP($E$2,'Prior Year FS Balances'!$G$21:$AF$464,11,FALSE)),"",(HLOOKUP($E$2,'Prior Year FS Balances'!$G$21:$AF$464,11,FALSE)))</f>
        <v/>
      </c>
      <c r="Q48" s="5" t="str">
        <f>IF(ISERR(O48-P48),"",(O48-P48))</f>
        <v/>
      </c>
      <c r="R48" s="201" t="str">
        <f>IF($E$7="","",IF(AND(O48=0,P48=0),"",IF(ISERR(Q48/ABS(P48)),100%,Q48/ABS(P48))))</f>
        <v/>
      </c>
      <c r="S48" s="572"/>
      <c r="T48" s="5"/>
      <c r="V48" s="5"/>
      <c r="W48" s="5"/>
      <c r="X48" s="5"/>
      <c r="Z48" s="5"/>
      <c r="AF48" s="11"/>
      <c r="AG48" s="11"/>
    </row>
    <row r="49" spans="1:33" ht="12">
      <c r="A49" s="17"/>
      <c r="B49" s="17" t="s">
        <v>613</v>
      </c>
      <c r="C49" s="17"/>
      <c r="D49" s="17"/>
      <c r="E49" s="17"/>
      <c r="F49" s="30" t="s">
        <v>3932</v>
      </c>
      <c r="G49" s="1"/>
      <c r="H49" s="31"/>
      <c r="I49" s="31"/>
      <c r="J49" s="31"/>
      <c r="K49" s="31"/>
      <c r="L49" s="31"/>
      <c r="M49" s="31"/>
      <c r="N49" s="31"/>
      <c r="O49" s="88">
        <f>SUM(G49:N49)</f>
        <v>0</v>
      </c>
      <c r="P49" s="5" t="str">
        <f>IF(ISNA(HLOOKUP($E$2,'Prior Year FS Balances'!$G$21:$AF$464,12,FALSE)),"",(HLOOKUP($E$2,'Prior Year FS Balances'!$G$21:$AF$464,12,FALSE)))</f>
        <v/>
      </c>
      <c r="Q49" s="5" t="str">
        <f>IF(ISERR(O49-P49),"",(O49-P49))</f>
        <v/>
      </c>
      <c r="R49" s="201" t="str">
        <f>IF($E$7="","",IF(AND(O49=0,P49=0),"",IF(ISERR(Q49/ABS(P49)),100%,Q49/ABS(P49))))</f>
        <v/>
      </c>
      <c r="S49" s="572"/>
      <c r="T49" s="5"/>
      <c r="V49" s="5"/>
      <c r="W49" s="5"/>
      <c r="Z49" s="5"/>
    </row>
    <row r="50" spans="1:33">
      <c r="A50" s="17"/>
      <c r="B50" s="17"/>
      <c r="C50" s="33" t="s">
        <v>80</v>
      </c>
      <c r="D50" s="17"/>
      <c r="E50" s="17"/>
      <c r="F50" s="30" t="s">
        <v>856</v>
      </c>
      <c r="G50" s="34">
        <f t="shared" ref="G50:Q50" si="2">SUM(G47:G49)</f>
        <v>0</v>
      </c>
      <c r="H50" s="34">
        <f t="shared" si="2"/>
        <v>0</v>
      </c>
      <c r="I50" s="34">
        <f t="shared" si="2"/>
        <v>0</v>
      </c>
      <c r="J50" s="34">
        <f>SUM(J47:J49)</f>
        <v>0</v>
      </c>
      <c r="K50" s="34">
        <f t="shared" si="2"/>
        <v>0</v>
      </c>
      <c r="L50" s="34">
        <f t="shared" si="2"/>
        <v>0</v>
      </c>
      <c r="M50" s="34">
        <f t="shared" si="2"/>
        <v>0</v>
      </c>
      <c r="N50" s="34">
        <f t="shared" si="2"/>
        <v>0</v>
      </c>
      <c r="O50" s="34">
        <f>SUM(O47:O49)</f>
        <v>0</v>
      </c>
      <c r="P50" s="34">
        <f>SUM(P47:P49)</f>
        <v>0</v>
      </c>
      <c r="Q50" s="34">
        <f t="shared" si="2"/>
        <v>0</v>
      </c>
      <c r="R50" s="202" t="str">
        <f>IF(Q50=0,"0%",IF(ISERR(Q50/ABS(P50)),100%,Q50/ABS(P50)))</f>
        <v>0%</v>
      </c>
      <c r="T50" s="5"/>
      <c r="V50" s="5"/>
      <c r="W50" s="5"/>
      <c r="X50" s="5"/>
      <c r="Z50" s="5"/>
      <c r="AF50" s="11" t="s">
        <v>682</v>
      </c>
      <c r="AG50" s="11" t="s">
        <v>542</v>
      </c>
    </row>
    <row r="51" spans="1:33">
      <c r="A51" s="17"/>
      <c r="B51" s="17"/>
      <c r="C51" s="17"/>
      <c r="D51" s="17"/>
      <c r="E51" s="17"/>
      <c r="F51" s="20"/>
      <c r="G51" s="5"/>
      <c r="H51" s="5"/>
      <c r="I51" s="5"/>
      <c r="J51" s="5"/>
      <c r="K51" s="5"/>
      <c r="L51" s="5"/>
      <c r="M51" s="5"/>
      <c r="N51" s="5"/>
      <c r="O51" s="5"/>
      <c r="P51" s="5"/>
      <c r="Q51" s="5"/>
      <c r="R51" s="5"/>
      <c r="T51" s="5"/>
      <c r="V51" s="5"/>
      <c r="W51" s="5"/>
      <c r="X51" s="5"/>
      <c r="Z51" s="5"/>
      <c r="AF51" s="11" t="s">
        <v>683</v>
      </c>
      <c r="AG51" s="17" t="s">
        <v>541</v>
      </c>
    </row>
    <row r="52" spans="1:33">
      <c r="A52" s="17"/>
      <c r="B52" s="17" t="s">
        <v>325</v>
      </c>
      <c r="C52" s="17"/>
      <c r="D52" s="17"/>
      <c r="E52" s="17"/>
      <c r="F52" s="30" t="s">
        <v>857</v>
      </c>
      <c r="G52" s="1"/>
      <c r="H52" s="31"/>
      <c r="I52" s="31"/>
      <c r="J52" s="31"/>
      <c r="K52" s="31"/>
      <c r="L52" s="31"/>
      <c r="M52" s="31"/>
      <c r="N52" s="31"/>
      <c r="O52" s="88">
        <f>SUM(G52:N52)</f>
        <v>0</v>
      </c>
      <c r="P52" s="5" t="str">
        <f>IF(ISNA(HLOOKUP($E$2,'Prior Year FS Balances'!$G$21:$AF$464,15,FALSE)),"",(HLOOKUP($E$2,'Prior Year FS Balances'!$G$21:$AF$464,15,FALSE)))</f>
        <v/>
      </c>
      <c r="Q52" s="5" t="str">
        <f>IF(ISERR(O52-P52),"",(O52-P52))</f>
        <v/>
      </c>
      <c r="R52" s="201" t="str">
        <f>IF($E$7="","",IF(AND(O52=0,P52=0),"",IF(ISERR(Q52/ABS(P52)),100%,Q52/ABS(P52))))</f>
        <v/>
      </c>
      <c r="S52" s="572"/>
      <c r="T52" s="5"/>
      <c r="V52" s="5"/>
      <c r="W52" s="5"/>
      <c r="X52" s="5"/>
      <c r="Z52" s="5"/>
      <c r="AF52" s="11" t="s">
        <v>213</v>
      </c>
      <c r="AG52" s="11" t="s">
        <v>217</v>
      </c>
    </row>
    <row r="53" spans="1:33">
      <c r="A53" s="17"/>
      <c r="B53" s="17" t="s">
        <v>324</v>
      </c>
      <c r="C53" s="17"/>
      <c r="D53" s="17"/>
      <c r="E53" s="17"/>
      <c r="F53" s="30" t="s">
        <v>857</v>
      </c>
      <c r="G53" s="1"/>
      <c r="H53" s="31"/>
      <c r="I53" s="31"/>
      <c r="J53" s="31"/>
      <c r="K53" s="31"/>
      <c r="L53" s="31"/>
      <c r="M53" s="31"/>
      <c r="N53" s="31"/>
      <c r="O53" s="88">
        <f>SUM(G53:N53)</f>
        <v>0</v>
      </c>
      <c r="P53" s="5" t="str">
        <f>IF(ISNA(HLOOKUP($E$2,'Prior Year FS Balances'!$G$21:$AF$464,16,FALSE)),"",(HLOOKUP($E$2,'Prior Year FS Balances'!$G$21:$AF$464,16,FALSE)))</f>
        <v/>
      </c>
      <c r="Q53" s="5" t="str">
        <f>IF(ISERR(O53-P53),"",(O53-P53))</f>
        <v/>
      </c>
      <c r="R53" s="201" t="str">
        <f>IF($E$7="","",IF(AND(O53=0,P53=0),"",IF(ISERR(Q53/ABS(P53)),100%,Q53/ABS(P53))))</f>
        <v/>
      </c>
      <c r="S53" s="572"/>
      <c r="T53" s="5"/>
      <c r="X53" s="5"/>
      <c r="Z53" s="5"/>
      <c r="AF53" s="11" t="s">
        <v>215</v>
      </c>
      <c r="AG53" s="11" t="s">
        <v>218</v>
      </c>
    </row>
    <row r="54" spans="1:33">
      <c r="A54" s="17"/>
      <c r="B54" s="17" t="s">
        <v>543</v>
      </c>
      <c r="C54" s="17"/>
      <c r="D54" s="17"/>
      <c r="E54" s="17"/>
      <c r="F54" s="30" t="s">
        <v>857</v>
      </c>
      <c r="G54" s="1"/>
      <c r="H54" s="31"/>
      <c r="I54" s="31"/>
      <c r="J54" s="31"/>
      <c r="K54" s="31"/>
      <c r="L54" s="31"/>
      <c r="M54" s="31"/>
      <c r="N54" s="31"/>
      <c r="O54" s="88">
        <f>SUM(G54:N54)</f>
        <v>0</v>
      </c>
      <c r="P54" s="5" t="str">
        <f>IF(ISNA(HLOOKUP($E$2,'Prior Year FS Balances'!$G$21:$AF$464,17,FALSE)),"",(HLOOKUP($E$2,'Prior Year FS Balances'!$G$21:$AF$464,17,FALSE)))</f>
        <v/>
      </c>
      <c r="Q54" s="5" t="str">
        <f>IF(ISERR(O54-P54),"",(O54-P54))</f>
        <v/>
      </c>
      <c r="R54" s="201" t="str">
        <f>IF($E$7="","",IF(AND(O54=0,P54=0),"",IF(ISERR(Q54/ABS(P54)),100%,Q54/ABS(P54))))</f>
        <v/>
      </c>
      <c r="S54" s="572"/>
      <c r="T54" s="5"/>
      <c r="V54" s="5"/>
      <c r="X54" s="5"/>
      <c r="AF54" s="11" t="s">
        <v>212</v>
      </c>
      <c r="AG54" s="17" t="s">
        <v>96</v>
      </c>
    </row>
    <row r="55" spans="1:33">
      <c r="A55" s="17"/>
      <c r="B55" s="17" t="s">
        <v>610</v>
      </c>
      <c r="C55" s="17"/>
      <c r="D55" s="17"/>
      <c r="E55" s="17"/>
      <c r="F55" s="30" t="s">
        <v>857</v>
      </c>
      <c r="G55" s="1"/>
      <c r="H55" s="31"/>
      <c r="I55" s="31"/>
      <c r="J55" s="31"/>
      <c r="K55" s="31"/>
      <c r="L55" s="31"/>
      <c r="M55" s="31"/>
      <c r="N55" s="31"/>
      <c r="O55" s="88">
        <f>SUM(G55:N55)</f>
        <v>0</v>
      </c>
      <c r="P55" s="5" t="str">
        <f>IF(ISNA(HLOOKUP($E$2,'Prior Year FS Balances'!$G$21:$AF$464,18,FALSE)),"",(HLOOKUP($E$2,'Prior Year FS Balances'!$G$21:$AF$464,18,FALSE)))</f>
        <v/>
      </c>
      <c r="Q55" s="5" t="str">
        <f>IF(ISERR(O55-P55),"",(O55-P55))</f>
        <v/>
      </c>
      <c r="R55" s="201" t="str">
        <f>IF($E$7="","",IF(AND(O55=0,P55=0),"",IF(ISERR(Q55/ABS(P55)),100%,Q55/ABS(P55))))</f>
        <v/>
      </c>
      <c r="S55" s="572"/>
      <c r="T55" s="5"/>
      <c r="V55" s="5"/>
      <c r="X55" s="5"/>
      <c r="Z55" s="5"/>
      <c r="AF55" s="11" t="s">
        <v>214</v>
      </c>
      <c r="AG55" s="17" t="s">
        <v>422</v>
      </c>
    </row>
    <row r="56" spans="1:33">
      <c r="A56" s="17"/>
      <c r="B56" s="17" t="s">
        <v>508</v>
      </c>
      <c r="C56" s="17"/>
      <c r="D56" s="17"/>
      <c r="E56" s="227" t="str">
        <f>IF(O56&gt;0,"Answer Required",IF(O56&lt;0,"Answer Required","N/A"))</f>
        <v>N/A</v>
      </c>
      <c r="F56" s="30" t="s">
        <v>857</v>
      </c>
      <c r="G56" s="1"/>
      <c r="H56" s="31"/>
      <c r="I56" s="31"/>
      <c r="J56" s="31"/>
      <c r="K56" s="31"/>
      <c r="L56" s="31"/>
      <c r="M56" s="31"/>
      <c r="N56" s="31"/>
      <c r="O56" s="88">
        <f>SUM(G56:N56)</f>
        <v>0</v>
      </c>
      <c r="P56" s="5" t="str">
        <f>IF(ISNA(HLOOKUP($E$2,'Prior Year FS Balances'!$G$21:$AF$464,19,FALSE)),"",(HLOOKUP($E$2,'Prior Year FS Balances'!$G$21:$AF$464,19,FALSE)))</f>
        <v/>
      </c>
      <c r="Q56" s="5" t="str">
        <f>IF(ISERR(O56-P56),"",(O56-P56))</f>
        <v/>
      </c>
      <c r="R56" s="201" t="str">
        <f>IF($E$7="","",IF(AND(O56=0,P56=0),"",IF(ISERR(Q56/ABS(P56)),100%,Q56/ABS(P56))))</f>
        <v/>
      </c>
      <c r="S56" s="572"/>
      <c r="T56" s="5"/>
      <c r="V56" s="5"/>
      <c r="Z56" s="5"/>
      <c r="AF56" s="11" t="s">
        <v>210</v>
      </c>
      <c r="AG56" s="17" t="s">
        <v>423</v>
      </c>
    </row>
    <row r="57" spans="1:33" ht="12">
      <c r="A57" s="17"/>
      <c r="B57" s="17"/>
      <c r="C57" s="33" t="s">
        <v>221</v>
      </c>
      <c r="D57" s="17"/>
      <c r="E57" s="17"/>
      <c r="F57" s="20"/>
      <c r="G57" s="34">
        <f>SUM(G52:G56)</f>
        <v>0</v>
      </c>
      <c r="H57" s="34">
        <f>SUM(H52:H56)</f>
        <v>0</v>
      </c>
      <c r="I57" s="34">
        <f t="shared" ref="I57:Q57" si="3">SUM(I52:I56)</f>
        <v>0</v>
      </c>
      <c r="J57" s="34">
        <f>SUM(J52:J56)</f>
        <v>0</v>
      </c>
      <c r="K57" s="34">
        <f t="shared" si="3"/>
        <v>0</v>
      </c>
      <c r="L57" s="34">
        <f t="shared" si="3"/>
        <v>0</v>
      </c>
      <c r="M57" s="34">
        <f t="shared" si="3"/>
        <v>0</v>
      </c>
      <c r="N57" s="34">
        <f>SUM(N52:N56)</f>
        <v>0</v>
      </c>
      <c r="O57" s="34">
        <f>SUM(O52:O56)</f>
        <v>0</v>
      </c>
      <c r="P57" s="34">
        <f>SUM(P52:P56)</f>
        <v>0</v>
      </c>
      <c r="Q57" s="34">
        <f t="shared" si="3"/>
        <v>0</v>
      </c>
      <c r="R57" s="202" t="str">
        <f>IF(Q57=0,"0%",IF(ISERR(Q57/ABS(P57)),100%,Q57/ABS(P57)))</f>
        <v>0%</v>
      </c>
      <c r="T57" s="5"/>
      <c r="V57" s="5"/>
      <c r="Z57" s="5"/>
      <c r="AF57" s="17" t="s">
        <v>145</v>
      </c>
      <c r="AG57" s="17" t="s">
        <v>3080</v>
      </c>
    </row>
    <row r="58" spans="1:33">
      <c r="A58" s="17"/>
      <c r="B58" s="17"/>
      <c r="C58" s="17"/>
      <c r="D58" s="17"/>
      <c r="E58" s="17"/>
      <c r="F58" s="20"/>
      <c r="G58" s="5"/>
      <c r="H58" s="5"/>
      <c r="I58" s="5"/>
      <c r="J58" s="5"/>
      <c r="K58" s="5"/>
      <c r="L58" s="5"/>
      <c r="M58" s="5"/>
      <c r="N58" s="5"/>
      <c r="O58" s="5"/>
      <c r="P58" s="5"/>
      <c r="Q58" s="5"/>
      <c r="R58" s="5"/>
      <c r="T58" s="5"/>
      <c r="V58" s="5"/>
      <c r="Z58" s="5"/>
      <c r="AF58" s="11" t="s">
        <v>2726</v>
      </c>
      <c r="AG58" s="17" t="s">
        <v>3268</v>
      </c>
    </row>
    <row r="59" spans="1:33">
      <c r="A59" s="17"/>
      <c r="B59" s="17" t="s">
        <v>488</v>
      </c>
      <c r="C59" s="17"/>
      <c r="D59" s="17"/>
      <c r="E59" s="17"/>
      <c r="F59" s="30" t="s">
        <v>857</v>
      </c>
      <c r="G59" s="1"/>
      <c r="H59" s="31"/>
      <c r="I59" s="31"/>
      <c r="J59" s="31"/>
      <c r="K59" s="31"/>
      <c r="L59" s="31"/>
      <c r="M59" s="31"/>
      <c r="N59" s="31"/>
      <c r="O59" s="88">
        <f>SUM(G59:N59)</f>
        <v>0</v>
      </c>
      <c r="P59" s="5" t="str">
        <f>IF(ISNA(HLOOKUP($E$2,'Prior Year FS Balances'!$G$21:$AF$464,22,FALSE)),"",(HLOOKUP($E$2,'Prior Year FS Balances'!$G$21:$AF$464,22,FALSE)))</f>
        <v/>
      </c>
      <c r="Q59" s="5" t="str">
        <f>IF(ISERR(O59-P59),"",(O59-P59))</f>
        <v/>
      </c>
      <c r="R59" s="201" t="str">
        <f>IF($E$7="","",IF(AND(O59=0,P59=0),"",IF(ISERR(Q59/ABS(P59)),100%,Q59/ABS(P59))))</f>
        <v/>
      </c>
      <c r="S59" s="572"/>
      <c r="T59" s="5"/>
      <c r="V59" s="5"/>
      <c r="Z59" s="5"/>
      <c r="AF59" s="11" t="s">
        <v>591</v>
      </c>
      <c r="AG59" s="17" t="s">
        <v>211</v>
      </c>
    </row>
    <row r="60" spans="1:33" ht="12">
      <c r="A60" s="17"/>
      <c r="B60" s="17" t="s">
        <v>322</v>
      </c>
      <c r="C60" s="17"/>
      <c r="D60" s="17"/>
      <c r="E60" s="17"/>
      <c r="F60" s="30" t="s">
        <v>857</v>
      </c>
      <c r="G60" s="1"/>
      <c r="H60" s="31"/>
      <c r="I60" s="31"/>
      <c r="J60" s="31"/>
      <c r="K60" s="31"/>
      <c r="L60" s="31"/>
      <c r="M60" s="31"/>
      <c r="N60" s="31"/>
      <c r="O60" s="88">
        <f>SUM(G60:N60)</f>
        <v>0</v>
      </c>
      <c r="P60" s="5" t="str">
        <f>IF(ISNA(HLOOKUP($E$2,'Prior Year FS Balances'!$G$21:$AF$464,23,FALSE)),"",(HLOOKUP($E$2,'Prior Year FS Balances'!$G$21:$AF$464,23,FALSE)))</f>
        <v/>
      </c>
      <c r="Q60" s="5" t="str">
        <f>IF(ISERR(O60-P60),"",(O60-P60))</f>
        <v/>
      </c>
      <c r="R60" s="201" t="str">
        <f>IF($E$7="","",IF(AND(O60=0,P60=0),"",IF(ISERR(Q60/ABS(P60)),100%,Q60/ABS(P60))))</f>
        <v/>
      </c>
      <c r="S60" s="572"/>
      <c r="T60" s="5"/>
      <c r="V60" s="5"/>
      <c r="Z60" s="5"/>
      <c r="AF60" s="17" t="s">
        <v>696</v>
      </c>
      <c r="AG60" s="17" t="s">
        <v>697</v>
      </c>
    </row>
    <row r="61" spans="1:33" ht="12">
      <c r="A61" s="17"/>
      <c r="B61" s="17"/>
      <c r="C61" s="33" t="s">
        <v>323</v>
      </c>
      <c r="D61" s="17"/>
      <c r="E61" s="17"/>
      <c r="F61" s="30"/>
      <c r="G61" s="34">
        <f t="shared" ref="G61:Q61" si="4">SUM(G59:G60)</f>
        <v>0</v>
      </c>
      <c r="H61" s="34">
        <f t="shared" si="4"/>
        <v>0</v>
      </c>
      <c r="I61" s="34">
        <f t="shared" si="4"/>
        <v>0</v>
      </c>
      <c r="J61" s="34">
        <f>SUM(J59:J60)</f>
        <v>0</v>
      </c>
      <c r="K61" s="34">
        <f t="shared" si="4"/>
        <v>0</v>
      </c>
      <c r="L61" s="34">
        <f t="shared" si="4"/>
        <v>0</v>
      </c>
      <c r="M61" s="34">
        <f t="shared" si="4"/>
        <v>0</v>
      </c>
      <c r="N61" s="34">
        <f t="shared" si="4"/>
        <v>0</v>
      </c>
      <c r="O61" s="34">
        <f>SUM(O59:O60)</f>
        <v>0</v>
      </c>
      <c r="P61" s="34">
        <f>SUM(P59:P60)</f>
        <v>0</v>
      </c>
      <c r="Q61" s="34">
        <f t="shared" si="4"/>
        <v>0</v>
      </c>
      <c r="R61" s="202" t="str">
        <f>IF(Q61=0,"0%",IF(ISERR(Q61/ABS(P61)),100%,Q61/ABS(P61)))</f>
        <v>0%</v>
      </c>
      <c r="S61" s="575"/>
      <c r="T61" s="5"/>
      <c r="V61" s="5"/>
      <c r="Z61" s="5"/>
      <c r="AF61" s="17" t="s">
        <v>2758</v>
      </c>
      <c r="AG61" s="17" t="s">
        <v>3266</v>
      </c>
    </row>
    <row r="62" spans="1:33" ht="12">
      <c r="A62" s="17"/>
      <c r="B62" s="17"/>
      <c r="C62" s="17"/>
      <c r="D62" s="17"/>
      <c r="E62" s="17"/>
      <c r="F62" s="30"/>
      <c r="G62" s="5"/>
      <c r="H62" s="5"/>
      <c r="I62" s="5"/>
      <c r="J62" s="5"/>
      <c r="K62" s="5"/>
      <c r="L62" s="5"/>
      <c r="M62" s="5"/>
      <c r="N62" s="5"/>
      <c r="O62" s="5"/>
      <c r="P62" s="5"/>
      <c r="Q62" s="5"/>
      <c r="R62" s="201"/>
      <c r="S62" s="576"/>
      <c r="T62" s="5"/>
      <c r="V62" s="5"/>
      <c r="Z62" s="5"/>
      <c r="AF62" s="17" t="s">
        <v>2612</v>
      </c>
      <c r="AG62" s="17" t="s">
        <v>3267</v>
      </c>
    </row>
    <row r="63" spans="1:33" ht="12">
      <c r="A63" s="17"/>
      <c r="B63" s="33" t="s">
        <v>489</v>
      </c>
      <c r="C63" s="17"/>
      <c r="D63" s="17"/>
      <c r="E63" s="17"/>
      <c r="F63" s="20"/>
      <c r="G63" s="1"/>
      <c r="H63" s="31"/>
      <c r="I63" s="31"/>
      <c r="J63" s="31"/>
      <c r="K63" s="31"/>
      <c r="L63" s="31"/>
      <c r="M63" s="31"/>
      <c r="N63" s="31"/>
      <c r="O63" s="88">
        <f>SUM(G63:N63)</f>
        <v>0</v>
      </c>
      <c r="P63" s="5" t="str">
        <f>IF(ISNA(HLOOKUP($E$2,'Prior Year FS Balances'!$G$21:$AF$464,26,FALSE)),"",(HLOOKUP($E$2,'Prior Year FS Balances'!$G$21:$AF$464,26,FALSE)))</f>
        <v/>
      </c>
      <c r="Q63" s="5" t="str">
        <f>IF(ISERR(O63-P63),"",(O63-P63))</f>
        <v/>
      </c>
      <c r="R63" s="201" t="str">
        <f>IF($E$7="","",IF(AND(O63=0,P63=0),"",IF(ISERR(Q63/ABS(P63)),100%,Q63/ABS(P63))))</f>
        <v/>
      </c>
      <c r="S63" s="572"/>
      <c r="T63" s="5"/>
      <c r="V63" s="5"/>
      <c r="Z63" s="5"/>
    </row>
    <row r="64" spans="1:33" ht="12">
      <c r="A64" s="17"/>
      <c r="B64" s="33" t="s">
        <v>490</v>
      </c>
      <c r="C64" s="17"/>
      <c r="D64" s="17"/>
      <c r="E64" s="17"/>
      <c r="F64" s="30" t="s">
        <v>858</v>
      </c>
      <c r="G64" s="1"/>
      <c r="H64" s="31"/>
      <c r="I64" s="31"/>
      <c r="J64" s="31"/>
      <c r="K64" s="31"/>
      <c r="L64" s="31"/>
      <c r="M64" s="31"/>
      <c r="N64" s="31"/>
      <c r="O64" s="88">
        <f>SUM(G64:N64)</f>
        <v>0</v>
      </c>
      <c r="P64" s="5" t="str">
        <f>IF(ISNA(HLOOKUP($E$2,'Prior Year FS Balances'!$G$21:$AF$464,27,FALSE)),"",(HLOOKUP($E$2,'Prior Year FS Balances'!$G$21:$AF$464,27,FALSE)))</f>
        <v/>
      </c>
      <c r="Q64" s="5" t="str">
        <f>IF(ISERR(O64-P64),"",(O64-P64))</f>
        <v/>
      </c>
      <c r="R64" s="201" t="str">
        <f>IF($E$7="","",IF(AND(O64=0,P64=0),"",IF(ISERR(Q64/ABS(P64)),100%,Q64/ABS(P64))))</f>
        <v/>
      </c>
      <c r="S64" s="572"/>
      <c r="T64" s="5"/>
      <c r="V64" s="5"/>
      <c r="Z64" s="5"/>
    </row>
    <row r="65" spans="1:32">
      <c r="A65" s="17"/>
      <c r="B65" s="33" t="s">
        <v>491</v>
      </c>
      <c r="C65" s="17"/>
      <c r="D65" s="17"/>
      <c r="E65" s="17"/>
      <c r="F65" s="30" t="s">
        <v>858</v>
      </c>
      <c r="G65" s="1"/>
      <c r="H65" s="31"/>
      <c r="I65" s="31"/>
      <c r="J65" s="31"/>
      <c r="K65" s="31"/>
      <c r="L65" s="31"/>
      <c r="M65" s="31"/>
      <c r="N65" s="31"/>
      <c r="O65" s="88">
        <f>SUM(G65:N65)</f>
        <v>0</v>
      </c>
      <c r="P65" s="5" t="str">
        <f>IF(ISNA(HLOOKUP($E$2,'Prior Year FS Balances'!$G$21:$AF$464,28,FALSE)),"",(HLOOKUP($E$2,'Prior Year FS Balances'!$G$21:$AF$464,28,FALSE)))</f>
        <v/>
      </c>
      <c r="Q65" s="5" t="str">
        <f>IF(ISERR(O65-P65),"",(O65-P65))</f>
        <v/>
      </c>
      <c r="R65" s="201" t="str">
        <f>IF($E$7="","",IF(AND(O65=0,P65=0),"",IF(ISERR(Q65/ABS(P65)),100%,Q65/ABS(P65))))</f>
        <v/>
      </c>
      <c r="S65" s="572"/>
      <c r="T65" s="5"/>
      <c r="V65" s="5"/>
      <c r="Z65" s="5"/>
      <c r="AF65" s="11"/>
    </row>
    <row r="66" spans="1:32">
      <c r="A66" s="17"/>
      <c r="B66" s="17"/>
      <c r="C66" s="17"/>
      <c r="D66" s="17"/>
      <c r="E66" s="17"/>
      <c r="F66" s="20"/>
      <c r="G66" s="5"/>
      <c r="H66" s="5"/>
      <c r="I66" s="5"/>
      <c r="J66" s="5"/>
      <c r="K66" s="5"/>
      <c r="L66" s="5"/>
      <c r="M66" s="5"/>
      <c r="N66" s="5"/>
      <c r="O66" s="5"/>
      <c r="P66" s="5"/>
      <c r="Q66" s="5"/>
      <c r="R66" s="5"/>
      <c r="T66" s="5"/>
      <c r="V66" s="5"/>
      <c r="Z66" s="5"/>
      <c r="AF66" s="11"/>
    </row>
    <row r="67" spans="1:32">
      <c r="A67" s="17"/>
      <c r="B67" s="17" t="s">
        <v>492</v>
      </c>
      <c r="C67" s="33"/>
      <c r="D67" s="17"/>
      <c r="E67" s="17"/>
      <c r="F67" s="20"/>
      <c r="G67" s="1"/>
      <c r="H67" s="31"/>
      <c r="I67" s="31"/>
      <c r="J67" s="31"/>
      <c r="K67" s="31"/>
      <c r="L67" s="31"/>
      <c r="M67" s="31"/>
      <c r="N67" s="31"/>
      <c r="O67" s="88">
        <f>SUM(G67:N67)</f>
        <v>0</v>
      </c>
      <c r="P67" s="5" t="str">
        <f>IF(ISNA(HLOOKUP($E$2,'Prior Year FS Balances'!$G$21:$AF$464,30,FALSE)),"",(HLOOKUP($E$2,'Prior Year FS Balances'!$G$21:$AF$464,30,FALSE)))</f>
        <v/>
      </c>
      <c r="Q67" s="5" t="str">
        <f>IF(ISERR(O67-P67),"",(O67-P67))</f>
        <v/>
      </c>
      <c r="R67" s="201" t="str">
        <f>IF($E$7="","",IF(AND(O67=0,P67=0),"",IF(ISERR(Q67/ABS(P67)),100%,Q67/ABS(P67))))</f>
        <v/>
      </c>
      <c r="S67" s="572"/>
      <c r="T67" s="5"/>
      <c r="V67" s="5"/>
      <c r="Z67" s="5"/>
      <c r="AF67" s="11"/>
    </row>
    <row r="68" spans="1:32">
      <c r="A68" s="17"/>
      <c r="B68" s="17" t="s">
        <v>629</v>
      </c>
      <c r="C68" s="33"/>
      <c r="D68" s="17"/>
      <c r="E68" s="17"/>
      <c r="F68" s="20"/>
      <c r="G68" s="1"/>
      <c r="H68" s="31"/>
      <c r="I68" s="31"/>
      <c r="J68" s="31"/>
      <c r="K68" s="31"/>
      <c r="L68" s="31"/>
      <c r="M68" s="31"/>
      <c r="N68" s="31"/>
      <c r="O68" s="88">
        <f>SUM(G68:N68)</f>
        <v>0</v>
      </c>
      <c r="P68" s="5" t="str">
        <f>IF(ISNA(HLOOKUP($E$2,'Prior Year FS Balances'!$G$21:$AF$464,31,FALSE)),"",(HLOOKUP($E$2,'Prior Year FS Balances'!$G$21:$AF$464,31,FALSE)))</f>
        <v/>
      </c>
      <c r="Q68" s="5" t="str">
        <f>IF(ISERR(O68-P68),"",(O68-P68))</f>
        <v/>
      </c>
      <c r="R68" s="201" t="str">
        <f>IF($E$7="","",IF(AND(O68=0,P68=0),"",IF(ISERR(Q68/ABS(P68)),100%,Q68/ABS(P68))))</f>
        <v/>
      </c>
      <c r="S68" s="572"/>
      <c r="T68" s="5"/>
      <c r="V68" s="5"/>
      <c r="Z68" s="5"/>
      <c r="AF68" s="11"/>
    </row>
    <row r="69" spans="1:32" hidden="1">
      <c r="A69" s="17"/>
      <c r="B69" s="577" t="s">
        <v>46</v>
      </c>
      <c r="C69" s="17"/>
      <c r="D69" s="17"/>
      <c r="E69" s="17"/>
      <c r="F69" s="20"/>
      <c r="G69" s="1"/>
      <c r="H69" s="31"/>
      <c r="I69" s="31"/>
      <c r="J69" s="31"/>
      <c r="K69" s="31"/>
      <c r="L69" s="31"/>
      <c r="M69" s="31"/>
      <c r="N69" s="31"/>
      <c r="O69" s="88">
        <f>SUM(G69:N69)</f>
        <v>0</v>
      </c>
      <c r="P69" s="5" t="str">
        <f>IF(ISNA(HLOOKUP($E$2,'Prior Year FS Balances'!$G$21:$AF$464,32,FALSE)),"",(HLOOKUP($E$2,'Prior Year FS Balances'!$G$21:$AF$464,32,FALSE)))</f>
        <v/>
      </c>
      <c r="Q69" s="5" t="str">
        <f>IF(ISERR(O69-P69),"",(O69-P69))</f>
        <v/>
      </c>
      <c r="R69" s="201" t="str">
        <f>IF($E$7="","",IF(AND(O69=0,P69=0),"",IF(ISERR(Q69/ABS(P69)),100%,Q69/ABS(P69))))</f>
        <v/>
      </c>
      <c r="S69" s="572"/>
      <c r="T69" s="5"/>
      <c r="V69" s="5"/>
      <c r="Z69" s="5"/>
      <c r="AF69" s="11"/>
    </row>
    <row r="70" spans="1:32">
      <c r="A70" s="17"/>
      <c r="B70" s="17" t="s">
        <v>658</v>
      </c>
      <c r="C70" s="17"/>
      <c r="D70" s="17"/>
      <c r="E70" s="227" t="str">
        <f>IF(O70&gt;0,"Answer Required",IF(O70&lt;0,"Answer Required","N/A"))</f>
        <v>N/A</v>
      </c>
      <c r="F70" s="20"/>
      <c r="G70" s="1"/>
      <c r="H70" s="31"/>
      <c r="I70" s="31"/>
      <c r="J70" s="31"/>
      <c r="K70" s="31"/>
      <c r="L70" s="31"/>
      <c r="M70" s="31"/>
      <c r="N70" s="31"/>
      <c r="O70" s="88">
        <f>SUM(G70:N70)</f>
        <v>0</v>
      </c>
      <c r="P70" s="5" t="str">
        <f>IF(ISNA(HLOOKUP($E$2,'Prior Year FS Balances'!$G$21:$AF$464,33,FALSE)),"",(HLOOKUP($E$2,'Prior Year FS Balances'!$G$21:$AF$464,33,FALSE)))</f>
        <v/>
      </c>
      <c r="Q70" s="5" t="str">
        <f>IF(ISERR(O70-P70),"",(O70-P70))</f>
        <v/>
      </c>
      <c r="R70" s="201" t="str">
        <f>IF($E$7="","",IF(AND(O70=0,P70=0),"",IF(ISERR(Q70/ABS(P70)),100%,Q70/ABS(P70))))</f>
        <v/>
      </c>
      <c r="S70" s="572"/>
      <c r="T70" s="5"/>
      <c r="V70" s="5"/>
      <c r="Z70" s="5"/>
      <c r="AF70" s="11"/>
    </row>
    <row r="71" spans="1:32">
      <c r="A71" s="17"/>
      <c r="B71" s="17"/>
      <c r="C71" s="33" t="s">
        <v>225</v>
      </c>
      <c r="D71" s="17"/>
      <c r="E71" s="17"/>
      <c r="F71" s="20"/>
      <c r="G71" s="34">
        <f t="shared" ref="G71:Q71" si="5">SUM(G67:G70)</f>
        <v>0</v>
      </c>
      <c r="H71" s="34">
        <f t="shared" si="5"/>
        <v>0</v>
      </c>
      <c r="I71" s="34">
        <f t="shared" si="5"/>
        <v>0</v>
      </c>
      <c r="J71" s="34">
        <f>SUM(J67:J70)</f>
        <v>0</v>
      </c>
      <c r="K71" s="34">
        <f t="shared" si="5"/>
        <v>0</v>
      </c>
      <c r="L71" s="34">
        <f t="shared" si="5"/>
        <v>0</v>
      </c>
      <c r="M71" s="34">
        <f t="shared" si="5"/>
        <v>0</v>
      </c>
      <c r="N71" s="34">
        <f t="shared" si="5"/>
        <v>0</v>
      </c>
      <c r="O71" s="34">
        <f>SUM(O67:O70)</f>
        <v>0</v>
      </c>
      <c r="P71" s="34">
        <f>SUM(P67:P70)</f>
        <v>0</v>
      </c>
      <c r="Q71" s="34">
        <f t="shared" si="5"/>
        <v>0</v>
      </c>
      <c r="R71" s="202" t="str">
        <f>IF(Q71=0,"0%",IF(ISERR(Q71/ABS(P71)),100%,Q71/ABS(P71)))</f>
        <v>0%</v>
      </c>
      <c r="T71" s="5"/>
      <c r="V71" s="5"/>
      <c r="Z71" s="5"/>
      <c r="AF71" s="11"/>
    </row>
    <row r="72" spans="1:32">
      <c r="A72" s="17"/>
      <c r="B72" s="17"/>
      <c r="C72" s="33"/>
      <c r="D72" s="17"/>
      <c r="E72" s="17"/>
      <c r="F72" s="20"/>
      <c r="G72" s="5"/>
      <c r="H72" s="5"/>
      <c r="I72" s="5"/>
      <c r="J72" s="5"/>
      <c r="K72" s="5"/>
      <c r="L72" s="5"/>
      <c r="M72" s="5"/>
      <c r="N72" s="5"/>
      <c r="O72" s="5"/>
      <c r="P72" s="5"/>
      <c r="Q72" s="5"/>
      <c r="R72" s="5"/>
      <c r="T72" s="5"/>
      <c r="V72" s="5"/>
      <c r="Z72" s="5"/>
      <c r="AF72" s="11"/>
    </row>
    <row r="73" spans="1:32">
      <c r="A73" s="17"/>
      <c r="B73" s="17"/>
      <c r="C73" s="17"/>
      <c r="D73" s="33" t="s">
        <v>47</v>
      </c>
      <c r="E73" s="17"/>
      <c r="F73" s="20"/>
      <c r="G73" s="34">
        <f t="shared" ref="G73:Q73" si="6">SUM(G45,G50,G57,G61,G63:G65,G71)</f>
        <v>0</v>
      </c>
      <c r="H73" s="34">
        <f t="shared" si="6"/>
        <v>0</v>
      </c>
      <c r="I73" s="34">
        <f t="shared" si="6"/>
        <v>0</v>
      </c>
      <c r="J73" s="34">
        <f>SUM(J45,J50,J57,J61,J63:J65,J71)</f>
        <v>0</v>
      </c>
      <c r="K73" s="34">
        <f t="shared" si="6"/>
        <v>0</v>
      </c>
      <c r="L73" s="34">
        <f t="shared" si="6"/>
        <v>0</v>
      </c>
      <c r="M73" s="34">
        <f t="shared" si="6"/>
        <v>0</v>
      </c>
      <c r="N73" s="34">
        <f t="shared" si="6"/>
        <v>0</v>
      </c>
      <c r="O73" s="34">
        <f t="shared" si="6"/>
        <v>0</v>
      </c>
      <c r="P73" s="34">
        <f t="shared" si="6"/>
        <v>0</v>
      </c>
      <c r="Q73" s="34">
        <f t="shared" si="6"/>
        <v>0</v>
      </c>
      <c r="R73" s="202" t="str">
        <f>IF(Q73=0,"0%",IF(ISERR(Q73/ABS(P73)),100%,Q73/ABS(P73)))</f>
        <v>0%</v>
      </c>
      <c r="T73" s="5"/>
      <c r="V73" s="5"/>
      <c r="Z73" s="5"/>
      <c r="AF73" s="11"/>
    </row>
    <row r="74" spans="1:32" ht="12">
      <c r="A74" s="17"/>
      <c r="B74" s="17"/>
      <c r="C74" s="17"/>
      <c r="D74" s="17"/>
      <c r="E74" s="17"/>
      <c r="F74" s="20"/>
      <c r="G74" s="5"/>
      <c r="H74" s="5"/>
      <c r="I74" s="5"/>
      <c r="J74" s="5"/>
      <c r="K74" s="5"/>
      <c r="L74" s="5"/>
      <c r="M74" s="5"/>
      <c r="N74" s="5"/>
      <c r="O74" s="5"/>
      <c r="P74" s="5"/>
      <c r="Q74" s="5"/>
      <c r="R74" s="5"/>
      <c r="T74" s="5"/>
      <c r="V74" s="5"/>
      <c r="Z74" s="5"/>
    </row>
    <row r="75" spans="1:32" ht="12">
      <c r="A75" s="17" t="s">
        <v>538</v>
      </c>
      <c r="B75" s="17"/>
      <c r="C75" s="17"/>
      <c r="D75" s="17"/>
      <c r="E75" s="17"/>
      <c r="F75" s="20"/>
      <c r="G75" s="5"/>
      <c r="H75" s="5"/>
      <c r="I75" s="5"/>
      <c r="J75" s="5"/>
      <c r="K75" s="5"/>
      <c r="L75" s="5"/>
      <c r="M75" s="5"/>
      <c r="N75" s="5"/>
      <c r="O75" s="5"/>
      <c r="P75" s="5"/>
      <c r="Q75" s="5"/>
      <c r="R75" s="5"/>
      <c r="T75" s="5"/>
      <c r="V75" s="5"/>
      <c r="Z75" s="5"/>
    </row>
    <row r="76" spans="1:32" ht="12" hidden="1">
      <c r="A76" s="17"/>
      <c r="B76" s="17" t="s">
        <v>273</v>
      </c>
      <c r="C76" s="17"/>
      <c r="D76" s="17"/>
      <c r="E76" s="17"/>
      <c r="F76" s="20"/>
      <c r="G76" s="31"/>
      <c r="H76" s="31"/>
      <c r="I76" s="31"/>
      <c r="J76" s="31"/>
      <c r="K76" s="31"/>
      <c r="L76" s="31"/>
      <c r="M76" s="31"/>
      <c r="N76" s="31"/>
      <c r="O76" s="88">
        <f>SUM(G76:N76)</f>
        <v>0</v>
      </c>
      <c r="P76" s="5" t="str">
        <f>IF(ISNA(HLOOKUP($E$2,'Prior Year FS Balances'!$G$21:$AF$464,39,FALSE)),"",(HLOOKUP($E$2,'Prior Year FS Balances'!$G$21:$AF$464,39,FALSE)))</f>
        <v/>
      </c>
      <c r="Q76" s="5" t="str">
        <f>IF(ISERR(O76-P76),"",(O76-P76))</f>
        <v/>
      </c>
      <c r="R76" s="201" t="str">
        <f>IF($E$7="","",IF(AND(G76=0,P76=0),"",IF(ISERR(Q76/ABS(P76)),100%,Q76/ABS(P76))))</f>
        <v/>
      </c>
      <c r="S76" s="572"/>
      <c r="T76" s="5"/>
      <c r="V76" s="5"/>
      <c r="Z76" s="5"/>
    </row>
    <row r="77" spans="1:32">
      <c r="A77" s="17"/>
      <c r="B77" s="17" t="s">
        <v>628</v>
      </c>
      <c r="C77" s="17"/>
      <c r="D77" s="17"/>
      <c r="E77" s="17"/>
      <c r="G77" s="1"/>
      <c r="H77" s="31"/>
      <c r="I77" s="31"/>
      <c r="J77" s="31"/>
      <c r="K77" s="31"/>
      <c r="L77" s="31"/>
      <c r="M77" s="31"/>
      <c r="N77" s="31"/>
      <c r="O77" s="88">
        <f>SUM(G77:N77)</f>
        <v>0</v>
      </c>
      <c r="P77" s="5" t="str">
        <f>IF(ISNA(HLOOKUP($E$2,'Prior Year FS Balances'!$G$21:$AF$464,40,FALSE)),"",(HLOOKUP($E$2,'Prior Year FS Balances'!$G$21:$AF$464,40,FALSE)))</f>
        <v/>
      </c>
      <c r="Q77" s="5" t="str">
        <f>IF(ISERR(O77-P77),"",(O77-P77))</f>
        <v/>
      </c>
      <c r="R77" s="201" t="str">
        <f>IF($E$7="","",IF(AND(O77=0,P77=0),"",IF(ISERR(Q77/ABS(P77)),100%,Q77/ABS(P77))))</f>
        <v/>
      </c>
      <c r="S77" s="572"/>
      <c r="T77" s="5"/>
      <c r="V77" s="5"/>
      <c r="Z77" s="5"/>
    </row>
    <row r="78" spans="1:32" ht="12">
      <c r="A78" s="17"/>
      <c r="B78" s="17" t="s">
        <v>613</v>
      </c>
      <c r="C78" s="17"/>
      <c r="D78" s="17"/>
      <c r="E78" s="17"/>
      <c r="F78" s="30" t="s">
        <v>3932</v>
      </c>
      <c r="G78" s="1"/>
      <c r="H78" s="31"/>
      <c r="I78" s="31"/>
      <c r="J78" s="31"/>
      <c r="K78" s="31"/>
      <c r="L78" s="31"/>
      <c r="M78" s="31"/>
      <c r="N78" s="31"/>
      <c r="O78" s="88">
        <f>SUM(G78:N78)</f>
        <v>0</v>
      </c>
      <c r="P78" s="5" t="str">
        <f>IF(ISNA(HLOOKUP($E$2,'Prior Year FS Balances'!$G$21:$AF$464,41,FALSE)),"",(HLOOKUP($E$2,'Prior Year FS Balances'!$G$21:$AF$464,41,FALSE)))</f>
        <v/>
      </c>
      <c r="Q78" s="5" t="str">
        <f>IF(ISERR(O78-P78),"",(O78-P78))</f>
        <v/>
      </c>
      <c r="R78" s="201" t="str">
        <f>IF($E$7="","",IF(AND(O78=0,P78=0),"",IF(ISERR(Q78/ABS(P78)),100%,Q78/ABS(P78))))</f>
        <v/>
      </c>
      <c r="S78" s="572"/>
      <c r="T78" s="5"/>
      <c r="V78" s="5"/>
      <c r="Z78" s="5"/>
    </row>
    <row r="79" spans="1:32" ht="12">
      <c r="A79" s="17"/>
      <c r="B79" s="17"/>
      <c r="C79" s="33" t="s">
        <v>222</v>
      </c>
      <c r="D79" s="17"/>
      <c r="E79" s="17"/>
      <c r="F79" s="30" t="s">
        <v>856</v>
      </c>
      <c r="G79" s="34">
        <f t="shared" ref="G79:Q79" si="7">SUM(G76:G78)</f>
        <v>0</v>
      </c>
      <c r="H79" s="34">
        <f t="shared" si="7"/>
        <v>0</v>
      </c>
      <c r="I79" s="34">
        <f t="shared" si="7"/>
        <v>0</v>
      </c>
      <c r="J79" s="34">
        <f>SUM(J76:J78)</f>
        <v>0</v>
      </c>
      <c r="K79" s="34">
        <f t="shared" si="7"/>
        <v>0</v>
      </c>
      <c r="L79" s="34">
        <f t="shared" si="7"/>
        <v>0</v>
      </c>
      <c r="M79" s="34">
        <f t="shared" si="7"/>
        <v>0</v>
      </c>
      <c r="N79" s="34">
        <f t="shared" si="7"/>
        <v>0</v>
      </c>
      <c r="O79" s="34">
        <f t="shared" si="7"/>
        <v>0</v>
      </c>
      <c r="P79" s="34">
        <f t="shared" si="7"/>
        <v>0</v>
      </c>
      <c r="Q79" s="34">
        <f t="shared" si="7"/>
        <v>0</v>
      </c>
      <c r="R79" s="202" t="str">
        <f>IF(Q79=0,"0%",IF(ISERR(Q79/ABS(P79)),100%,Q79/ABS(P79)))</f>
        <v>0%</v>
      </c>
      <c r="T79" s="5"/>
      <c r="V79" s="5"/>
      <c r="Z79" s="5"/>
    </row>
    <row r="80" spans="1:32" ht="12">
      <c r="A80" s="17"/>
      <c r="B80" s="33"/>
      <c r="C80" s="17"/>
      <c r="D80" s="17"/>
      <c r="E80" s="17"/>
      <c r="F80" s="20"/>
      <c r="G80" s="5"/>
      <c r="H80" s="5"/>
      <c r="I80" s="5"/>
      <c r="J80" s="5"/>
      <c r="K80" s="5"/>
      <c r="L80" s="5"/>
      <c r="M80" s="5"/>
      <c r="N80" s="5"/>
      <c r="O80" s="5"/>
      <c r="P80" s="5"/>
      <c r="Q80" s="5"/>
      <c r="R80" s="5"/>
      <c r="T80" s="5"/>
      <c r="V80" s="5"/>
      <c r="Z80" s="5"/>
    </row>
    <row r="81" spans="1:26" ht="12">
      <c r="A81" s="17"/>
      <c r="B81" s="17" t="s">
        <v>325</v>
      </c>
      <c r="C81" s="17"/>
      <c r="D81" s="17"/>
      <c r="E81" s="17"/>
      <c r="F81" s="30" t="s">
        <v>857</v>
      </c>
      <c r="G81" s="1"/>
      <c r="H81" s="31"/>
      <c r="I81" s="31"/>
      <c r="J81" s="31"/>
      <c r="K81" s="31"/>
      <c r="L81" s="31"/>
      <c r="M81" s="31"/>
      <c r="N81" s="31"/>
      <c r="O81" s="88">
        <f>SUM(G81:N81)</f>
        <v>0</v>
      </c>
      <c r="P81" s="5" t="str">
        <f>IF(ISNA(HLOOKUP($E$2,'Prior Year FS Balances'!$G$21:$AF$464,44,FALSE)),"",(HLOOKUP($E$2,'Prior Year FS Balances'!$G$21:$AF$464,44,FALSE)))</f>
        <v/>
      </c>
      <c r="Q81" s="5" t="str">
        <f>IF(ISERR(O81-P81),"",(O81-P81))</f>
        <v/>
      </c>
      <c r="R81" s="201" t="str">
        <f>IF($E$7="","",IF(AND(O81=0,P81=0),"",IF(ISERR(Q81/ABS(P81)),100%,Q81/ABS(P81))))</f>
        <v/>
      </c>
      <c r="S81" s="572"/>
      <c r="T81" s="5"/>
      <c r="V81" s="5"/>
      <c r="Z81" s="5"/>
    </row>
    <row r="82" spans="1:26" ht="12">
      <c r="A82" s="17"/>
      <c r="B82" s="17" t="s">
        <v>324</v>
      </c>
      <c r="C82" s="17"/>
      <c r="D82" s="17"/>
      <c r="E82" s="17"/>
      <c r="F82" s="30" t="s">
        <v>857</v>
      </c>
      <c r="G82" s="1"/>
      <c r="H82" s="31"/>
      <c r="I82" s="31"/>
      <c r="J82" s="31"/>
      <c r="K82" s="31"/>
      <c r="L82" s="31"/>
      <c r="M82" s="31"/>
      <c r="N82" s="31"/>
      <c r="O82" s="88">
        <f>SUM(G82:N82)</f>
        <v>0</v>
      </c>
      <c r="P82" s="5" t="str">
        <f>IF(ISNA(HLOOKUP($E$2,'Prior Year FS Balances'!$G$21:$AF$464,45,FALSE)),"",(HLOOKUP($E$2,'Prior Year FS Balances'!$G$21:$AF$464,45,FALSE)))</f>
        <v/>
      </c>
      <c r="Q82" s="5" t="str">
        <f>IF(ISERR(O82-P82),"",(O82-P82))</f>
        <v/>
      </c>
      <c r="R82" s="201" t="str">
        <f>IF($E$7="","",IF(AND(O82=0,P82=0),"",IF(ISERR(Q82/ABS(P82)),100%,Q82/ABS(P82))))</f>
        <v/>
      </c>
      <c r="S82" s="572"/>
      <c r="T82" s="5"/>
      <c r="V82" s="5"/>
      <c r="Z82" s="5"/>
    </row>
    <row r="83" spans="1:26" ht="12">
      <c r="A83" s="17"/>
      <c r="B83" s="17" t="s">
        <v>543</v>
      </c>
      <c r="C83" s="17"/>
      <c r="D83" s="17"/>
      <c r="E83" s="17"/>
      <c r="F83" s="30" t="s">
        <v>857</v>
      </c>
      <c r="G83" s="1"/>
      <c r="H83" s="31"/>
      <c r="I83" s="31"/>
      <c r="J83" s="31"/>
      <c r="K83" s="31"/>
      <c r="L83" s="31"/>
      <c r="M83" s="31"/>
      <c r="N83" s="31"/>
      <c r="O83" s="88">
        <f>SUM(G83:N83)</f>
        <v>0</v>
      </c>
      <c r="P83" s="5" t="str">
        <f>IF(ISNA(HLOOKUP($E$2,'Prior Year FS Balances'!$G$21:$AF$464,46,FALSE)),"",(HLOOKUP($E$2,'Prior Year FS Balances'!$G$21:$AF$464,46,FALSE)))</f>
        <v/>
      </c>
      <c r="Q83" s="5" t="str">
        <f>IF(ISERR(O83-P83),"",(O83-P83))</f>
        <v/>
      </c>
      <c r="R83" s="201" t="str">
        <f>IF($E$7="","",IF(AND(O83=0,P83=0),"",IF(ISERR(Q83/ABS(P83)),100%,Q83/ABS(P83))))</f>
        <v/>
      </c>
      <c r="S83" s="572"/>
      <c r="T83" s="5"/>
      <c r="V83" s="5"/>
      <c r="Z83" s="5"/>
    </row>
    <row r="84" spans="1:26" ht="12">
      <c r="A84" s="17"/>
      <c r="B84" s="17" t="s">
        <v>610</v>
      </c>
      <c r="C84" s="17"/>
      <c r="D84" s="17"/>
      <c r="E84" s="17"/>
      <c r="F84" s="30" t="s">
        <v>857</v>
      </c>
      <c r="G84" s="1"/>
      <c r="H84" s="31"/>
      <c r="I84" s="31"/>
      <c r="J84" s="31"/>
      <c r="K84" s="31"/>
      <c r="L84" s="31"/>
      <c r="M84" s="31"/>
      <c r="N84" s="31"/>
      <c r="O84" s="88">
        <f>SUM(G84:N84)</f>
        <v>0</v>
      </c>
      <c r="P84" s="5" t="str">
        <f>IF(ISNA(HLOOKUP($E$2,'Prior Year FS Balances'!$G$21:$AF$464,47,FALSE)),"",(HLOOKUP($E$2,'Prior Year FS Balances'!$G$21:$AF$464,47,FALSE)))</f>
        <v/>
      </c>
      <c r="Q84" s="5" t="str">
        <f>IF(ISERR(O84-P84),"",(O84-P84))</f>
        <v/>
      </c>
      <c r="R84" s="201" t="str">
        <f>IF($E$7="","",IF(AND(O84=0,P84=0),"",IF(ISERR(Q84/ABS(P84)),100%,Q84/ABS(P84))))</f>
        <v/>
      </c>
      <c r="S84" s="572"/>
      <c r="T84" s="5"/>
      <c r="V84" s="5"/>
      <c r="Z84" s="5"/>
    </row>
    <row r="85" spans="1:26" ht="12">
      <c r="A85" s="17"/>
      <c r="B85" s="17" t="s">
        <v>508</v>
      </c>
      <c r="C85" s="17"/>
      <c r="D85" s="17"/>
      <c r="E85" s="227" t="str">
        <f>IF(O85&gt;0,"Answer Required",IF(O85&lt;0,"Answer Required","N/A"))</f>
        <v>N/A</v>
      </c>
      <c r="F85" s="30" t="s">
        <v>857</v>
      </c>
      <c r="G85" s="1"/>
      <c r="H85" s="31"/>
      <c r="I85" s="31"/>
      <c r="J85" s="31"/>
      <c r="K85" s="31"/>
      <c r="L85" s="31"/>
      <c r="M85" s="31"/>
      <c r="N85" s="31"/>
      <c r="O85" s="88">
        <f>SUM(G85:N85)</f>
        <v>0</v>
      </c>
      <c r="P85" s="5" t="str">
        <f>IF(ISNA(HLOOKUP($E$2,'Prior Year FS Balances'!$G$21:$AF$464,48,FALSE)),"",(HLOOKUP($E$2,'Prior Year FS Balances'!$G$21:$AF$464,48,FALSE)))</f>
        <v/>
      </c>
      <c r="Q85" s="5" t="str">
        <f>IF(ISERR(O85-P85),"",(O85-P85))</f>
        <v/>
      </c>
      <c r="R85" s="201" t="str">
        <f>IF($E$7="","",IF(AND(O85=0,P85=0),"",IF(ISERR(Q85/ABS(P85)),100%,Q85/ABS(P85))))</f>
        <v/>
      </c>
      <c r="S85" s="572"/>
      <c r="T85" s="5"/>
      <c r="V85" s="5"/>
      <c r="Z85" s="5"/>
    </row>
    <row r="86" spans="1:26" ht="12">
      <c r="A86" s="17"/>
      <c r="B86" s="17"/>
      <c r="C86" s="33" t="s">
        <v>221</v>
      </c>
      <c r="D86" s="17"/>
      <c r="E86" s="17"/>
      <c r="F86" s="20"/>
      <c r="G86" s="34">
        <f t="shared" ref="G86:Q86" si="8">SUM(G81:G85)</f>
        <v>0</v>
      </c>
      <c r="H86" s="34">
        <f t="shared" si="8"/>
        <v>0</v>
      </c>
      <c r="I86" s="34">
        <f t="shared" si="8"/>
        <v>0</v>
      </c>
      <c r="J86" s="34">
        <f>SUM(J81:J85)</f>
        <v>0</v>
      </c>
      <c r="K86" s="34">
        <f t="shared" si="8"/>
        <v>0</v>
      </c>
      <c r="L86" s="34">
        <f t="shared" si="8"/>
        <v>0</v>
      </c>
      <c r="M86" s="34">
        <f t="shared" si="8"/>
        <v>0</v>
      </c>
      <c r="N86" s="34">
        <f t="shared" si="8"/>
        <v>0</v>
      </c>
      <c r="O86" s="34">
        <f t="shared" si="8"/>
        <v>0</v>
      </c>
      <c r="P86" s="34">
        <f t="shared" si="8"/>
        <v>0</v>
      </c>
      <c r="Q86" s="34">
        <f t="shared" si="8"/>
        <v>0</v>
      </c>
      <c r="R86" s="202" t="str">
        <f>IF(Q86=0,"0%",IF(ISERR(Q86/ABS(P86)),100%,Q86/ABS(P86)))</f>
        <v>0%</v>
      </c>
      <c r="T86" s="5"/>
      <c r="V86" s="5"/>
      <c r="Z86" s="5"/>
    </row>
    <row r="87" spans="1:26" ht="12">
      <c r="A87" s="17"/>
      <c r="B87" s="33"/>
      <c r="C87" s="17"/>
      <c r="D87" s="17"/>
      <c r="E87" s="17"/>
      <c r="F87" s="20"/>
      <c r="G87" s="5"/>
      <c r="H87" s="5"/>
      <c r="I87" s="5"/>
      <c r="J87" s="5"/>
      <c r="K87" s="5"/>
      <c r="L87" s="5"/>
      <c r="M87" s="5"/>
      <c r="N87" s="5"/>
      <c r="O87" s="5"/>
      <c r="P87" s="5"/>
      <c r="Q87" s="5"/>
      <c r="R87" s="5"/>
      <c r="T87" s="5"/>
      <c r="V87" s="5"/>
      <c r="Z87" s="5"/>
    </row>
    <row r="88" spans="1:26" ht="12" hidden="1">
      <c r="A88" s="17"/>
      <c r="B88" s="17"/>
      <c r="C88" s="33"/>
      <c r="D88" s="17"/>
      <c r="E88" s="17"/>
      <c r="F88" s="20"/>
      <c r="G88" s="31"/>
      <c r="H88" s="31"/>
      <c r="I88" s="31"/>
      <c r="J88" s="31"/>
      <c r="K88" s="31"/>
      <c r="L88" s="31"/>
      <c r="M88" s="31"/>
      <c r="N88" s="31"/>
      <c r="O88" s="88">
        <f>SUM(G88:N88)</f>
        <v>0</v>
      </c>
      <c r="P88" s="5" t="str">
        <f>IF(ISNA(HLOOKUP($E$2,'Prior Year FS Balances'!$G$21:$AF$464,51,FALSE)),"",(HLOOKUP($E$2,'Prior Year FS Balances'!$G$21:$AF$464,51,FALSE)))</f>
        <v/>
      </c>
      <c r="Q88" s="5" t="str">
        <f>IF(ISERR(O88-P88),"",(O88-P88))</f>
        <v/>
      </c>
      <c r="R88" s="201" t="str">
        <f>IF($E$7="","",IF(AND(G88=0,P88=0),"",IF(ISERR(Q88/ABS(P88)),100%,Q88/ABS(P88))))</f>
        <v/>
      </c>
      <c r="S88" s="572"/>
      <c r="T88" s="5"/>
      <c r="V88" s="5"/>
      <c r="Z88" s="5"/>
    </row>
    <row r="89" spans="1:26" ht="12">
      <c r="A89" s="17"/>
      <c r="B89" s="17" t="s">
        <v>658</v>
      </c>
      <c r="C89" s="33"/>
      <c r="D89" s="17"/>
      <c r="E89" s="227" t="str">
        <f>IF(O89&gt;0,"Answer Required",IF(O89&lt;0,"Answer Required","N/A"))</f>
        <v>N/A</v>
      </c>
      <c r="F89" s="20"/>
      <c r="G89" s="1"/>
      <c r="H89" s="31"/>
      <c r="I89" s="31"/>
      <c r="J89" s="31"/>
      <c r="K89" s="31"/>
      <c r="L89" s="31"/>
      <c r="M89" s="31"/>
      <c r="N89" s="31"/>
      <c r="O89" s="88">
        <f>SUM(G89:N89)</f>
        <v>0</v>
      </c>
      <c r="P89" s="5" t="str">
        <f>IF(ISNA(HLOOKUP($E$2,'Prior Year FS Balances'!$G$21:$AF$464,52,FALSE)),"",(HLOOKUP($E$2,'Prior Year FS Balances'!$G$21:$AF$464,52,FALSE)))</f>
        <v/>
      </c>
      <c r="Q89" s="5" t="str">
        <f>IF(ISERR(O89-P89),"",(O89-P89))</f>
        <v/>
      </c>
      <c r="R89" s="201" t="str">
        <f>IF($E$7="","",IF(AND(O89=0,P89=0),"",IF(ISERR(Q89/ABS(P89)),100%,Q89/ABS(P89))))</f>
        <v/>
      </c>
      <c r="S89" s="572"/>
      <c r="T89" s="5"/>
      <c r="V89" s="5"/>
      <c r="Z89" s="5"/>
    </row>
    <row r="90" spans="1:26" ht="12">
      <c r="A90" s="17"/>
      <c r="B90" s="17"/>
      <c r="C90" s="17"/>
      <c r="D90" s="33" t="s">
        <v>223</v>
      </c>
      <c r="E90" s="17"/>
      <c r="F90" s="20"/>
      <c r="G90" s="34">
        <f t="shared" ref="G90:Q90" si="9">SUM(G88:G89)</f>
        <v>0</v>
      </c>
      <c r="H90" s="34">
        <f t="shared" si="9"/>
        <v>0</v>
      </c>
      <c r="I90" s="34">
        <f t="shared" si="9"/>
        <v>0</v>
      </c>
      <c r="J90" s="34">
        <f>SUM(J88:J89)</f>
        <v>0</v>
      </c>
      <c r="K90" s="34">
        <f t="shared" si="9"/>
        <v>0</v>
      </c>
      <c r="L90" s="34">
        <f t="shared" si="9"/>
        <v>0</v>
      </c>
      <c r="M90" s="34">
        <f t="shared" si="9"/>
        <v>0</v>
      </c>
      <c r="N90" s="34">
        <f t="shared" si="9"/>
        <v>0</v>
      </c>
      <c r="O90" s="34">
        <f t="shared" si="9"/>
        <v>0</v>
      </c>
      <c r="P90" s="34">
        <f t="shared" si="9"/>
        <v>0</v>
      </c>
      <c r="Q90" s="34">
        <f t="shared" si="9"/>
        <v>0</v>
      </c>
      <c r="R90" s="202" t="str">
        <f>IF(Q90=0,"0%",IF(ISERR(Q90/ABS(P90)),100%,Q90/ABS(P90)))</f>
        <v>0%</v>
      </c>
      <c r="T90" s="5"/>
      <c r="V90" s="5"/>
      <c r="Z90" s="5"/>
    </row>
    <row r="91" spans="1:26" ht="12">
      <c r="A91" s="17"/>
      <c r="B91" s="33"/>
      <c r="C91" s="17"/>
      <c r="D91" s="17"/>
      <c r="E91" s="17"/>
      <c r="F91" s="20"/>
      <c r="G91" s="5"/>
      <c r="H91" s="5"/>
      <c r="I91" s="5"/>
      <c r="J91" s="5"/>
      <c r="K91" s="5"/>
      <c r="L91" s="5"/>
      <c r="M91" s="5"/>
      <c r="N91" s="5"/>
      <c r="O91" s="5"/>
      <c r="P91" s="5"/>
      <c r="Q91" s="5"/>
      <c r="R91" s="5"/>
      <c r="T91" s="5"/>
      <c r="V91" s="5"/>
      <c r="Z91" s="5"/>
    </row>
    <row r="92" spans="1:26" ht="12">
      <c r="A92" s="17"/>
      <c r="B92" s="33" t="s">
        <v>614</v>
      </c>
      <c r="C92" s="17"/>
      <c r="D92" s="17"/>
      <c r="E92" s="17"/>
      <c r="F92" s="30" t="s">
        <v>664</v>
      </c>
      <c r="G92" s="1"/>
      <c r="H92" s="31"/>
      <c r="I92" s="31"/>
      <c r="J92" s="31"/>
      <c r="K92" s="31"/>
      <c r="L92" s="31"/>
      <c r="M92" s="31"/>
      <c r="N92" s="31"/>
      <c r="O92" s="88">
        <f>SUM(G92:N92)</f>
        <v>0</v>
      </c>
      <c r="P92" s="5" t="str">
        <f>IF(ISNA(HLOOKUP($E$2,'Prior Year FS Balances'!$G$21:$AF$464,55,FALSE)),"",(HLOOKUP($E$2,'Prior Year FS Balances'!$G$21:$AF$464,55,FALSE)))</f>
        <v/>
      </c>
      <c r="Q92" s="5" t="str">
        <f>IF(ISERR(O92-P92),"",(O92-P92))</f>
        <v/>
      </c>
      <c r="R92" s="201" t="str">
        <f>IF($E$7="","",IF(AND(O92=0,P92=0),"",IF(ISERR(Q92/ABS(P92)),100%,Q92/ABS(P92))))</f>
        <v/>
      </c>
      <c r="S92" s="572"/>
      <c r="T92" s="5"/>
      <c r="V92" s="5"/>
      <c r="Z92" s="5"/>
    </row>
    <row r="93" spans="1:26" ht="12">
      <c r="A93" s="17"/>
      <c r="B93" s="33" t="s">
        <v>3221</v>
      </c>
      <c r="C93" s="17"/>
      <c r="D93" s="17"/>
      <c r="E93" s="17"/>
      <c r="F93" s="30" t="s">
        <v>664</v>
      </c>
      <c r="G93" s="1"/>
      <c r="H93" s="31"/>
      <c r="I93" s="31"/>
      <c r="J93" s="31"/>
      <c r="K93" s="31"/>
      <c r="L93" s="31"/>
      <c r="M93" s="31"/>
      <c r="N93" s="31"/>
      <c r="O93" s="88">
        <f>SUM(G93:N93)</f>
        <v>0</v>
      </c>
      <c r="P93" s="5" t="str">
        <f>IF(ISNA(HLOOKUP($E$2,'Prior Year FS Balances'!$G$21:$AF$464,56,FALSE)),"",(HLOOKUP($E$2,'Prior Year FS Balances'!$G$21:$AF$464,56,FALSE)))</f>
        <v/>
      </c>
      <c r="Q93" s="5" t="str">
        <f>IF(ISERR(O93-P93),"",(O93-P93))</f>
        <v/>
      </c>
      <c r="R93" s="201" t="str">
        <f>IF($E$7="","",IF(AND(O93=0,P93=0),"",IF(ISERR(Q93/ABS(P93)),100%,Q93/ABS(P93))))</f>
        <v/>
      </c>
      <c r="S93" s="572"/>
      <c r="T93" s="5"/>
      <c r="V93" s="5"/>
      <c r="Z93" s="5"/>
    </row>
    <row r="94" spans="1:26" ht="12">
      <c r="A94" s="17"/>
      <c r="B94" s="17"/>
      <c r="C94" s="33"/>
      <c r="D94" s="17"/>
      <c r="E94" s="17"/>
      <c r="F94" s="20"/>
      <c r="G94" s="5"/>
      <c r="H94" s="5"/>
      <c r="I94" s="5"/>
      <c r="J94" s="5"/>
      <c r="K94" s="5"/>
      <c r="L94" s="5"/>
      <c r="M94" s="5"/>
      <c r="N94" s="5"/>
      <c r="O94" s="5"/>
      <c r="P94" s="5"/>
      <c r="Q94" s="5"/>
      <c r="R94" s="5"/>
      <c r="T94" s="5"/>
      <c r="V94" s="5"/>
      <c r="Z94" s="5"/>
    </row>
    <row r="95" spans="1:26" ht="12">
      <c r="A95" s="17"/>
      <c r="B95" s="17"/>
      <c r="C95" s="33"/>
      <c r="D95" s="33" t="s">
        <v>48</v>
      </c>
      <c r="E95" s="17"/>
      <c r="F95" s="20"/>
      <c r="G95" s="34">
        <f t="shared" ref="G95:Q95" si="10">SUM(G79,G86,G90,G92:G93)</f>
        <v>0</v>
      </c>
      <c r="H95" s="34">
        <f t="shared" si="10"/>
        <v>0</v>
      </c>
      <c r="I95" s="34">
        <f t="shared" si="10"/>
        <v>0</v>
      </c>
      <c r="J95" s="34">
        <f>SUM(J79,J86,J90,J92:J93)</f>
        <v>0</v>
      </c>
      <c r="K95" s="34">
        <f t="shared" si="10"/>
        <v>0</v>
      </c>
      <c r="L95" s="34">
        <f t="shared" si="10"/>
        <v>0</v>
      </c>
      <c r="M95" s="34">
        <f t="shared" si="10"/>
        <v>0</v>
      </c>
      <c r="N95" s="34">
        <f t="shared" si="10"/>
        <v>0</v>
      </c>
      <c r="O95" s="34">
        <f t="shared" si="10"/>
        <v>0</v>
      </c>
      <c r="P95" s="34">
        <f t="shared" si="10"/>
        <v>0</v>
      </c>
      <c r="Q95" s="34">
        <f t="shared" si="10"/>
        <v>0</v>
      </c>
      <c r="R95" s="202" t="str">
        <f>IF(Q95=0,"0%",IF(ISERR(Q95/ABS(P95)),100%,Q95/ABS(P95)))</f>
        <v>0%</v>
      </c>
      <c r="T95" s="5"/>
      <c r="V95" s="5"/>
      <c r="Z95" s="5"/>
    </row>
    <row r="96" spans="1:26" ht="12">
      <c r="A96" s="17"/>
      <c r="B96" s="17"/>
      <c r="C96" s="33"/>
      <c r="D96" s="17"/>
      <c r="E96" s="17"/>
      <c r="F96" s="20"/>
      <c r="G96" s="5"/>
      <c r="H96" s="5"/>
      <c r="I96" s="5"/>
      <c r="J96" s="5"/>
      <c r="K96" s="5"/>
      <c r="L96" s="5"/>
      <c r="M96" s="5"/>
      <c r="N96" s="5"/>
      <c r="O96" s="5"/>
      <c r="P96" s="5"/>
      <c r="Q96" s="5"/>
      <c r="R96" s="5"/>
      <c r="T96" s="5"/>
      <c r="V96" s="5"/>
      <c r="Z96" s="5"/>
    </row>
    <row r="97" spans="1:33" ht="12">
      <c r="A97" s="17"/>
      <c r="B97" s="17"/>
      <c r="C97" s="17"/>
      <c r="D97" s="17"/>
      <c r="E97" s="24" t="s">
        <v>49</v>
      </c>
      <c r="F97" s="20"/>
      <c r="G97" s="34">
        <f t="shared" ref="G97:Q97" si="11">SUM(G73,G95)</f>
        <v>0</v>
      </c>
      <c r="H97" s="34">
        <f t="shared" si="11"/>
        <v>0</v>
      </c>
      <c r="I97" s="34">
        <f t="shared" si="11"/>
        <v>0</v>
      </c>
      <c r="J97" s="34">
        <f>SUM(J73,J95)</f>
        <v>0</v>
      </c>
      <c r="K97" s="34">
        <f t="shared" si="11"/>
        <v>0</v>
      </c>
      <c r="L97" s="34">
        <f t="shared" si="11"/>
        <v>0</v>
      </c>
      <c r="M97" s="34">
        <f t="shared" si="11"/>
        <v>0</v>
      </c>
      <c r="N97" s="34">
        <f t="shared" si="11"/>
        <v>0</v>
      </c>
      <c r="O97" s="34">
        <f t="shared" si="11"/>
        <v>0</v>
      </c>
      <c r="P97" s="34">
        <f>SUM(P73,P95)</f>
        <v>0</v>
      </c>
      <c r="Q97" s="34">
        <f t="shared" si="11"/>
        <v>0</v>
      </c>
      <c r="R97" s="202" t="str">
        <f>IF(Q97=0,"0%",IF(ISERR(Q97/ABS(P97)),100%,Q97/ABS(P97)))</f>
        <v>0%</v>
      </c>
      <c r="T97" s="26"/>
      <c r="V97" s="26"/>
      <c r="Z97" s="26"/>
    </row>
    <row r="98" spans="1:33" ht="12">
      <c r="A98" s="17"/>
      <c r="B98" s="17"/>
      <c r="C98" s="17"/>
      <c r="D98" s="17"/>
      <c r="E98" s="24"/>
      <c r="F98" s="20"/>
      <c r="G98" s="5"/>
      <c r="H98" s="5"/>
      <c r="I98" s="5"/>
      <c r="J98" s="5"/>
      <c r="K98" s="5"/>
      <c r="L98" s="5"/>
      <c r="M98" s="5"/>
      <c r="N98" s="5"/>
      <c r="O98" s="5"/>
      <c r="R98" s="26"/>
      <c r="T98" s="26"/>
      <c r="V98" s="26"/>
      <c r="Z98" s="26"/>
    </row>
    <row r="99" spans="1:33">
      <c r="A99" s="33" t="s">
        <v>708</v>
      </c>
      <c r="C99" s="17"/>
      <c r="D99" s="17"/>
      <c r="E99" s="17"/>
      <c r="F99" s="30" t="s">
        <v>858</v>
      </c>
      <c r="G99" s="1"/>
      <c r="H99" s="31"/>
      <c r="I99" s="31"/>
      <c r="J99" s="31"/>
      <c r="K99" s="31"/>
      <c r="L99" s="31"/>
      <c r="M99" s="31"/>
      <c r="N99" s="31"/>
      <c r="O99" s="88">
        <f>SUM(G99:N99)</f>
        <v>0</v>
      </c>
      <c r="P99" s="5">
        <f>IF(ISNA(HLOOKUP($E$2,'Prior Year FS Balances'!$G$21:$AF$464,62,FALSE)),0,(HLOOKUP($E$2,'Prior Year FS Balances'!$G$21:$AF$464,62,FALSE)))</f>
        <v>0</v>
      </c>
      <c r="Q99" s="5">
        <f>IF(ISERR(O99-P99),"",(O99-P99))</f>
        <v>0</v>
      </c>
      <c r="R99" s="201" t="str">
        <f>IF($E$7="","",IF(AND(O99=0,P99=0),"",IF(ISERR(Q99/ABS(P99)),100%,Q99/ABS(P99))))</f>
        <v/>
      </c>
      <c r="S99" s="572"/>
      <c r="T99" s="5"/>
      <c r="V99" s="5"/>
      <c r="Z99" s="5"/>
    </row>
    <row r="100" spans="1:33" ht="12">
      <c r="A100" s="17"/>
      <c r="B100" s="17"/>
      <c r="C100" s="17"/>
      <c r="D100" s="17"/>
      <c r="E100" s="17"/>
      <c r="F100" s="20"/>
      <c r="G100" s="5"/>
      <c r="H100" s="5"/>
      <c r="I100" s="5"/>
      <c r="J100" s="5"/>
      <c r="K100" s="5"/>
      <c r="L100" s="5"/>
      <c r="M100" s="5"/>
      <c r="N100" s="5"/>
      <c r="O100" s="5"/>
      <c r="R100" s="26"/>
      <c r="T100" s="26"/>
      <c r="V100" s="26"/>
      <c r="Z100" s="26"/>
    </row>
    <row r="101" spans="1:33" ht="12">
      <c r="A101" s="17"/>
      <c r="B101" s="17"/>
      <c r="C101" s="17"/>
      <c r="D101" s="17"/>
      <c r="E101" s="24" t="s">
        <v>709</v>
      </c>
      <c r="F101" s="20"/>
      <c r="G101" s="34">
        <f>SUM(G97+G99)</f>
        <v>0</v>
      </c>
      <c r="H101" s="34">
        <f t="shared" ref="H101:Q101" si="12">SUM(H97+H99)</f>
        <v>0</v>
      </c>
      <c r="I101" s="34">
        <f t="shared" si="12"/>
        <v>0</v>
      </c>
      <c r="J101" s="34">
        <f t="shared" si="12"/>
        <v>0</v>
      </c>
      <c r="K101" s="34">
        <f t="shared" si="12"/>
        <v>0</v>
      </c>
      <c r="L101" s="34">
        <f t="shared" si="12"/>
        <v>0</v>
      </c>
      <c r="M101" s="34">
        <f t="shared" si="12"/>
        <v>0</v>
      </c>
      <c r="N101" s="34">
        <f t="shared" si="12"/>
        <v>0</v>
      </c>
      <c r="O101" s="34">
        <f t="shared" si="12"/>
        <v>0</v>
      </c>
      <c r="P101" s="34">
        <f>SUM(P97+P99)</f>
        <v>0</v>
      </c>
      <c r="Q101" s="34">
        <f t="shared" si="12"/>
        <v>0</v>
      </c>
      <c r="R101" s="202" t="str">
        <f>IF(Q101=0,"0%",IF(ISERR(Q101/ABS(P101)),100%,Q101/ABS(P101)))</f>
        <v>0%</v>
      </c>
      <c r="T101" s="26"/>
      <c r="V101" s="26"/>
      <c r="Z101" s="26"/>
    </row>
    <row r="102" spans="1:33" ht="12">
      <c r="A102" s="17"/>
      <c r="B102" s="17"/>
      <c r="C102" s="17"/>
      <c r="D102" s="17"/>
      <c r="E102" s="24"/>
      <c r="F102" s="20"/>
      <c r="G102" s="5"/>
      <c r="H102" s="5"/>
      <c r="I102" s="5"/>
      <c r="J102" s="5"/>
      <c r="K102" s="5"/>
      <c r="L102" s="5"/>
      <c r="M102" s="5"/>
      <c r="N102" s="5"/>
      <c r="O102" s="5"/>
      <c r="R102" s="26"/>
      <c r="T102" s="26"/>
      <c r="V102" s="26"/>
      <c r="Z102" s="26"/>
    </row>
    <row r="103" spans="1:33" ht="12" hidden="1">
      <c r="A103" s="17"/>
      <c r="B103" s="17"/>
      <c r="C103" s="17"/>
      <c r="D103" s="17"/>
      <c r="E103" s="24"/>
      <c r="F103" s="20"/>
      <c r="G103" s="5"/>
      <c r="H103" s="5"/>
      <c r="I103" s="5"/>
      <c r="J103" s="5"/>
      <c r="K103" s="5"/>
      <c r="L103" s="5"/>
      <c r="M103" s="5"/>
      <c r="N103" s="5"/>
      <c r="O103" s="5"/>
      <c r="R103" s="26"/>
      <c r="T103" s="26"/>
      <c r="V103" s="26"/>
      <c r="Z103" s="26"/>
    </row>
    <row r="104" spans="1:33" s="240" customFormat="1" ht="12" hidden="1">
      <c r="E104" s="241"/>
      <c r="F104" s="578"/>
      <c r="G104" s="242"/>
      <c r="H104" s="242"/>
      <c r="I104" s="242"/>
      <c r="J104" s="242"/>
      <c r="K104" s="242"/>
      <c r="L104" s="242"/>
      <c r="M104" s="242"/>
      <c r="N104" s="242"/>
      <c r="O104" s="242"/>
      <c r="R104" s="243"/>
      <c r="T104" s="243"/>
      <c r="V104" s="243"/>
      <c r="W104" s="17"/>
      <c r="Z104" s="243"/>
      <c r="AF104" s="17"/>
      <c r="AG104" s="17"/>
    </row>
    <row r="105" spans="1:33" s="240" customFormat="1" ht="12" hidden="1">
      <c r="E105" s="241"/>
      <c r="F105" s="578"/>
      <c r="G105" s="242"/>
      <c r="H105" s="242"/>
      <c r="I105" s="242"/>
      <c r="J105" s="242"/>
      <c r="K105" s="242"/>
      <c r="L105" s="242"/>
      <c r="M105" s="242"/>
      <c r="N105" s="242"/>
      <c r="O105" s="242"/>
      <c r="R105" s="243"/>
      <c r="T105" s="243"/>
      <c r="V105" s="243"/>
      <c r="W105" s="17"/>
      <c r="Z105" s="243"/>
      <c r="AF105" s="17"/>
      <c r="AG105" s="17"/>
    </row>
    <row r="106" spans="1:33" s="240" customFormat="1" ht="12" hidden="1">
      <c r="E106" s="241"/>
      <c r="F106" s="578"/>
      <c r="G106" s="242"/>
      <c r="H106" s="242"/>
      <c r="I106" s="242"/>
      <c r="J106" s="242"/>
      <c r="K106" s="242"/>
      <c r="L106" s="242"/>
      <c r="M106" s="242"/>
      <c r="N106" s="242"/>
      <c r="O106" s="242"/>
      <c r="R106" s="243"/>
      <c r="T106" s="243"/>
      <c r="V106" s="243"/>
      <c r="W106" s="17"/>
      <c r="Z106" s="243"/>
    </row>
    <row r="107" spans="1:33" s="240" customFormat="1" ht="12" hidden="1">
      <c r="E107" s="241"/>
      <c r="F107" s="578"/>
      <c r="G107" s="242"/>
      <c r="H107" s="242"/>
      <c r="I107" s="242"/>
      <c r="J107" s="242"/>
      <c r="K107" s="242"/>
      <c r="L107" s="242"/>
      <c r="M107" s="242"/>
      <c r="N107" s="242"/>
      <c r="O107" s="242"/>
      <c r="R107" s="243"/>
      <c r="T107" s="243"/>
      <c r="V107" s="243"/>
      <c r="W107" s="17"/>
      <c r="Z107" s="243"/>
    </row>
    <row r="108" spans="1:33" s="240" customFormat="1" ht="12" hidden="1">
      <c r="E108" s="241"/>
      <c r="F108" s="578"/>
      <c r="G108" s="242"/>
      <c r="H108" s="242"/>
      <c r="I108" s="242"/>
      <c r="J108" s="242"/>
      <c r="K108" s="242"/>
      <c r="L108" s="242"/>
      <c r="M108" s="242"/>
      <c r="N108" s="242"/>
      <c r="O108" s="242"/>
      <c r="R108" s="243"/>
      <c r="T108" s="243"/>
      <c r="V108" s="243"/>
      <c r="W108" s="17"/>
      <c r="Z108" s="243"/>
    </row>
    <row r="109" spans="1:33" s="240" customFormat="1" ht="12" hidden="1">
      <c r="E109" s="241"/>
      <c r="F109" s="578"/>
      <c r="G109" s="242"/>
      <c r="H109" s="242"/>
      <c r="I109" s="242"/>
      <c r="J109" s="242"/>
      <c r="K109" s="242"/>
      <c r="L109" s="242"/>
      <c r="M109" s="242"/>
      <c r="N109" s="242"/>
      <c r="O109" s="242"/>
      <c r="R109" s="243"/>
      <c r="T109" s="243"/>
      <c r="V109" s="243"/>
      <c r="W109" s="17"/>
      <c r="Z109" s="243"/>
    </row>
    <row r="110" spans="1:33" s="240" customFormat="1" ht="12" hidden="1">
      <c r="E110" s="241"/>
      <c r="F110" s="578"/>
      <c r="G110" s="242"/>
      <c r="H110" s="242"/>
      <c r="I110" s="242"/>
      <c r="J110" s="242"/>
      <c r="K110" s="242"/>
      <c r="L110" s="242"/>
      <c r="M110" s="242"/>
      <c r="N110" s="242"/>
      <c r="O110" s="242"/>
      <c r="R110" s="243"/>
      <c r="T110" s="243"/>
      <c r="V110" s="243"/>
      <c r="W110" s="17"/>
      <c r="Z110" s="243"/>
    </row>
    <row r="111" spans="1:33" s="240" customFormat="1" ht="12" hidden="1">
      <c r="E111" s="241"/>
      <c r="F111" s="578"/>
      <c r="G111" s="242"/>
      <c r="H111" s="242"/>
      <c r="I111" s="242"/>
      <c r="J111" s="242"/>
      <c r="K111" s="242"/>
      <c r="L111" s="242"/>
      <c r="M111" s="242"/>
      <c r="N111" s="242"/>
      <c r="O111" s="242"/>
      <c r="R111" s="243"/>
      <c r="T111" s="243"/>
      <c r="V111" s="243"/>
      <c r="W111" s="17"/>
      <c r="Z111" s="243"/>
    </row>
    <row r="112" spans="1:33" s="240" customFormat="1" ht="12" hidden="1">
      <c r="E112" s="241"/>
      <c r="F112" s="578"/>
      <c r="G112" s="242"/>
      <c r="H112" s="242"/>
      <c r="I112" s="242"/>
      <c r="J112" s="242"/>
      <c r="K112" s="242"/>
      <c r="L112" s="242"/>
      <c r="M112" s="242"/>
      <c r="N112" s="242"/>
      <c r="O112" s="242"/>
      <c r="R112" s="243"/>
      <c r="T112" s="243"/>
      <c r="V112" s="243"/>
      <c r="W112" s="17"/>
      <c r="Z112" s="243"/>
    </row>
    <row r="113" spans="1:33" s="240" customFormat="1" ht="12" hidden="1">
      <c r="E113" s="241"/>
      <c r="F113" s="578"/>
      <c r="G113" s="242"/>
      <c r="H113" s="242"/>
      <c r="I113" s="242"/>
      <c r="J113" s="242"/>
      <c r="K113" s="242"/>
      <c r="L113" s="242"/>
      <c r="M113" s="242"/>
      <c r="N113" s="242"/>
      <c r="O113" s="242"/>
      <c r="R113" s="243"/>
      <c r="T113" s="243"/>
      <c r="V113" s="243"/>
      <c r="W113" s="17"/>
      <c r="Z113" s="243"/>
    </row>
    <row r="114" spans="1:33" s="240" customFormat="1" ht="12" hidden="1">
      <c r="E114" s="241"/>
      <c r="F114" s="578"/>
      <c r="G114" s="242"/>
      <c r="H114" s="242"/>
      <c r="I114" s="242"/>
      <c r="J114" s="242"/>
      <c r="K114" s="242"/>
      <c r="L114" s="242"/>
      <c r="M114" s="242"/>
      <c r="N114" s="242"/>
      <c r="O114" s="242"/>
      <c r="R114" s="243"/>
      <c r="T114" s="243"/>
      <c r="V114" s="243"/>
      <c r="W114" s="17"/>
      <c r="Z114" s="243"/>
    </row>
    <row r="115" spans="1:33" s="240" customFormat="1" ht="12" hidden="1">
      <c r="E115" s="241"/>
      <c r="F115" s="578"/>
      <c r="G115" s="242"/>
      <c r="H115" s="242"/>
      <c r="I115" s="242"/>
      <c r="J115" s="242"/>
      <c r="K115" s="242"/>
      <c r="L115" s="242"/>
      <c r="M115" s="242"/>
      <c r="N115" s="242"/>
      <c r="O115" s="242"/>
      <c r="R115" s="243"/>
      <c r="T115" s="243"/>
      <c r="V115" s="243"/>
      <c r="W115" s="17"/>
      <c r="Z115" s="243"/>
    </row>
    <row r="116" spans="1:33" s="240" customFormat="1" ht="12" hidden="1">
      <c r="E116" s="241"/>
      <c r="F116" s="578"/>
      <c r="G116" s="242"/>
      <c r="H116" s="242"/>
      <c r="I116" s="242"/>
      <c r="J116" s="242"/>
      <c r="K116" s="242"/>
      <c r="L116" s="242"/>
      <c r="M116" s="242"/>
      <c r="N116" s="242"/>
      <c r="O116" s="242"/>
      <c r="R116" s="243"/>
      <c r="T116" s="243"/>
      <c r="V116" s="243"/>
      <c r="W116" s="17"/>
      <c r="Z116" s="243"/>
    </row>
    <row r="117" spans="1:33" s="240" customFormat="1" ht="12" hidden="1">
      <c r="E117" s="241"/>
      <c r="F117" s="578"/>
      <c r="G117" s="242"/>
      <c r="H117" s="242"/>
      <c r="I117" s="242"/>
      <c r="J117" s="242"/>
      <c r="K117" s="242"/>
      <c r="L117" s="242"/>
      <c r="M117" s="242"/>
      <c r="N117" s="242"/>
      <c r="O117" s="242"/>
      <c r="R117" s="243"/>
      <c r="T117" s="243"/>
      <c r="V117" s="243"/>
      <c r="W117" s="17"/>
      <c r="Z117" s="243"/>
    </row>
    <row r="118" spans="1:33" s="240" customFormat="1" ht="12" hidden="1">
      <c r="E118" s="241"/>
      <c r="F118" s="578"/>
      <c r="G118" s="242"/>
      <c r="H118" s="242"/>
      <c r="I118" s="242"/>
      <c r="J118" s="242"/>
      <c r="K118" s="242"/>
      <c r="L118" s="242"/>
      <c r="M118" s="242"/>
      <c r="N118" s="242"/>
      <c r="O118" s="242"/>
      <c r="R118" s="243"/>
      <c r="T118" s="243"/>
      <c r="V118" s="243"/>
      <c r="W118" s="17"/>
      <c r="Z118" s="243"/>
    </row>
    <row r="119" spans="1:33">
      <c r="A119" s="1050" t="str">
        <f>A7</f>
        <v>Fund Number:</v>
      </c>
      <c r="B119" s="1100"/>
      <c r="C119" s="1100"/>
      <c r="D119" s="1100"/>
      <c r="E119" s="18" t="str">
        <f>E7</f>
        <v/>
      </c>
      <c r="F119" s="20"/>
      <c r="G119" s="26"/>
      <c r="H119" s="26"/>
      <c r="I119" s="26"/>
      <c r="J119" s="26"/>
      <c r="K119" s="26"/>
      <c r="L119" s="26"/>
      <c r="M119" s="26"/>
      <c r="N119" s="26"/>
      <c r="O119" s="26"/>
      <c r="R119" s="26"/>
      <c r="T119" s="26"/>
      <c r="V119" s="26"/>
      <c r="Z119" s="26"/>
      <c r="AF119" s="240"/>
      <c r="AG119" s="240"/>
    </row>
    <row r="120" spans="1:33" ht="12">
      <c r="A120" s="27"/>
      <c r="B120" s="17"/>
      <c r="C120" s="17"/>
      <c r="D120" s="17"/>
      <c r="E120" s="17"/>
      <c r="F120" s="20"/>
      <c r="G120" s="26"/>
      <c r="H120" s="26"/>
      <c r="I120" s="26"/>
      <c r="J120" s="26"/>
      <c r="K120" s="26"/>
      <c r="L120" s="26"/>
      <c r="M120" s="26"/>
      <c r="N120" s="26"/>
      <c r="O120" s="26"/>
      <c r="R120" s="26"/>
      <c r="T120" s="26"/>
      <c r="V120" s="26"/>
      <c r="Z120" s="26"/>
      <c r="AF120" s="240"/>
      <c r="AG120" s="240"/>
    </row>
    <row r="121" spans="1:33" ht="10.5" customHeight="1">
      <c r="A121" s="13" t="str">
        <f>A33</f>
        <v>Statement of Net Position</v>
      </c>
      <c r="B121" s="13"/>
      <c r="C121" s="13"/>
      <c r="D121" s="27"/>
      <c r="F121" s="20"/>
      <c r="G121" s="26"/>
      <c r="H121" s="26"/>
      <c r="I121" s="26"/>
      <c r="J121" s="26"/>
      <c r="K121" s="26"/>
      <c r="L121" s="26"/>
      <c r="M121" s="26"/>
      <c r="N121" s="26"/>
      <c r="O121" s="26"/>
      <c r="R121" s="21"/>
      <c r="T121" s="21"/>
      <c r="V121" s="21"/>
      <c r="Z121" s="21"/>
    </row>
    <row r="122" spans="1:33" ht="24.75" customHeight="1">
      <c r="A122" s="29" t="str">
        <f>A34</f>
        <v>For the Year Ended June 30, 2024</v>
      </c>
      <c r="B122" s="23"/>
      <c r="C122" s="23"/>
      <c r="D122" s="23"/>
      <c r="E122" s="35"/>
      <c r="F122" s="579"/>
      <c r="G122" s="570"/>
      <c r="H122" s="570"/>
      <c r="I122" s="570"/>
      <c r="J122" s="570"/>
      <c r="K122" s="570"/>
      <c r="L122" s="570"/>
      <c r="M122" s="570"/>
      <c r="N122" s="570"/>
      <c r="O122" s="570"/>
      <c r="P122" s="23"/>
      <c r="Q122" s="23"/>
      <c r="R122" s="570"/>
      <c r="S122" s="23"/>
      <c r="T122" s="26"/>
      <c r="V122" s="26"/>
      <c r="X122" s="26"/>
      <c r="Z122" s="36"/>
      <c r="AB122" s="26"/>
    </row>
    <row r="123" spans="1:33" ht="12">
      <c r="A123" s="37"/>
      <c r="B123" s="17"/>
      <c r="C123" s="17"/>
      <c r="D123" s="17"/>
      <c r="E123" s="17"/>
      <c r="F123" s="26"/>
      <c r="G123" s="21"/>
      <c r="H123" s="21"/>
      <c r="I123" s="21"/>
      <c r="J123" s="21"/>
      <c r="K123" s="21"/>
      <c r="L123" s="21"/>
      <c r="M123" s="21"/>
      <c r="N123" s="21"/>
      <c r="O123" s="21"/>
    </row>
    <row r="124" spans="1:33" ht="36" customHeight="1">
      <c r="A124" s="27" t="s">
        <v>738</v>
      </c>
      <c r="B124" s="17"/>
      <c r="C124" s="17"/>
      <c r="D124" s="17"/>
      <c r="E124" s="570" t="s">
        <v>298</v>
      </c>
      <c r="F124" s="16" t="str">
        <f>+F37</f>
        <v>Reference to Tabs that must be completed</v>
      </c>
      <c r="G124" s="16" t="str">
        <f t="shared" ref="G124:O124" si="13">G37</f>
        <v>Template</v>
      </c>
      <c r="H124" s="16" t="e">
        <f t="shared" si="13"/>
        <v>#N/A</v>
      </c>
      <c r="I124" s="16" t="e">
        <f t="shared" si="13"/>
        <v>#N/A</v>
      </c>
      <c r="J124" s="16" t="e">
        <f>J37</f>
        <v>#N/A</v>
      </c>
      <c r="K124" s="16" t="e">
        <f t="shared" si="13"/>
        <v>#N/A</v>
      </c>
      <c r="L124" s="16" t="e">
        <f t="shared" si="13"/>
        <v>#N/A</v>
      </c>
      <c r="M124" s="16" t="e">
        <f t="shared" si="13"/>
        <v>#N/A</v>
      </c>
      <c r="N124" s="16" t="str">
        <f t="shared" si="13"/>
        <v>Intrafund Elimination Entries</v>
      </c>
      <c r="O124" s="16" t="e">
        <f t="shared" si="13"/>
        <v>#N/A</v>
      </c>
      <c r="P124" s="570" t="s">
        <v>532</v>
      </c>
      <c r="Q124" s="570" t="str">
        <f>Q37</f>
        <v>$</v>
      </c>
      <c r="R124" s="570" t="str">
        <f>R37</f>
        <v>%</v>
      </c>
      <c r="S124" s="570" t="str">
        <f>S37</f>
        <v>Notes</v>
      </c>
      <c r="T124" s="16" t="str">
        <f>T37</f>
        <v>Check Figures</v>
      </c>
      <c r="V124" s="5"/>
      <c r="Z124" s="5"/>
    </row>
    <row r="125" spans="1:33" ht="12">
      <c r="A125" s="27" t="s">
        <v>50</v>
      </c>
      <c r="B125" s="17"/>
      <c r="C125" s="17"/>
      <c r="D125" s="17"/>
      <c r="E125" s="26"/>
      <c r="F125" s="36"/>
      <c r="G125" s="36"/>
      <c r="H125" s="36"/>
      <c r="I125" s="36"/>
      <c r="J125" s="36"/>
      <c r="K125" s="36"/>
      <c r="L125" s="36"/>
      <c r="M125" s="36"/>
      <c r="N125" s="36"/>
      <c r="O125" s="36"/>
      <c r="P125" s="26"/>
      <c r="Q125" s="26"/>
      <c r="R125" s="26"/>
      <c r="S125" s="26"/>
      <c r="T125" s="36"/>
      <c r="V125" s="5"/>
      <c r="Z125" s="5"/>
    </row>
    <row r="126" spans="1:33" ht="12">
      <c r="A126" s="17" t="s">
        <v>353</v>
      </c>
      <c r="B126" s="17"/>
      <c r="C126" s="17"/>
      <c r="D126" s="17"/>
      <c r="E126" s="17"/>
      <c r="F126" s="20"/>
      <c r="R126" s="5"/>
      <c r="T126" s="5"/>
      <c r="V126" s="5"/>
      <c r="Z126" s="5"/>
    </row>
    <row r="127" spans="1:33" ht="12">
      <c r="A127" s="17"/>
      <c r="B127" s="17" t="s">
        <v>589</v>
      </c>
      <c r="C127" s="17"/>
      <c r="D127" s="17"/>
      <c r="E127" s="17"/>
      <c r="F127" s="30"/>
      <c r="G127" s="1"/>
      <c r="H127" s="31"/>
      <c r="I127" s="31"/>
      <c r="J127" s="31"/>
      <c r="K127" s="31"/>
      <c r="L127" s="31"/>
      <c r="M127" s="31"/>
      <c r="N127" s="31"/>
      <c r="O127" s="88">
        <f>SUM(G127:N127)</f>
        <v>0</v>
      </c>
      <c r="P127" s="5" t="str">
        <f>IF(ISNA(HLOOKUP($E$2,'Prior Year FS Balances'!$G$21:$AF$464,89,FALSE)),"",(HLOOKUP($E$2,'Prior Year FS Balances'!$G$21:$AF$464,89,FALSE)))</f>
        <v/>
      </c>
      <c r="Q127" s="5" t="str">
        <f>IF(ISERR(O127-P127),"",(O127-P127))</f>
        <v/>
      </c>
      <c r="R127" s="201" t="str">
        <f>IF($E$7="","",IF(AND(O127=0,P127=0),"",IF(ISERR(Q127/ABS(P127)),100%,Q127/ABS(P127))))</f>
        <v/>
      </c>
      <c r="S127" s="572"/>
      <c r="T127" s="5"/>
      <c r="V127" s="5"/>
      <c r="Z127" s="5"/>
    </row>
    <row r="128" spans="1:33" ht="12">
      <c r="A128" s="17"/>
      <c r="B128" s="17" t="s">
        <v>581</v>
      </c>
      <c r="C128" s="17"/>
      <c r="D128" s="17"/>
      <c r="E128" s="17"/>
      <c r="F128" s="30"/>
      <c r="G128" s="1"/>
      <c r="H128" s="31"/>
      <c r="I128" s="31"/>
      <c r="J128" s="31"/>
      <c r="K128" s="31"/>
      <c r="L128" s="31"/>
      <c r="M128" s="31"/>
      <c r="N128" s="31"/>
      <c r="O128" s="88">
        <f>SUM(G128:N128)</f>
        <v>0</v>
      </c>
      <c r="P128" s="5" t="str">
        <f>IF(ISNA(HLOOKUP($E$2,'Prior Year FS Balances'!$G$21:$AF$464,90,FALSE)),"",(HLOOKUP($E$2,'Prior Year FS Balances'!$G$21:$AF$464,90,FALSE)))</f>
        <v/>
      </c>
      <c r="Q128" s="5" t="str">
        <f>IF(ISERR(O128-P128),"",(O128-P128))</f>
        <v/>
      </c>
      <c r="R128" s="201" t="str">
        <f>IF($E$7="","",IF(AND(O128=0,P128=0),"",IF(ISERR(Q128/ABS(P128)),100%,Q128/ABS(P128))))</f>
        <v/>
      </c>
      <c r="S128" s="572"/>
      <c r="T128" s="5"/>
      <c r="V128" s="5"/>
      <c r="Z128" s="5"/>
    </row>
    <row r="129" spans="1:26" ht="12">
      <c r="A129" s="17"/>
      <c r="B129" s="17" t="s">
        <v>590</v>
      </c>
      <c r="C129" s="17"/>
      <c r="D129" s="17"/>
      <c r="E129" s="17"/>
      <c r="F129" s="30"/>
      <c r="G129" s="1"/>
      <c r="H129" s="31"/>
      <c r="I129" s="31"/>
      <c r="J129" s="31"/>
      <c r="K129" s="31"/>
      <c r="L129" s="31"/>
      <c r="M129" s="31"/>
      <c r="N129" s="31"/>
      <c r="O129" s="88">
        <f>SUM(G129:N129)</f>
        <v>0</v>
      </c>
      <c r="P129" s="5" t="str">
        <f>IF(ISNA(HLOOKUP($E$2,'Prior Year FS Balances'!$G$21:$AF$464,91,FALSE)),"",(HLOOKUP($E$2,'Prior Year FS Balances'!$G$21:$AF$464,91,FALSE)))</f>
        <v/>
      </c>
      <c r="Q129" s="5" t="str">
        <f>IF(ISERR(O129-P129),"",(O129-P129))</f>
        <v/>
      </c>
      <c r="R129" s="201" t="str">
        <f>IF($E$7="","",IF(AND(O129=0,P129=0),"",IF(ISERR(Q129/ABS(P129)),100%,Q129/ABS(P129))))</f>
        <v/>
      </c>
      <c r="S129" s="572"/>
      <c r="T129" s="5"/>
      <c r="V129" s="5"/>
      <c r="Z129" s="5"/>
    </row>
    <row r="130" spans="1:26" ht="12">
      <c r="A130" s="17"/>
      <c r="B130" s="17" t="s">
        <v>657</v>
      </c>
      <c r="C130" s="17"/>
      <c r="D130" s="17"/>
      <c r="E130" s="574" t="str">
        <f>IF(O130&gt;0,"Answer Required",IF(O130&lt;0,"Answer Required","N/A"))</f>
        <v>N/A</v>
      </c>
      <c r="F130" s="30"/>
      <c r="G130" s="1"/>
      <c r="H130" s="31"/>
      <c r="I130" s="31"/>
      <c r="J130" s="31"/>
      <c r="K130" s="31"/>
      <c r="L130" s="31"/>
      <c r="M130" s="31"/>
      <c r="N130" s="31"/>
      <c r="O130" s="88">
        <f>SUM(G130:N130)</f>
        <v>0</v>
      </c>
      <c r="P130" s="5" t="str">
        <f>IF(ISNA(HLOOKUP($E$2,'Prior Year FS Balances'!$G$21:$AF$464,92,FALSE)),"",(HLOOKUP($E$2,'Prior Year FS Balances'!$G$21:$AF$464,92,FALSE)))</f>
        <v/>
      </c>
      <c r="Q130" s="5" t="str">
        <f>IF(ISERR(O130-P130),"",(O130-P130))</f>
        <v/>
      </c>
      <c r="R130" s="201" t="str">
        <f>IF($E$7="","",IF(AND(O130=0,P130=0),"",IF(ISERR(Q130/ABS(P130)),100%,Q130/ABS(P130))))</f>
        <v/>
      </c>
      <c r="S130" s="572"/>
      <c r="T130" s="5"/>
      <c r="V130" s="5"/>
      <c r="Z130" s="5"/>
    </row>
    <row r="131" spans="1:26" ht="12">
      <c r="A131" s="17"/>
      <c r="B131" s="33"/>
      <c r="C131" s="33" t="s">
        <v>321</v>
      </c>
      <c r="D131" s="17"/>
      <c r="E131" s="17"/>
      <c r="F131" s="30"/>
      <c r="G131" s="34">
        <f t="shared" ref="G131:Q131" si="14">SUM(G127:G130)</f>
        <v>0</v>
      </c>
      <c r="H131" s="34">
        <f t="shared" si="14"/>
        <v>0</v>
      </c>
      <c r="I131" s="34">
        <f t="shared" si="14"/>
        <v>0</v>
      </c>
      <c r="J131" s="34">
        <f>SUM(J127:J130)</f>
        <v>0</v>
      </c>
      <c r="K131" s="34">
        <f t="shared" si="14"/>
        <v>0</v>
      </c>
      <c r="L131" s="34">
        <f t="shared" si="14"/>
        <v>0</v>
      </c>
      <c r="M131" s="34">
        <f t="shared" si="14"/>
        <v>0</v>
      </c>
      <c r="N131" s="34">
        <f t="shared" si="14"/>
        <v>0</v>
      </c>
      <c r="O131" s="34">
        <f t="shared" si="14"/>
        <v>0</v>
      </c>
      <c r="P131" s="34">
        <f t="shared" si="14"/>
        <v>0</v>
      </c>
      <c r="Q131" s="34">
        <f t="shared" si="14"/>
        <v>0</v>
      </c>
      <c r="R131" s="202" t="str">
        <f>IF(Q131=0,"0%",IF(ISERR(Q131/ABS(P131)),100%,Q131/ABS(P131)))</f>
        <v>0%</v>
      </c>
      <c r="T131" s="5"/>
      <c r="V131" s="5"/>
      <c r="Z131" s="5"/>
    </row>
    <row r="132" spans="1:26" ht="12">
      <c r="A132" s="17"/>
      <c r="B132" s="33"/>
      <c r="C132" s="17"/>
      <c r="D132" s="17"/>
      <c r="E132" s="17"/>
      <c r="F132" s="30"/>
      <c r="G132" s="5"/>
      <c r="H132" s="5"/>
      <c r="I132" s="5"/>
      <c r="J132" s="5"/>
      <c r="K132" s="5"/>
      <c r="L132" s="5"/>
      <c r="M132" s="5"/>
      <c r="N132" s="5"/>
      <c r="O132" s="5"/>
      <c r="P132" s="5"/>
      <c r="Q132" s="5"/>
      <c r="R132" s="201"/>
      <c r="S132" s="576"/>
      <c r="T132" s="5"/>
      <c r="V132" s="5"/>
      <c r="Z132" s="5"/>
    </row>
    <row r="133" spans="1:26" ht="12">
      <c r="A133" s="17"/>
      <c r="B133" s="17" t="s">
        <v>643</v>
      </c>
      <c r="C133" s="17"/>
      <c r="D133" s="17"/>
      <c r="E133" s="17"/>
      <c r="F133" s="30" t="s">
        <v>859</v>
      </c>
      <c r="G133" s="1"/>
      <c r="H133" s="31"/>
      <c r="I133" s="31"/>
      <c r="J133" s="31"/>
      <c r="K133" s="31"/>
      <c r="L133" s="31"/>
      <c r="M133" s="31"/>
      <c r="N133" s="31"/>
      <c r="O133" s="88">
        <f>SUM(G133:N133)</f>
        <v>0</v>
      </c>
      <c r="P133" s="5" t="str">
        <f>IF(ISNA(HLOOKUP($E$2,'Prior Year FS Balances'!$G$21:$AF$464,95,FALSE)),"",(HLOOKUP($E$2,'Prior Year FS Balances'!$G$21:$AF$464,95,FALSE)))</f>
        <v/>
      </c>
      <c r="Q133" s="5" t="str">
        <f>IF(ISERR(O133-P133),"",(O133-P133))</f>
        <v/>
      </c>
      <c r="R133" s="201" t="str">
        <f>IF($E$7="","",IF(AND(O133=0,P133=0),"",IF(ISERR(Q133/ABS(P133)),100%,Q133/ABS(P133))))</f>
        <v/>
      </c>
      <c r="S133" s="572"/>
      <c r="T133" s="5"/>
      <c r="V133" s="5"/>
      <c r="Z133" s="5"/>
    </row>
    <row r="134" spans="1:26" ht="12">
      <c r="A134" s="17"/>
      <c r="B134" s="17" t="s">
        <v>207</v>
      </c>
      <c r="C134" s="17"/>
      <c r="D134" s="17"/>
      <c r="E134" s="17"/>
      <c r="F134" s="30" t="s">
        <v>859</v>
      </c>
      <c r="G134" s="1"/>
      <c r="H134" s="31"/>
      <c r="I134" s="31"/>
      <c r="J134" s="31"/>
      <c r="K134" s="31"/>
      <c r="L134" s="31"/>
      <c r="M134" s="31"/>
      <c r="N134" s="31"/>
      <c r="O134" s="88">
        <f>SUM(G134:N134)</f>
        <v>0</v>
      </c>
      <c r="P134" s="5" t="str">
        <f>IF(ISNA(HLOOKUP($E$2,'Prior Year FS Balances'!$G$21:$AF$464,96,FALSE)),"",(HLOOKUP($E$2,'Prior Year FS Balances'!$G$21:$AF$464,96,FALSE)))</f>
        <v/>
      </c>
      <c r="Q134" s="5" t="str">
        <f>IF(ISERR(O134-P134),"",(O134-P134))</f>
        <v/>
      </c>
      <c r="R134" s="201" t="str">
        <f>IF($E$7="","",IF(AND(O134=0,P134=0),"",IF(ISERR(Q134/ABS(P134)),100%,Q134/ABS(P134))))</f>
        <v/>
      </c>
      <c r="S134" s="572"/>
      <c r="T134" s="5"/>
      <c r="V134" s="5"/>
      <c r="Z134" s="5"/>
    </row>
    <row r="135" spans="1:26" ht="12">
      <c r="A135" s="17"/>
      <c r="B135" s="33"/>
      <c r="C135" s="33" t="s">
        <v>300</v>
      </c>
      <c r="D135" s="33"/>
      <c r="E135" s="17"/>
      <c r="F135" s="30"/>
      <c r="G135" s="34">
        <f t="shared" ref="G135:Q135" si="15">SUM(G133:G134)</f>
        <v>0</v>
      </c>
      <c r="H135" s="34">
        <f t="shared" si="15"/>
        <v>0</v>
      </c>
      <c r="I135" s="34">
        <f t="shared" si="15"/>
        <v>0</v>
      </c>
      <c r="J135" s="34">
        <f>SUM(J133:J134)</f>
        <v>0</v>
      </c>
      <c r="K135" s="34">
        <f t="shared" si="15"/>
        <v>0</v>
      </c>
      <c r="L135" s="34">
        <f t="shared" si="15"/>
        <v>0</v>
      </c>
      <c r="M135" s="34">
        <f t="shared" si="15"/>
        <v>0</v>
      </c>
      <c r="N135" s="34">
        <f t="shared" si="15"/>
        <v>0</v>
      </c>
      <c r="O135" s="34">
        <f t="shared" si="15"/>
        <v>0</v>
      </c>
      <c r="P135" s="34">
        <f t="shared" si="15"/>
        <v>0</v>
      </c>
      <c r="Q135" s="34">
        <f t="shared" si="15"/>
        <v>0</v>
      </c>
      <c r="R135" s="202" t="str">
        <f>IF(Q135=0,"0%",IF(ISERR(Q135/ABS(P135)),100%,Q135/ABS(P135)))</f>
        <v>0%</v>
      </c>
      <c r="S135" s="576"/>
      <c r="T135" s="5"/>
      <c r="V135" s="5"/>
      <c r="Z135" s="5"/>
    </row>
    <row r="136" spans="1:26" ht="12">
      <c r="A136" s="17"/>
      <c r="B136" s="33"/>
      <c r="C136" s="17"/>
      <c r="D136" s="17"/>
      <c r="E136" s="17"/>
      <c r="F136" s="30"/>
      <c r="G136" s="5"/>
      <c r="H136" s="5"/>
      <c r="I136" s="5"/>
      <c r="J136" s="5"/>
      <c r="K136" s="5"/>
      <c r="L136" s="5"/>
      <c r="M136" s="5"/>
      <c r="N136" s="5"/>
      <c r="O136" s="5"/>
      <c r="P136" s="5"/>
      <c r="Q136" s="5"/>
      <c r="R136" s="201"/>
      <c r="S136" s="576"/>
      <c r="T136" s="5"/>
      <c r="V136" s="5"/>
      <c r="Z136" s="5"/>
    </row>
    <row r="137" spans="1:26" ht="12">
      <c r="A137" s="17"/>
      <c r="B137" s="33" t="s">
        <v>14</v>
      </c>
      <c r="C137" s="17"/>
      <c r="D137" s="17"/>
      <c r="E137" s="17"/>
      <c r="F137" s="30"/>
      <c r="G137" s="1"/>
      <c r="H137" s="31"/>
      <c r="I137" s="31"/>
      <c r="J137" s="31"/>
      <c r="K137" s="31"/>
      <c r="L137" s="31"/>
      <c r="M137" s="31"/>
      <c r="N137" s="31"/>
      <c r="O137" s="88">
        <f t="shared" ref="O137:O142" si="16">SUM(G137:N137)</f>
        <v>0</v>
      </c>
      <c r="P137" s="5" t="str">
        <f>IF(ISNA(HLOOKUP($E$2,'Prior Year FS Balances'!$G$21:$AF$464,99,FALSE)),"",(HLOOKUP($E$2,'Prior Year FS Balances'!$G$21:$AF$464,99,FALSE)))</f>
        <v/>
      </c>
      <c r="Q137" s="5" t="str">
        <f t="shared" ref="Q137:Q142" si="17">IF(ISERR(O137-P137),"",(O137-P137))</f>
        <v/>
      </c>
      <c r="R137" s="201" t="str">
        <f t="shared" ref="R137:R142" si="18">IF($E$7="","",IF(AND(O137=0,P137=0),"",IF(ISERR(Q137/ABS(P137)),100%,Q137/ABS(P137))))</f>
        <v/>
      </c>
      <c r="S137" s="572"/>
      <c r="T137" s="5"/>
      <c r="V137" s="5"/>
      <c r="Z137" s="5"/>
    </row>
    <row r="138" spans="1:26" ht="12">
      <c r="A138" s="17"/>
      <c r="B138" s="33" t="s">
        <v>656</v>
      </c>
      <c r="C138" s="17"/>
      <c r="D138" s="17"/>
      <c r="E138" s="227" t="str">
        <f>IF(O138&gt;0,"Answer Required",IF(O138&lt;0,"Answer Required","N/A"))</f>
        <v>N/A</v>
      </c>
      <c r="F138" s="20"/>
      <c r="G138" s="1"/>
      <c r="H138" s="31"/>
      <c r="I138" s="31"/>
      <c r="J138" s="31"/>
      <c r="K138" s="31"/>
      <c r="L138" s="31"/>
      <c r="M138" s="31"/>
      <c r="N138" s="31"/>
      <c r="O138" s="88">
        <f t="shared" si="16"/>
        <v>0</v>
      </c>
      <c r="P138" s="5" t="str">
        <f>IF(ISNA(HLOOKUP($E$2,'Prior Year FS Balances'!$G$21:$AF$464,100,FALSE)),"",(HLOOKUP($E$2,'Prior Year FS Balances'!$G$21:$AF$464,100,FALSE)))</f>
        <v/>
      </c>
      <c r="Q138" s="5" t="str">
        <f t="shared" si="17"/>
        <v/>
      </c>
      <c r="R138" s="201" t="str">
        <f t="shared" si="18"/>
        <v/>
      </c>
      <c r="S138" s="572"/>
      <c r="T138" s="5"/>
      <c r="V138" s="5"/>
      <c r="Z138" s="5"/>
    </row>
    <row r="139" spans="1:26" ht="12">
      <c r="A139" s="17"/>
      <c r="B139" s="33" t="s">
        <v>644</v>
      </c>
      <c r="C139" s="17"/>
      <c r="D139" s="17"/>
      <c r="E139" s="17"/>
      <c r="F139" s="20"/>
      <c r="G139" s="1"/>
      <c r="H139" s="31"/>
      <c r="I139" s="31"/>
      <c r="J139" s="31"/>
      <c r="K139" s="31"/>
      <c r="L139" s="31"/>
      <c r="M139" s="31"/>
      <c r="N139" s="31"/>
      <c r="O139" s="88">
        <f t="shared" si="16"/>
        <v>0</v>
      </c>
      <c r="P139" s="5" t="str">
        <f>IF(ISNA(HLOOKUP($E$2,'Prior Year FS Balances'!$G$21:$AF$464,101,FALSE)),"",(HLOOKUP($E$2,'Prior Year FS Balances'!$G$21:$AF$464,101,FALSE)))</f>
        <v/>
      </c>
      <c r="Q139" s="5" t="str">
        <f t="shared" si="17"/>
        <v/>
      </c>
      <c r="R139" s="201" t="str">
        <f t="shared" si="18"/>
        <v/>
      </c>
      <c r="S139" s="572"/>
      <c r="T139" s="5"/>
      <c r="V139" s="5"/>
      <c r="Z139" s="5"/>
    </row>
    <row r="140" spans="1:26" ht="12">
      <c r="A140" s="17"/>
      <c r="B140" s="33" t="s">
        <v>544</v>
      </c>
      <c r="C140" s="17"/>
      <c r="D140" s="17"/>
      <c r="E140" s="17"/>
      <c r="F140" s="30" t="s">
        <v>860</v>
      </c>
      <c r="G140" s="1"/>
      <c r="H140" s="31"/>
      <c r="I140" s="31"/>
      <c r="J140" s="31"/>
      <c r="K140" s="31"/>
      <c r="L140" s="31"/>
      <c r="M140" s="31"/>
      <c r="N140" s="31"/>
      <c r="O140" s="88">
        <f t="shared" si="16"/>
        <v>0</v>
      </c>
      <c r="P140" s="5" t="str">
        <f>IF(ISNA(HLOOKUP($E$2,'Prior Year FS Balances'!$G$21:$AF$464,102,FALSE)),"",(HLOOKUP($E$2,'Prior Year FS Balances'!$G$21:$AF$464,102,FALSE)))</f>
        <v/>
      </c>
      <c r="Q140" s="5" t="str">
        <f t="shared" si="17"/>
        <v/>
      </c>
      <c r="R140" s="201" t="str">
        <f t="shared" si="18"/>
        <v/>
      </c>
      <c r="S140" s="572"/>
      <c r="T140" s="5"/>
      <c r="V140" s="5"/>
      <c r="Z140" s="5"/>
    </row>
    <row r="141" spans="1:26" ht="12">
      <c r="A141" s="17"/>
      <c r="B141" s="33" t="s">
        <v>651</v>
      </c>
      <c r="C141" s="17"/>
      <c r="D141" s="17"/>
      <c r="E141" s="17"/>
      <c r="F141" s="580"/>
      <c r="G141" s="1"/>
      <c r="H141" s="31"/>
      <c r="I141" s="31"/>
      <c r="J141" s="31"/>
      <c r="K141" s="31"/>
      <c r="L141" s="31"/>
      <c r="M141" s="31"/>
      <c r="N141" s="31"/>
      <c r="O141" s="88">
        <f t="shared" si="16"/>
        <v>0</v>
      </c>
      <c r="P141" s="5" t="str">
        <f>IF(ISNA(HLOOKUP($E$2,'Prior Year FS Balances'!$G$21:$AF$464,103,FALSE)),"",(HLOOKUP($E$2,'Prior Year FS Balances'!$G$21:$AF$464,103,FALSE)))</f>
        <v/>
      </c>
      <c r="Q141" s="5" t="str">
        <f t="shared" si="17"/>
        <v/>
      </c>
      <c r="R141" s="201" t="str">
        <f t="shared" si="18"/>
        <v/>
      </c>
      <c r="S141" s="572"/>
      <c r="T141" s="5"/>
      <c r="V141" s="5"/>
      <c r="Z141" s="5"/>
    </row>
    <row r="142" spans="1:26" ht="12">
      <c r="A142" s="17"/>
      <c r="B142" s="33" t="s">
        <v>645</v>
      </c>
      <c r="C142" s="17"/>
      <c r="D142" s="17"/>
      <c r="E142" s="17"/>
      <c r="F142" s="20"/>
      <c r="G142" s="1"/>
      <c r="H142" s="31"/>
      <c r="I142" s="31"/>
      <c r="J142" s="31"/>
      <c r="K142" s="31"/>
      <c r="L142" s="31"/>
      <c r="M142" s="31"/>
      <c r="N142" s="31"/>
      <c r="O142" s="88">
        <f t="shared" si="16"/>
        <v>0</v>
      </c>
      <c r="P142" s="5" t="str">
        <f>IF(ISNA(HLOOKUP($E$2,'Prior Year FS Balances'!$G$21:$AF$464,104,FALSE)),"",(HLOOKUP($E$2,'Prior Year FS Balances'!$G$21:$AF$464,104,FALSE)))</f>
        <v/>
      </c>
      <c r="Q142" s="5" t="str">
        <f t="shared" si="17"/>
        <v/>
      </c>
      <c r="R142" s="201" t="str">
        <f t="shared" si="18"/>
        <v/>
      </c>
      <c r="S142" s="572"/>
      <c r="T142" s="5"/>
      <c r="V142" s="5"/>
      <c r="Z142" s="5"/>
    </row>
    <row r="143" spans="1:26" ht="12">
      <c r="A143" s="17"/>
      <c r="B143" s="33" t="s">
        <v>2704</v>
      </c>
      <c r="C143" s="17"/>
      <c r="D143" s="17"/>
      <c r="E143" s="17"/>
      <c r="F143" s="20"/>
      <c r="G143" s="1"/>
      <c r="H143" s="31"/>
      <c r="I143" s="31"/>
      <c r="J143" s="31"/>
      <c r="K143" s="31"/>
      <c r="L143" s="31"/>
      <c r="M143" s="31"/>
      <c r="N143" s="31"/>
      <c r="O143" s="88">
        <f>SUM(G143:N143)</f>
        <v>0</v>
      </c>
      <c r="P143" s="5" t="str">
        <f>IF(ISNA(HLOOKUP($E$2,'Prior Year FS Balances'!$G$21:$AF$464,105,FALSE)),"",(HLOOKUP($E$2,'Prior Year FS Balances'!$G$21:$AF$464,105,FALSE)))</f>
        <v/>
      </c>
      <c r="Q143" s="5" t="str">
        <f>IF(ISERR(O143-P143),"",(O143-P143))</f>
        <v/>
      </c>
      <c r="R143" s="201" t="str">
        <f>IF($E$7="","",IF(AND(O143=0,P143=0),"",IF(ISERR(Q143/ABS(P143)),100%,Q143/ABS(P143))))</f>
        <v/>
      </c>
      <c r="S143" s="572"/>
      <c r="T143" s="5"/>
      <c r="V143" s="5"/>
      <c r="Z143" s="5"/>
    </row>
    <row r="144" spans="1:26" ht="12">
      <c r="A144" s="17"/>
      <c r="B144" s="33"/>
      <c r="C144" s="17"/>
      <c r="D144" s="17"/>
      <c r="E144" s="17"/>
      <c r="F144" s="20"/>
      <c r="G144" s="5"/>
      <c r="H144" s="5"/>
      <c r="I144" s="5"/>
      <c r="J144" s="5"/>
      <c r="K144" s="5"/>
      <c r="L144" s="5"/>
      <c r="M144" s="5"/>
      <c r="N144" s="5"/>
      <c r="O144" s="5"/>
      <c r="P144" s="5"/>
      <c r="Q144" s="5"/>
      <c r="R144" s="201"/>
      <c r="T144" s="5"/>
      <c r="V144" s="5"/>
      <c r="Z144" s="5"/>
    </row>
    <row r="145" spans="1:26" ht="12">
      <c r="A145" s="17"/>
      <c r="B145" s="17" t="s">
        <v>646</v>
      </c>
      <c r="C145" s="17"/>
      <c r="D145" s="17"/>
      <c r="E145" s="17"/>
      <c r="F145" s="20"/>
      <c r="G145" s="1"/>
      <c r="H145" s="31"/>
      <c r="I145" s="31"/>
      <c r="J145" s="31"/>
      <c r="K145" s="31"/>
      <c r="L145" s="31"/>
      <c r="M145" s="31"/>
      <c r="N145" s="31"/>
      <c r="O145" s="88">
        <f>SUM(G145:N145)</f>
        <v>0</v>
      </c>
      <c r="P145" s="5" t="str">
        <f>IF(ISNA(HLOOKUP($E$2,'Prior Year FS Balances'!$G$21:$AF$464,107,FALSE)),"",(HLOOKUP($E$2,'Prior Year FS Balances'!$G$21:$AF$464,107,FALSE)))</f>
        <v/>
      </c>
      <c r="Q145" s="5" t="str">
        <f>IF(ISERR(O145-P145),"",(O145-P145))</f>
        <v/>
      </c>
      <c r="R145" s="201" t="str">
        <f>IF($E$7="","",IF(AND(O145=0,P145=0),"",IF(ISERR(Q145/ABS(P145)),100%,Q145/ABS(P145))))</f>
        <v/>
      </c>
      <c r="S145" s="572"/>
      <c r="T145" s="5"/>
      <c r="V145" s="5"/>
      <c r="Z145" s="5"/>
    </row>
    <row r="146" spans="1:26" ht="12">
      <c r="A146" s="17"/>
      <c r="B146" s="17" t="s">
        <v>655</v>
      </c>
      <c r="C146" s="17"/>
      <c r="D146" s="17"/>
      <c r="E146" s="227" t="str">
        <f>IF(O146&gt;0,"Answer Required",IF(O146&lt;0,"Answer Required","N/A"))</f>
        <v>N/A</v>
      </c>
      <c r="F146" s="20"/>
      <c r="G146" s="1"/>
      <c r="H146" s="31"/>
      <c r="I146" s="31"/>
      <c r="J146" s="31"/>
      <c r="K146" s="31"/>
      <c r="L146" s="31"/>
      <c r="M146" s="31"/>
      <c r="N146" s="31"/>
      <c r="O146" s="88">
        <f>SUM(G146:N146)</f>
        <v>0</v>
      </c>
      <c r="P146" s="5" t="str">
        <f>IF(ISNA(HLOOKUP($E$2,'Prior Year FS Balances'!$G$21:$AF$464,108,FALSE)),"",(HLOOKUP($E$2,'Prior Year FS Balances'!$G$21:$AF$464,108,FALSE)))</f>
        <v/>
      </c>
      <c r="Q146" s="5" t="str">
        <f>IF(ISERR(O146-P146),"",(O146-P146))</f>
        <v/>
      </c>
      <c r="R146" s="201" t="str">
        <f>IF($E$7="","",IF(AND(O146=0,P146=0),"",IF(ISERR(Q146/ABS(P146)),100%,Q146/ABS(P146))))</f>
        <v/>
      </c>
      <c r="S146" s="572"/>
      <c r="T146" s="5"/>
      <c r="V146" s="5"/>
      <c r="Z146" s="5"/>
    </row>
    <row r="147" spans="1:26" ht="12">
      <c r="A147" s="17"/>
      <c r="B147" s="17" t="s">
        <v>649</v>
      </c>
      <c r="C147" s="17"/>
      <c r="D147" s="17"/>
      <c r="E147" s="17"/>
      <c r="F147" s="20"/>
      <c r="G147" s="1"/>
      <c r="H147" s="31"/>
      <c r="I147" s="31"/>
      <c r="J147" s="31"/>
      <c r="K147" s="31"/>
      <c r="L147" s="31"/>
      <c r="M147" s="31"/>
      <c r="N147" s="31"/>
      <c r="O147" s="88">
        <f>SUM(G147:N147)</f>
        <v>0</v>
      </c>
      <c r="P147" s="5" t="str">
        <f>IF(ISNA(HLOOKUP($E$2,'Prior Year FS Balances'!$G$21:$AF$464,109,FALSE)),"",(HLOOKUP($E$2,'Prior Year FS Balances'!$G$21:$AF$464,109,FALSE)))</f>
        <v/>
      </c>
      <c r="Q147" s="5" t="str">
        <f>IF(ISERR(O147-P147),"",(O147-P147))</f>
        <v/>
      </c>
      <c r="R147" s="201" t="str">
        <f>IF($E$7="","",IF(AND(O147=0,P147=0),"",IF(ISERR(Q147/ABS(P147)),100%,Q147/ABS(P147))))</f>
        <v/>
      </c>
      <c r="S147" s="572"/>
      <c r="T147" s="5"/>
      <c r="V147" s="5"/>
      <c r="Z147" s="5"/>
    </row>
    <row r="148" spans="1:26" ht="12">
      <c r="A148" s="17"/>
      <c r="B148" s="17"/>
      <c r="C148" s="33" t="s">
        <v>545</v>
      </c>
      <c r="D148" s="17"/>
      <c r="E148" s="17"/>
      <c r="F148" s="20"/>
      <c r="G148" s="34">
        <f>SUM(G145:G147)</f>
        <v>0</v>
      </c>
      <c r="H148" s="34">
        <f t="shared" ref="H148:Q148" si="19">SUM(H145:H147)</f>
        <v>0</v>
      </c>
      <c r="I148" s="34">
        <f t="shared" si="19"/>
        <v>0</v>
      </c>
      <c r="J148" s="34">
        <f t="shared" si="19"/>
        <v>0</v>
      </c>
      <c r="K148" s="34">
        <f t="shared" si="19"/>
        <v>0</v>
      </c>
      <c r="L148" s="34">
        <f t="shared" si="19"/>
        <v>0</v>
      </c>
      <c r="M148" s="34">
        <f t="shared" si="19"/>
        <v>0</v>
      </c>
      <c r="N148" s="34">
        <f t="shared" si="19"/>
        <v>0</v>
      </c>
      <c r="O148" s="34">
        <f t="shared" si="19"/>
        <v>0</v>
      </c>
      <c r="P148" s="34">
        <f t="shared" si="19"/>
        <v>0</v>
      </c>
      <c r="Q148" s="34">
        <f t="shared" si="19"/>
        <v>0</v>
      </c>
      <c r="R148" s="202" t="str">
        <f>IF(Q148=0,"0%",IF(ISERR(Q148/ABS(P148)),100%,Q148/ABS(P148)))</f>
        <v>0%</v>
      </c>
      <c r="T148" s="5"/>
      <c r="V148" s="5"/>
      <c r="Z148" s="5"/>
    </row>
    <row r="149" spans="1:26" ht="12">
      <c r="A149" s="17"/>
      <c r="B149" s="17"/>
      <c r="C149" s="33"/>
      <c r="D149" s="17"/>
      <c r="E149" s="17"/>
      <c r="F149" s="20"/>
      <c r="G149" s="5"/>
      <c r="H149" s="5"/>
      <c r="I149" s="5"/>
      <c r="J149" s="5"/>
      <c r="K149" s="5"/>
      <c r="L149" s="5"/>
      <c r="M149" s="5"/>
      <c r="N149" s="5"/>
      <c r="O149" s="5"/>
      <c r="P149" s="5"/>
      <c r="Q149" s="5"/>
      <c r="R149" s="201"/>
      <c r="T149" s="5"/>
      <c r="V149" s="5"/>
      <c r="Z149" s="5"/>
    </row>
    <row r="150" spans="1:26" ht="12" hidden="1">
      <c r="A150" s="17"/>
      <c r="B150" s="17" t="s">
        <v>650</v>
      </c>
      <c r="C150" s="33"/>
      <c r="D150" s="17"/>
      <c r="E150" s="17"/>
      <c r="F150" s="30"/>
      <c r="G150" s="31"/>
      <c r="H150" s="31"/>
      <c r="I150" s="31"/>
      <c r="J150" s="31"/>
      <c r="K150" s="31"/>
      <c r="L150" s="31"/>
      <c r="M150" s="31"/>
      <c r="N150" s="31"/>
      <c r="O150" s="88"/>
      <c r="P150" s="5">
        <v>0</v>
      </c>
      <c r="Q150" s="5">
        <f>O150-P150</f>
        <v>0</v>
      </c>
      <c r="R150" s="201" t="str">
        <f>IF(Q150=0,"0%",Q150/ABS(P150))</f>
        <v>0%</v>
      </c>
      <c r="S150" s="581"/>
      <c r="T150" s="5"/>
      <c r="V150" s="5"/>
      <c r="Z150" s="5"/>
    </row>
    <row r="151" spans="1:26" ht="12" hidden="1">
      <c r="A151" s="17"/>
      <c r="B151" s="17" t="s">
        <v>616</v>
      </c>
      <c r="C151" s="33"/>
      <c r="D151" s="17"/>
      <c r="E151" s="17"/>
      <c r="F151" s="30"/>
      <c r="G151" s="31"/>
      <c r="H151" s="31"/>
      <c r="I151" s="31"/>
      <c r="J151" s="31"/>
      <c r="K151" s="31"/>
      <c r="L151" s="31"/>
      <c r="M151" s="31"/>
      <c r="N151" s="31"/>
      <c r="O151" s="88"/>
      <c r="P151" s="5">
        <v>0</v>
      </c>
      <c r="Q151" s="5">
        <f>O151-P151</f>
        <v>0</v>
      </c>
      <c r="R151" s="201" t="str">
        <f>IF(Q151=0,"0%",Q151/ABS(P151))</f>
        <v>0%</v>
      </c>
      <c r="S151" s="581"/>
      <c r="T151" s="5"/>
      <c r="V151" s="5"/>
      <c r="Z151" s="5"/>
    </row>
    <row r="152" spans="1:26" ht="12">
      <c r="A152" s="17"/>
      <c r="B152" s="17" t="s">
        <v>647</v>
      </c>
      <c r="C152" s="33"/>
      <c r="D152" s="17"/>
      <c r="E152" s="17"/>
      <c r="F152" s="30" t="s">
        <v>665</v>
      </c>
      <c r="G152" s="1"/>
      <c r="H152" s="31"/>
      <c r="I152" s="31"/>
      <c r="J152" s="31"/>
      <c r="K152" s="31"/>
      <c r="L152" s="31"/>
      <c r="M152" s="31"/>
      <c r="N152" s="31"/>
      <c r="O152" s="88">
        <f t="shared" ref="O152:O158" si="20">SUM(G152:N152)</f>
        <v>0</v>
      </c>
      <c r="P152" s="5" t="str">
        <f>IF(ISNA(HLOOKUP($E$2,'Prior Year FS Balances'!$G$21:$AF$464,114,FALSE)),"",(HLOOKUP($E$2,'Prior Year FS Balances'!$G$21:$AF$464,114,FALSE)))</f>
        <v/>
      </c>
      <c r="Q152" s="5" t="str">
        <f t="shared" ref="Q152:Q158" si="21">IF(ISERR(O152-P152),"",(O152-P152))</f>
        <v/>
      </c>
      <c r="R152" s="201" t="str">
        <f t="shared" ref="R152:R158" si="22">IF($E$7="","",IF(AND(O152=0,P152=0),"",IF(ISERR(Q152/ABS(P152)),100%,Q152/ABS(P152))))</f>
        <v/>
      </c>
      <c r="S152" s="572"/>
      <c r="T152" s="5"/>
      <c r="V152" s="5"/>
      <c r="Z152" s="5"/>
    </row>
    <row r="153" spans="1:26" ht="12">
      <c r="A153" s="17"/>
      <c r="B153" s="17" t="s">
        <v>3219</v>
      </c>
      <c r="C153" s="33"/>
      <c r="D153" s="17"/>
      <c r="E153" s="17"/>
      <c r="F153" s="30" t="s">
        <v>861</v>
      </c>
      <c r="G153" s="1"/>
      <c r="H153" s="31"/>
      <c r="I153" s="31"/>
      <c r="J153" s="31"/>
      <c r="K153" s="31"/>
      <c r="L153" s="31"/>
      <c r="M153" s="31"/>
      <c r="N153" s="31"/>
      <c r="O153" s="88">
        <f t="shared" si="20"/>
        <v>0</v>
      </c>
      <c r="P153" s="5" t="str">
        <f>IF(ISNA(HLOOKUP($E$2,'Prior Year FS Balances'!$G$21:$AF$464,115,FALSE)),"",(HLOOKUP($E$2,'Prior Year FS Balances'!$G$21:$AF$464,115,FALSE)))</f>
        <v/>
      </c>
      <c r="Q153" s="5" t="str">
        <f t="shared" si="21"/>
        <v/>
      </c>
      <c r="R153" s="201" t="str">
        <f t="shared" si="22"/>
        <v/>
      </c>
      <c r="S153" s="572"/>
      <c r="T153" s="5"/>
      <c r="V153" s="5"/>
      <c r="Z153" s="5"/>
    </row>
    <row r="154" spans="1:26" ht="12">
      <c r="A154" s="17"/>
      <c r="B154" s="17" t="s">
        <v>277</v>
      </c>
      <c r="C154" s="33"/>
      <c r="D154" s="17"/>
      <c r="E154" s="17"/>
      <c r="F154" s="30" t="s">
        <v>862</v>
      </c>
      <c r="G154" s="1"/>
      <c r="H154" s="31"/>
      <c r="I154" s="31"/>
      <c r="J154" s="31"/>
      <c r="K154" s="31"/>
      <c r="L154" s="31"/>
      <c r="M154" s="31"/>
      <c r="N154" s="31"/>
      <c r="O154" s="88">
        <f t="shared" si="20"/>
        <v>0</v>
      </c>
      <c r="P154" s="5" t="str">
        <f>IF(ISNA(HLOOKUP($E$2,'Prior Year FS Balances'!$G$21:$AF$464,116,FALSE)),"",(HLOOKUP($E$2,'Prior Year FS Balances'!$G$21:$AF$464,116,FALSE)))</f>
        <v/>
      </c>
      <c r="Q154" s="5" t="str">
        <f t="shared" si="21"/>
        <v/>
      </c>
      <c r="R154" s="201" t="str">
        <f t="shared" si="22"/>
        <v/>
      </c>
      <c r="S154" s="572"/>
      <c r="T154" s="5"/>
      <c r="V154" s="5"/>
      <c r="Z154" s="5"/>
    </row>
    <row r="155" spans="1:26" ht="12">
      <c r="A155" s="17"/>
      <c r="B155" s="17" t="s">
        <v>3220</v>
      </c>
      <c r="C155" s="33"/>
      <c r="D155" s="17"/>
      <c r="E155" s="17"/>
      <c r="F155" s="30" t="s">
        <v>863</v>
      </c>
      <c r="G155" s="1"/>
      <c r="H155" s="31"/>
      <c r="I155" s="31"/>
      <c r="J155" s="31"/>
      <c r="K155" s="31"/>
      <c r="L155" s="31"/>
      <c r="M155" s="31"/>
      <c r="N155" s="31"/>
      <c r="O155" s="88">
        <f t="shared" si="20"/>
        <v>0</v>
      </c>
      <c r="P155" s="5" t="str">
        <f>IF(ISNA(HLOOKUP($E$2,'Prior Year FS Balances'!$G$21:$AF$464,117,FALSE)),"",(HLOOKUP($E$2,'Prior Year FS Balances'!$G$21:$AF$464,117,FALSE)))</f>
        <v/>
      </c>
      <c r="Q155" s="5" t="str">
        <f t="shared" ref="Q155" si="23">IF(ISERR(O155-P155),"",(O155-P155))</f>
        <v/>
      </c>
      <c r="R155" s="201" t="str">
        <f t="shared" si="22"/>
        <v/>
      </c>
      <c r="S155" s="572"/>
      <c r="T155" s="5"/>
      <c r="V155" s="5"/>
      <c r="Z155" s="5"/>
    </row>
    <row r="156" spans="1:26" ht="12">
      <c r="A156" s="17"/>
      <c r="B156" s="17" t="s">
        <v>3286</v>
      </c>
      <c r="C156" s="33"/>
      <c r="D156" s="17"/>
      <c r="E156" s="17"/>
      <c r="F156" s="30" t="s">
        <v>3231</v>
      </c>
      <c r="G156" s="1"/>
      <c r="H156" s="31"/>
      <c r="I156" s="31"/>
      <c r="J156" s="31"/>
      <c r="K156" s="31"/>
      <c r="L156" s="31"/>
      <c r="M156" s="31"/>
      <c r="N156" s="31"/>
      <c r="O156" s="88">
        <f t="shared" ref="O156" si="24">SUM(G156:N156)</f>
        <v>0</v>
      </c>
      <c r="P156" s="5" t="str">
        <f>IF(ISNA(HLOOKUP($E$2,'Prior Year FS Balances'!$G$21:$AF$464,118,FALSE)),"",(HLOOKUP($E$2,'Prior Year FS Balances'!$G$21:$AF$464,118,FALSE)))</f>
        <v/>
      </c>
      <c r="Q156" s="5" t="str">
        <f t="shared" ref="Q156" si="25">IF(ISERR(O156-P156),"",(O156-P156))</f>
        <v/>
      </c>
      <c r="R156" s="201" t="str">
        <f t="shared" ref="R156" si="26">IF($E$7="","",IF(AND(O156=0,P156=0),"",IF(ISERR(Q156/ABS(P156)),100%,Q156/ABS(P156))))</f>
        <v/>
      </c>
      <c r="S156" s="572"/>
      <c r="T156" s="5"/>
      <c r="V156" s="5"/>
      <c r="Z156" s="5"/>
    </row>
    <row r="157" spans="1:26" ht="12">
      <c r="A157" s="17"/>
      <c r="B157" s="17" t="s">
        <v>278</v>
      </c>
      <c r="C157" s="33"/>
      <c r="D157" s="17"/>
      <c r="E157" s="17"/>
      <c r="F157" s="30" t="s">
        <v>3437</v>
      </c>
      <c r="G157" s="1"/>
      <c r="H157" s="31"/>
      <c r="I157" s="31"/>
      <c r="J157" s="31"/>
      <c r="K157" s="31"/>
      <c r="L157" s="31"/>
      <c r="M157" s="31"/>
      <c r="N157" s="31"/>
      <c r="O157" s="88">
        <f t="shared" si="20"/>
        <v>0</v>
      </c>
      <c r="P157" s="5" t="str">
        <f>IF(ISNA(HLOOKUP($E$2,'Prior Year FS Balances'!$G$21:$AF$464,119,FALSE)),"",(HLOOKUP($E$2,'Prior Year FS Balances'!$G$21:$AF$464,119,FALSE)))</f>
        <v/>
      </c>
      <c r="Q157" s="5" t="str">
        <f t="shared" si="21"/>
        <v/>
      </c>
      <c r="R157" s="201" t="str">
        <f t="shared" si="22"/>
        <v/>
      </c>
      <c r="S157" s="572"/>
      <c r="T157" s="5"/>
      <c r="V157" s="5"/>
      <c r="Z157" s="5"/>
    </row>
    <row r="158" spans="1:26" ht="12">
      <c r="A158" s="17"/>
      <c r="B158" s="17" t="s">
        <v>654</v>
      </c>
      <c r="C158" s="33"/>
      <c r="D158" s="17"/>
      <c r="E158" s="227" t="str">
        <f>IF(O158&gt;0,"Answer Required",IF(O158&lt;0,"Answer Required","N/A"))</f>
        <v>N/A</v>
      </c>
      <c r="F158" s="30" t="s">
        <v>665</v>
      </c>
      <c r="G158" s="1"/>
      <c r="H158" s="31"/>
      <c r="I158" s="31"/>
      <c r="J158" s="31"/>
      <c r="K158" s="31"/>
      <c r="L158" s="31"/>
      <c r="M158" s="31"/>
      <c r="N158" s="31"/>
      <c r="O158" s="88">
        <f t="shared" si="20"/>
        <v>0</v>
      </c>
      <c r="P158" s="5" t="str">
        <f>IF(ISNA(HLOOKUP($E$2,'Prior Year FS Balances'!$G$21:$AF$464,120,FALSE)),"",(HLOOKUP($E$2,'Prior Year FS Balances'!$G$21:$AF$464,120,FALSE)))</f>
        <v/>
      </c>
      <c r="Q158" s="5" t="str">
        <f t="shared" si="21"/>
        <v/>
      </c>
      <c r="R158" s="201" t="str">
        <f t="shared" si="22"/>
        <v/>
      </c>
      <c r="S158" s="572"/>
      <c r="T158" s="5"/>
      <c r="V158" s="5"/>
      <c r="Z158" s="5"/>
    </row>
    <row r="159" spans="1:26" ht="12">
      <c r="A159" s="17"/>
      <c r="B159" s="17"/>
      <c r="C159" s="33" t="s">
        <v>81</v>
      </c>
      <c r="D159" s="17"/>
      <c r="E159" s="17"/>
      <c r="F159" s="20"/>
      <c r="G159" s="34">
        <f t="shared" ref="G159:Q159" si="27">SUM(G150:G158)</f>
        <v>0</v>
      </c>
      <c r="H159" s="34">
        <f t="shared" si="27"/>
        <v>0</v>
      </c>
      <c r="I159" s="34">
        <f t="shared" si="27"/>
        <v>0</v>
      </c>
      <c r="J159" s="34">
        <f>SUM(J150:J158)</f>
        <v>0</v>
      </c>
      <c r="K159" s="34">
        <f t="shared" si="27"/>
        <v>0</v>
      </c>
      <c r="L159" s="34">
        <f t="shared" si="27"/>
        <v>0</v>
      </c>
      <c r="M159" s="34">
        <f t="shared" si="27"/>
        <v>0</v>
      </c>
      <c r="N159" s="34">
        <f t="shared" si="27"/>
        <v>0</v>
      </c>
      <c r="O159" s="34">
        <f t="shared" si="27"/>
        <v>0</v>
      </c>
      <c r="P159" s="34">
        <f t="shared" si="27"/>
        <v>0</v>
      </c>
      <c r="Q159" s="34">
        <f t="shared" si="27"/>
        <v>0</v>
      </c>
      <c r="R159" s="202" t="str">
        <f>IF(Q159=0,"0%",IF(ISERR(Q159/ABS(P159)),100%,Q159/ABS(P159)))</f>
        <v>0%</v>
      </c>
      <c r="T159" s="5"/>
      <c r="V159" s="5"/>
      <c r="Z159" s="5"/>
    </row>
    <row r="160" spans="1:26" ht="12">
      <c r="A160" s="17"/>
      <c r="B160" s="17"/>
      <c r="C160" s="17"/>
      <c r="D160" s="17"/>
      <c r="E160" s="17"/>
      <c r="F160" s="20"/>
      <c r="G160" s="5"/>
      <c r="H160" s="5"/>
      <c r="I160" s="5"/>
      <c r="J160" s="5"/>
      <c r="K160" s="5"/>
      <c r="L160" s="5"/>
      <c r="M160" s="5"/>
      <c r="N160" s="5"/>
      <c r="O160" s="5"/>
      <c r="P160" s="5"/>
      <c r="Q160" s="5"/>
      <c r="R160" s="201"/>
      <c r="T160" s="5"/>
      <c r="V160" s="5"/>
      <c r="Z160" s="5"/>
    </row>
    <row r="161" spans="1:26" ht="12">
      <c r="A161" s="17"/>
      <c r="B161" s="17"/>
      <c r="C161" s="17"/>
      <c r="D161" s="33" t="s">
        <v>279</v>
      </c>
      <c r="E161" s="17"/>
      <c r="F161" s="20"/>
      <c r="G161" s="34">
        <f t="shared" ref="G161:Q161" si="28">SUM(G131,G135,G137:G143,G148,G159)</f>
        <v>0</v>
      </c>
      <c r="H161" s="34">
        <f t="shared" si="28"/>
        <v>0</v>
      </c>
      <c r="I161" s="34">
        <f t="shared" si="28"/>
        <v>0</v>
      </c>
      <c r="J161" s="34">
        <f t="shared" si="28"/>
        <v>0</v>
      </c>
      <c r="K161" s="34">
        <f t="shared" si="28"/>
        <v>0</v>
      </c>
      <c r="L161" s="34">
        <f t="shared" si="28"/>
        <v>0</v>
      </c>
      <c r="M161" s="34">
        <f t="shared" si="28"/>
        <v>0</v>
      </c>
      <c r="N161" s="34">
        <f t="shared" si="28"/>
        <v>0</v>
      </c>
      <c r="O161" s="34">
        <f t="shared" si="28"/>
        <v>0</v>
      </c>
      <c r="P161" s="34">
        <f t="shared" si="28"/>
        <v>0</v>
      </c>
      <c r="Q161" s="34">
        <f t="shared" si="28"/>
        <v>0</v>
      </c>
      <c r="R161" s="202" t="str">
        <f>IF(Q161=0,"0%",IF(ISERR(Q161/ABS(P161)),100%,Q161/ABS(P161)))</f>
        <v>0%</v>
      </c>
      <c r="T161" s="5"/>
      <c r="V161" s="5"/>
      <c r="Z161" s="5"/>
    </row>
    <row r="162" spans="1:26" ht="12">
      <c r="A162" s="17"/>
      <c r="B162" s="17"/>
      <c r="C162" s="17"/>
      <c r="D162" s="17"/>
      <c r="E162" s="17"/>
      <c r="F162" s="20"/>
      <c r="G162" s="5"/>
      <c r="H162" s="5"/>
      <c r="I162" s="5"/>
      <c r="J162" s="5"/>
      <c r="K162" s="5"/>
      <c r="L162" s="5"/>
      <c r="M162" s="5"/>
      <c r="N162" s="5"/>
      <c r="O162" s="5"/>
      <c r="P162" s="5"/>
      <c r="Q162" s="5"/>
      <c r="R162" s="201"/>
      <c r="T162" s="5"/>
      <c r="V162" s="5"/>
      <c r="Z162" s="5"/>
    </row>
    <row r="163" spans="1:26" ht="12">
      <c r="A163" s="17" t="s">
        <v>560</v>
      </c>
      <c r="B163" s="17"/>
      <c r="C163" s="17"/>
      <c r="D163" s="17"/>
      <c r="E163" s="17"/>
      <c r="F163" s="20"/>
      <c r="G163" s="5"/>
      <c r="H163" s="5"/>
      <c r="I163" s="5"/>
      <c r="J163" s="5"/>
      <c r="K163" s="5"/>
      <c r="L163" s="5"/>
      <c r="M163" s="5"/>
      <c r="N163" s="5"/>
      <c r="O163" s="5"/>
      <c r="P163" s="5"/>
      <c r="Q163" s="5"/>
      <c r="R163" s="201"/>
      <c r="T163" s="5"/>
      <c r="V163" s="5"/>
      <c r="Z163" s="5"/>
    </row>
    <row r="164" spans="1:26" ht="12">
      <c r="A164" s="17"/>
      <c r="B164" s="33" t="s">
        <v>644</v>
      </c>
      <c r="C164" s="17"/>
      <c r="D164" s="17"/>
      <c r="E164" s="17"/>
      <c r="F164" s="20"/>
      <c r="G164" s="1"/>
      <c r="H164" s="31"/>
      <c r="I164" s="31"/>
      <c r="J164" s="31"/>
      <c r="K164" s="31"/>
      <c r="L164" s="31"/>
      <c r="M164" s="31"/>
      <c r="N164" s="31"/>
      <c r="O164" s="88">
        <f>SUM(G164:N164)</f>
        <v>0</v>
      </c>
      <c r="P164" s="5" t="str">
        <f>IF(ISNA(HLOOKUP($E$2,'Prior Year FS Balances'!$G$21:$AF$464,126,FALSE)),"",(HLOOKUP($E$2,'Prior Year FS Balances'!$G$21:$AF$464,126,FALSE)))</f>
        <v/>
      </c>
      <c r="Q164" s="5" t="str">
        <f t="shared" ref="Q164:Q171" si="29">IF(ISERR(O164-P164),"",(O164-P164))</f>
        <v/>
      </c>
      <c r="R164" s="201" t="str">
        <f t="shared" ref="R164:R171" si="30">IF($E$7="","",IF(AND(O164=0,P164=0),"",IF(ISERR(Q164/ABS(P164)),100%,Q164/ABS(P164))))</f>
        <v/>
      </c>
      <c r="S164" s="572"/>
      <c r="T164" s="5"/>
      <c r="V164" s="5"/>
      <c r="Z164" s="5"/>
    </row>
    <row r="165" spans="1:26">
      <c r="A165" s="17"/>
      <c r="B165" s="33" t="s">
        <v>651</v>
      </c>
      <c r="C165" s="17"/>
      <c r="D165" s="17"/>
      <c r="E165" s="17"/>
      <c r="F165" s="580"/>
      <c r="G165" s="1"/>
      <c r="H165" s="31"/>
      <c r="I165" s="31"/>
      <c r="J165" s="31"/>
      <c r="K165" s="31"/>
      <c r="L165" s="31"/>
      <c r="M165" s="31"/>
      <c r="N165" s="31"/>
      <c r="O165" s="88">
        <f>SUM(G165:N165)</f>
        <v>0</v>
      </c>
      <c r="P165" s="5" t="str">
        <f>IF(ISNA(HLOOKUP($E$2,'Prior Year FS Balances'!$G$21:$AF$464,127,FALSE)),"",(HLOOKUP($E$2,'Prior Year FS Balances'!$G$21:$AF$464,127,FALSE)))</f>
        <v/>
      </c>
      <c r="Q165" s="5" t="str">
        <f t="shared" si="29"/>
        <v/>
      </c>
      <c r="R165" s="201" t="str">
        <f t="shared" si="30"/>
        <v/>
      </c>
      <c r="S165" s="572"/>
      <c r="T165" s="11"/>
      <c r="V165" s="11"/>
      <c r="Z165" s="11"/>
    </row>
    <row r="166" spans="1:26" ht="12">
      <c r="A166" s="17"/>
      <c r="B166" s="33" t="s">
        <v>643</v>
      </c>
      <c r="C166" s="17"/>
      <c r="D166" s="17"/>
      <c r="E166" s="17"/>
      <c r="F166" s="30" t="s">
        <v>859</v>
      </c>
      <c r="G166" s="1"/>
      <c r="H166" s="31"/>
      <c r="I166" s="31"/>
      <c r="J166" s="31"/>
      <c r="K166" s="31"/>
      <c r="L166" s="31"/>
      <c r="M166" s="31"/>
      <c r="N166" s="31"/>
      <c r="O166" s="88">
        <f>SUM(G166:N166)</f>
        <v>0</v>
      </c>
      <c r="P166" s="5" t="str">
        <f>IF(ISNA(HLOOKUP($E$2,'Prior Year FS Balances'!$G$21:$AF$464,128,FALSE)),"",(HLOOKUP($E$2,'Prior Year FS Balances'!$G$21:$AF$464,128,FALSE)))</f>
        <v/>
      </c>
      <c r="Q166" s="5" t="str">
        <f t="shared" si="29"/>
        <v/>
      </c>
      <c r="R166" s="201" t="str">
        <f t="shared" si="30"/>
        <v/>
      </c>
      <c r="S166" s="572"/>
      <c r="T166" s="5"/>
      <c r="V166" s="5"/>
      <c r="Z166" s="5"/>
    </row>
    <row r="167" spans="1:26" ht="12">
      <c r="A167" s="17"/>
      <c r="B167" s="33" t="s">
        <v>2704</v>
      </c>
      <c r="C167" s="17"/>
      <c r="D167" s="17"/>
      <c r="E167" s="17"/>
      <c r="F167" s="20"/>
      <c r="G167" s="1"/>
      <c r="H167" s="31"/>
      <c r="I167" s="31"/>
      <c r="J167" s="31"/>
      <c r="K167" s="31"/>
      <c r="L167" s="31"/>
      <c r="M167" s="31"/>
      <c r="N167" s="31"/>
      <c r="O167" s="88">
        <f>SUM(G167:N167)</f>
        <v>0</v>
      </c>
      <c r="P167" s="5" t="str">
        <f>IF(ISNA(HLOOKUP($E$2,'Prior Year FS Balances'!$G$21:$AF$464,129,FALSE)),"",(HLOOKUP($E$2,'Prior Year FS Balances'!$G$21:$AF$464,129,FALSE)))</f>
        <v/>
      </c>
      <c r="Q167" s="5" t="str">
        <f>IF(ISERR(O167-P167),"",(O167-P167))</f>
        <v/>
      </c>
      <c r="R167" s="201" t="str">
        <f>IF($E$7="","",IF(AND(O167=0,P167=0),"",IF(ISERR(Q167/ABS(P167)),100%,Q167/ABS(P167))))</f>
        <v/>
      </c>
      <c r="S167" s="572"/>
      <c r="T167" s="5"/>
      <c r="V167" s="5"/>
      <c r="Z167" s="5"/>
    </row>
    <row r="168" spans="1:26" ht="12">
      <c r="A168" s="17"/>
      <c r="B168" s="33"/>
      <c r="C168" s="17"/>
      <c r="D168" s="17"/>
      <c r="E168" s="17"/>
      <c r="F168" s="30"/>
      <c r="G168" s="5"/>
      <c r="H168" s="5"/>
      <c r="I168" s="5"/>
      <c r="J168" s="5"/>
      <c r="K168" s="5"/>
      <c r="L168" s="5"/>
      <c r="M168" s="5"/>
      <c r="N168" s="5"/>
      <c r="O168" s="5"/>
      <c r="P168" s="5"/>
      <c r="Q168" s="5"/>
      <c r="R168" s="201" t="str">
        <f t="shared" si="30"/>
        <v/>
      </c>
      <c r="S168" s="576"/>
      <c r="T168" s="5"/>
      <c r="V168" s="5"/>
      <c r="Z168" s="5"/>
    </row>
    <row r="169" spans="1:26" ht="12">
      <c r="A169" s="17"/>
      <c r="B169" s="17" t="s">
        <v>646</v>
      </c>
      <c r="C169" s="17"/>
      <c r="D169" s="17"/>
      <c r="E169" s="17"/>
      <c r="F169" s="20"/>
      <c r="G169" s="1"/>
      <c r="H169" s="31"/>
      <c r="I169" s="31"/>
      <c r="J169" s="31"/>
      <c r="K169" s="31"/>
      <c r="L169" s="31"/>
      <c r="M169" s="31"/>
      <c r="N169" s="31"/>
      <c r="O169" s="88">
        <f>SUM(G169:N169)</f>
        <v>0</v>
      </c>
      <c r="P169" s="5" t="str">
        <f>IF(ISNA(HLOOKUP($E$2,'Prior Year FS Balances'!$G$21:$AF$464,131,FALSE)),"",(HLOOKUP($E$2,'Prior Year FS Balances'!$G$21:$AF$464,131,FALSE)))</f>
        <v/>
      </c>
      <c r="Q169" s="5" t="str">
        <f t="shared" si="29"/>
        <v/>
      </c>
      <c r="R169" s="201" t="str">
        <f t="shared" si="30"/>
        <v/>
      </c>
      <c r="S169" s="572"/>
      <c r="T169" s="5"/>
      <c r="V169" s="5"/>
      <c r="Z169" s="5"/>
    </row>
    <row r="170" spans="1:26" ht="12">
      <c r="A170" s="17"/>
      <c r="B170" s="17" t="s">
        <v>655</v>
      </c>
      <c r="C170" s="17"/>
      <c r="D170" s="17"/>
      <c r="E170" s="227" t="str">
        <f>IF(O170&gt;0,"Answer Required",IF(O170&lt;0,"Answer Required","N/A"))</f>
        <v>N/A</v>
      </c>
      <c r="F170" s="20"/>
      <c r="G170" s="1"/>
      <c r="H170" s="31"/>
      <c r="I170" s="31"/>
      <c r="J170" s="31"/>
      <c r="K170" s="31"/>
      <c r="L170" s="31"/>
      <c r="M170" s="31"/>
      <c r="N170" s="31"/>
      <c r="O170" s="88">
        <f>SUM(G170:N170)</f>
        <v>0</v>
      </c>
      <c r="P170" s="5" t="str">
        <f>IF(ISNA(HLOOKUP($E$2,'Prior Year FS Balances'!$G$21:$AF$464,132,FALSE)),"",(HLOOKUP($E$2,'Prior Year FS Balances'!$G$21:$AF$464,132,FALSE)))</f>
        <v/>
      </c>
      <c r="Q170" s="5" t="str">
        <f t="shared" si="29"/>
        <v/>
      </c>
      <c r="R170" s="201" t="str">
        <f t="shared" si="30"/>
        <v/>
      </c>
      <c r="S170" s="572"/>
      <c r="T170" s="5"/>
      <c r="V170" s="5"/>
      <c r="Z170" s="5"/>
    </row>
    <row r="171" spans="1:26" ht="12">
      <c r="A171" s="17"/>
      <c r="B171" s="17" t="s">
        <v>649</v>
      </c>
      <c r="C171" s="17"/>
      <c r="D171" s="17"/>
      <c r="E171" s="17"/>
      <c r="F171" s="20"/>
      <c r="G171" s="1"/>
      <c r="H171" s="31"/>
      <c r="I171" s="31"/>
      <c r="J171" s="31"/>
      <c r="K171" s="31"/>
      <c r="L171" s="31"/>
      <c r="M171" s="31"/>
      <c r="N171" s="31"/>
      <c r="O171" s="88">
        <f>SUM(G171:N171)</f>
        <v>0</v>
      </c>
      <c r="P171" s="5" t="str">
        <f>IF(ISNA(HLOOKUP($E$2,'Prior Year FS Balances'!$G$21:$AF$464,133,FALSE)),"",(HLOOKUP($E$2,'Prior Year FS Balances'!$G$21:$AF$464,133,FALSE)))</f>
        <v/>
      </c>
      <c r="Q171" s="5" t="str">
        <f t="shared" si="29"/>
        <v/>
      </c>
      <c r="R171" s="201" t="str">
        <f t="shared" si="30"/>
        <v/>
      </c>
      <c r="S171" s="572"/>
      <c r="T171" s="5"/>
      <c r="V171" s="5"/>
      <c r="Z171" s="5"/>
    </row>
    <row r="172" spans="1:26" ht="12">
      <c r="A172" s="17"/>
      <c r="B172" s="17"/>
      <c r="C172" s="33" t="s">
        <v>3803</v>
      </c>
      <c r="D172" s="17"/>
      <c r="E172" s="17"/>
      <c r="F172" s="20"/>
      <c r="G172" s="34">
        <f>SUM(G169:G171)</f>
        <v>0</v>
      </c>
      <c r="H172" s="34">
        <f t="shared" ref="H172:Q172" si="31">SUM(H169:H171)</f>
        <v>0</v>
      </c>
      <c r="I172" s="34">
        <f t="shared" si="31"/>
        <v>0</v>
      </c>
      <c r="J172" s="34">
        <f t="shared" si="31"/>
        <v>0</v>
      </c>
      <c r="K172" s="34">
        <f t="shared" si="31"/>
        <v>0</v>
      </c>
      <c r="L172" s="34">
        <f t="shared" si="31"/>
        <v>0</v>
      </c>
      <c r="M172" s="34">
        <f t="shared" si="31"/>
        <v>0</v>
      </c>
      <c r="N172" s="34">
        <f t="shared" si="31"/>
        <v>0</v>
      </c>
      <c r="O172" s="34">
        <f t="shared" si="31"/>
        <v>0</v>
      </c>
      <c r="P172" s="34">
        <f t="shared" si="31"/>
        <v>0</v>
      </c>
      <c r="Q172" s="34">
        <f t="shared" si="31"/>
        <v>0</v>
      </c>
      <c r="R172" s="202" t="str">
        <f>IF(Q172=0,"0%",IF(ISERR(Q172/ABS(P172)),100%,Q172/ABS(P172)))</f>
        <v>0%</v>
      </c>
      <c r="T172" s="5"/>
      <c r="V172" s="5"/>
      <c r="Z172" s="5"/>
    </row>
    <row r="173" spans="1:26">
      <c r="A173" s="33"/>
      <c r="B173" s="17"/>
      <c r="C173" s="17"/>
      <c r="D173" s="17"/>
      <c r="E173" s="17"/>
      <c r="F173" s="20"/>
      <c r="G173" s="74"/>
      <c r="H173" s="74"/>
      <c r="I173" s="74"/>
      <c r="J173" s="74"/>
      <c r="K173" s="74"/>
      <c r="L173" s="74"/>
      <c r="M173" s="74"/>
      <c r="N173" s="74"/>
      <c r="O173" s="74"/>
      <c r="P173" s="5"/>
      <c r="Q173" s="5"/>
      <c r="R173" s="201"/>
      <c r="T173" s="5"/>
      <c r="V173" s="5"/>
      <c r="Z173" s="5"/>
    </row>
    <row r="174" spans="1:26" ht="12" hidden="1">
      <c r="A174" s="17"/>
      <c r="B174" s="17" t="s">
        <v>650</v>
      </c>
      <c r="C174" s="17"/>
      <c r="D174" s="17"/>
      <c r="E174" s="17"/>
      <c r="F174" s="30" t="s">
        <v>665</v>
      </c>
      <c r="G174" s="31"/>
      <c r="H174" s="31"/>
      <c r="I174" s="31"/>
      <c r="J174" s="31"/>
      <c r="K174" s="31"/>
      <c r="L174" s="31"/>
      <c r="M174" s="31"/>
      <c r="N174" s="31"/>
      <c r="O174" s="88"/>
      <c r="P174" s="5">
        <v>0</v>
      </c>
      <c r="Q174" s="5">
        <f>O174-P174</f>
        <v>0</v>
      </c>
      <c r="R174" s="201" t="str">
        <f>IF(Q174=0,"0%",Q174/ABS(P174))</f>
        <v>0%</v>
      </c>
      <c r="S174" s="581"/>
      <c r="T174" s="5"/>
      <c r="V174" s="5"/>
      <c r="Z174" s="5"/>
    </row>
    <row r="175" spans="1:26" ht="12" hidden="1">
      <c r="A175" s="17"/>
      <c r="B175" s="17" t="s">
        <v>616</v>
      </c>
      <c r="C175" s="17"/>
      <c r="D175" s="17"/>
      <c r="E175" s="17"/>
      <c r="F175" s="30" t="s">
        <v>665</v>
      </c>
      <c r="G175" s="31"/>
      <c r="H175" s="31"/>
      <c r="I175" s="31"/>
      <c r="J175" s="31"/>
      <c r="K175" s="31"/>
      <c r="L175" s="31"/>
      <c r="M175" s="31"/>
      <c r="N175" s="31"/>
      <c r="O175" s="88"/>
      <c r="P175" s="5">
        <v>0</v>
      </c>
      <c r="Q175" s="5">
        <f>O175-P175</f>
        <v>0</v>
      </c>
      <c r="R175" s="201" t="str">
        <f>IF(Q175=0,"0%",Q175/ABS(P175))</f>
        <v>0%</v>
      </c>
      <c r="S175" s="581"/>
      <c r="T175" s="5"/>
      <c r="V175" s="5"/>
      <c r="Z175" s="5"/>
    </row>
    <row r="176" spans="1:26" ht="12">
      <c r="A176" s="17"/>
      <c r="B176" s="17" t="s">
        <v>647</v>
      </c>
      <c r="C176" s="17"/>
      <c r="D176" s="17"/>
      <c r="E176" s="17"/>
      <c r="F176" s="30" t="s">
        <v>665</v>
      </c>
      <c r="G176" s="1"/>
      <c r="H176" s="31"/>
      <c r="I176" s="31"/>
      <c r="J176" s="31"/>
      <c r="K176" s="31"/>
      <c r="L176" s="31"/>
      <c r="M176" s="31"/>
      <c r="N176" s="31"/>
      <c r="O176" s="88">
        <f t="shared" ref="O176:O182" si="32">SUM(G176:N176)</f>
        <v>0</v>
      </c>
      <c r="P176" s="5" t="str">
        <f>IF(ISNA(HLOOKUP($E$2,'Prior Year FS Balances'!$G$21:$AF$464,138,FALSE)),"",(HLOOKUP($E$2,'Prior Year FS Balances'!$G$21:$AF$464,138,FALSE)))</f>
        <v/>
      </c>
      <c r="Q176" s="5" t="str">
        <f t="shared" ref="Q176:Q184" si="33">IF(ISERR(O176-P176),"",(O176-P176))</f>
        <v/>
      </c>
      <c r="R176" s="201" t="str">
        <f t="shared" ref="R176:R184" si="34">IF($E$7="","",IF(AND(O176=0,P176=0),"",IF(ISERR(Q176/ABS(P176)),100%,Q176/ABS(P176))))</f>
        <v/>
      </c>
      <c r="S176" s="572"/>
      <c r="T176" s="5"/>
      <c r="V176" s="5"/>
      <c r="Z176" s="5"/>
    </row>
    <row r="177" spans="1:26" ht="12">
      <c r="A177" s="17"/>
      <c r="B177" s="17" t="s">
        <v>3219</v>
      </c>
      <c r="C177" s="17"/>
      <c r="D177" s="17"/>
      <c r="E177" s="17"/>
      <c r="F177" s="30" t="s">
        <v>861</v>
      </c>
      <c r="G177" s="1"/>
      <c r="H177" s="31"/>
      <c r="I177" s="31"/>
      <c r="J177" s="31"/>
      <c r="K177" s="31"/>
      <c r="L177" s="31"/>
      <c r="M177" s="31"/>
      <c r="N177" s="31"/>
      <c r="O177" s="88">
        <f t="shared" si="32"/>
        <v>0</v>
      </c>
      <c r="P177" s="5" t="str">
        <f>IF(ISNA(HLOOKUP($E$2,'Prior Year FS Balances'!$G$21:$AF$464,139,FALSE)),"",(HLOOKUP($E$2,'Prior Year FS Balances'!$G$21:$AF$464,139,FALSE)))</f>
        <v/>
      </c>
      <c r="Q177" s="5" t="str">
        <f t="shared" si="33"/>
        <v/>
      </c>
      <c r="R177" s="201" t="str">
        <f t="shared" si="34"/>
        <v/>
      </c>
      <c r="S177" s="572"/>
      <c r="T177" s="5"/>
      <c r="V177" s="5"/>
      <c r="Z177" s="5"/>
    </row>
    <row r="178" spans="1:26" ht="12">
      <c r="A178" s="17"/>
      <c r="B178" s="17" t="s">
        <v>277</v>
      </c>
      <c r="C178" s="17"/>
      <c r="D178" s="17"/>
      <c r="E178" s="17"/>
      <c r="F178" s="30" t="s">
        <v>862</v>
      </c>
      <c r="G178" s="1"/>
      <c r="H178" s="31"/>
      <c r="I178" s="31"/>
      <c r="J178" s="31"/>
      <c r="K178" s="31"/>
      <c r="L178" s="31"/>
      <c r="M178" s="31"/>
      <c r="N178" s="31"/>
      <c r="O178" s="88">
        <f t="shared" si="32"/>
        <v>0</v>
      </c>
      <c r="P178" s="5" t="str">
        <f>IF(ISNA(HLOOKUP($E$2,'Prior Year FS Balances'!$G$21:$AF$464,140,FALSE)),"",(HLOOKUP($E$2,'Prior Year FS Balances'!$G$21:$AF$464,140,FALSE)))</f>
        <v/>
      </c>
      <c r="Q178" s="5" t="str">
        <f t="shared" si="33"/>
        <v/>
      </c>
      <c r="R178" s="201" t="str">
        <f t="shared" si="34"/>
        <v/>
      </c>
      <c r="S178" s="572"/>
      <c r="T178" s="5"/>
      <c r="V178" s="5"/>
      <c r="Z178" s="5"/>
    </row>
    <row r="179" spans="1:26" ht="12">
      <c r="A179" s="17"/>
      <c r="B179" s="17" t="s">
        <v>3220</v>
      </c>
      <c r="C179" s="17"/>
      <c r="D179" s="17"/>
      <c r="E179" s="17"/>
      <c r="F179" s="30" t="s">
        <v>863</v>
      </c>
      <c r="G179" s="1"/>
      <c r="H179" s="31"/>
      <c r="I179" s="31"/>
      <c r="J179" s="31"/>
      <c r="K179" s="31"/>
      <c r="L179" s="31"/>
      <c r="M179" s="31"/>
      <c r="N179" s="31"/>
      <c r="O179" s="88">
        <f t="shared" si="32"/>
        <v>0</v>
      </c>
      <c r="P179" s="5" t="str">
        <f>IF(ISNA(HLOOKUP($E$2,'Prior Year FS Balances'!$G$21:$AF$464,141,FALSE)),"",(HLOOKUP($E$2,'Prior Year FS Balances'!$G$21:$AF$464,141,FALSE)))</f>
        <v/>
      </c>
      <c r="Q179" s="5" t="str">
        <f t="shared" si="33"/>
        <v/>
      </c>
      <c r="R179" s="201" t="str">
        <f t="shared" si="34"/>
        <v/>
      </c>
      <c r="S179" s="572"/>
      <c r="T179" s="5"/>
      <c r="V179" s="5"/>
      <c r="Z179" s="5"/>
    </row>
    <row r="180" spans="1:26" ht="12">
      <c r="A180" s="17"/>
      <c r="B180" s="17" t="s">
        <v>3286</v>
      </c>
      <c r="C180" s="33"/>
      <c r="D180" s="17"/>
      <c r="E180" s="17"/>
      <c r="F180" s="30" t="s">
        <v>3231</v>
      </c>
      <c r="G180" s="1"/>
      <c r="H180" s="31"/>
      <c r="I180" s="31"/>
      <c r="J180" s="31"/>
      <c r="K180" s="31"/>
      <c r="L180" s="31"/>
      <c r="M180" s="31"/>
      <c r="N180" s="31"/>
      <c r="O180" s="88">
        <f t="shared" si="32"/>
        <v>0</v>
      </c>
      <c r="P180" s="5" t="str">
        <f>IF(ISNA(HLOOKUP($E$2,'Prior Year FS Balances'!$G$21:$AF$464,142,FALSE)),"",(HLOOKUP($E$2,'Prior Year FS Balances'!$G$21:$AF$464,142,FALSE)))</f>
        <v/>
      </c>
      <c r="Q180" s="5" t="str">
        <f t="shared" si="33"/>
        <v/>
      </c>
      <c r="R180" s="201" t="str">
        <f t="shared" si="34"/>
        <v/>
      </c>
      <c r="S180" s="572"/>
      <c r="T180" s="5"/>
      <c r="V180" s="5"/>
      <c r="Z180" s="5"/>
    </row>
    <row r="181" spans="1:26" ht="12">
      <c r="A181" s="17"/>
      <c r="B181" s="17" t="s">
        <v>278</v>
      </c>
      <c r="C181" s="17"/>
      <c r="D181" s="17"/>
      <c r="E181" s="17"/>
      <c r="F181" s="30" t="s">
        <v>3437</v>
      </c>
      <c r="G181" s="1"/>
      <c r="H181" s="31"/>
      <c r="I181" s="31"/>
      <c r="J181" s="31"/>
      <c r="K181" s="31"/>
      <c r="L181" s="31"/>
      <c r="M181" s="31"/>
      <c r="N181" s="31"/>
      <c r="O181" s="88">
        <f t="shared" si="32"/>
        <v>0</v>
      </c>
      <c r="P181" s="5" t="str">
        <f>IF(ISNA(HLOOKUP($E$2,'Prior Year FS Balances'!$G$21:$AF$464,143,FALSE)),"",(HLOOKUP($E$2,'Prior Year FS Balances'!$G$21:$AF$464,143,FALSE)))</f>
        <v/>
      </c>
      <c r="Q181" s="5" t="str">
        <f t="shared" si="33"/>
        <v/>
      </c>
      <c r="R181" s="201" t="str">
        <f t="shared" si="34"/>
        <v/>
      </c>
      <c r="S181" s="572"/>
      <c r="T181" s="5"/>
      <c r="V181" s="5"/>
      <c r="Z181" s="5"/>
    </row>
    <row r="182" spans="1:26" ht="12">
      <c r="A182" s="17"/>
      <c r="B182" s="17" t="s">
        <v>654</v>
      </c>
      <c r="C182" s="17"/>
      <c r="D182" s="17"/>
      <c r="E182" s="227" t="str">
        <f>IF(O182&gt;0,"Answer Required",IF(O182&lt;0,"Answer Required","N/A"))</f>
        <v>N/A</v>
      </c>
      <c r="F182" s="30" t="s">
        <v>665</v>
      </c>
      <c r="G182" s="1"/>
      <c r="H182" s="31"/>
      <c r="I182" s="31"/>
      <c r="J182" s="31"/>
      <c r="K182" s="31"/>
      <c r="L182" s="31"/>
      <c r="M182" s="31"/>
      <c r="N182" s="31"/>
      <c r="O182" s="88">
        <f t="shared" si="32"/>
        <v>0</v>
      </c>
      <c r="P182" s="5" t="str">
        <f>IF(ISNA(HLOOKUP($E$2,'Prior Year FS Balances'!$G$21:$AF$464,144,FALSE)),"",(HLOOKUP($E$2,'Prior Year FS Balances'!$G$21:$AF$464,144,FALSE)))</f>
        <v/>
      </c>
      <c r="Q182" s="5" t="str">
        <f t="shared" si="33"/>
        <v/>
      </c>
      <c r="R182" s="201" t="str">
        <f t="shared" si="34"/>
        <v/>
      </c>
      <c r="S182" s="572"/>
      <c r="T182" s="5"/>
      <c r="V182" s="5"/>
      <c r="Z182" s="5"/>
    </row>
    <row r="183" spans="1:26" ht="20.399999999999999" hidden="1">
      <c r="A183" s="17"/>
      <c r="B183" s="577" t="s">
        <v>807</v>
      </c>
      <c r="C183" s="577"/>
      <c r="D183" s="17"/>
      <c r="E183" s="17"/>
      <c r="F183" s="582"/>
      <c r="G183" s="88">
        <v>0</v>
      </c>
      <c r="H183" s="88">
        <v>0</v>
      </c>
      <c r="I183" s="88">
        <v>0</v>
      </c>
      <c r="J183" s="88">
        <v>0</v>
      </c>
      <c r="K183" s="88">
        <v>0</v>
      </c>
      <c r="L183" s="88">
        <v>0</v>
      </c>
      <c r="M183" s="88">
        <v>0</v>
      </c>
      <c r="N183" s="88">
        <v>0</v>
      </c>
      <c r="O183" s="88">
        <v>0</v>
      </c>
      <c r="P183" s="5" t="str">
        <f>IF(ISNA(HLOOKUP($E$2,'Prior Year FS Balances'!$G$21:$AF$464,145,FALSE)),"",(HLOOKUP($E$2,'Prior Year FS Balances'!$G$21:$AF$464,145,FALSE)))</f>
        <v/>
      </c>
      <c r="Q183" s="5" t="str">
        <f t="shared" si="33"/>
        <v/>
      </c>
      <c r="R183" s="201" t="str">
        <f t="shared" si="34"/>
        <v/>
      </c>
      <c r="S183" s="576"/>
      <c r="T183" s="5"/>
      <c r="V183" s="5"/>
      <c r="Z183" s="5"/>
    </row>
    <row r="184" spans="1:26" ht="12" hidden="1">
      <c r="A184" s="17"/>
      <c r="B184" s="577" t="s">
        <v>2703</v>
      </c>
      <c r="C184" s="577"/>
      <c r="D184" s="17"/>
      <c r="E184" s="17"/>
      <c r="F184" s="20"/>
      <c r="G184" s="88">
        <v>0</v>
      </c>
      <c r="H184" s="88">
        <v>0</v>
      </c>
      <c r="I184" s="88">
        <v>0</v>
      </c>
      <c r="J184" s="88">
        <v>0</v>
      </c>
      <c r="K184" s="88">
        <v>0</v>
      </c>
      <c r="L184" s="88">
        <v>0</v>
      </c>
      <c r="M184" s="88">
        <v>0</v>
      </c>
      <c r="N184" s="88">
        <v>0</v>
      </c>
      <c r="O184" s="88">
        <v>0</v>
      </c>
      <c r="P184" s="5" t="str">
        <f>IF(ISNA(HLOOKUP($E$2,'Prior Year FS Balances'!$G$21:$AF$464,146,FALSE)),"",(HLOOKUP($E$2,'Prior Year FS Balances'!$G$21:$AF$464,146,FALSE)))</f>
        <v/>
      </c>
      <c r="Q184" s="5" t="str">
        <f t="shared" si="33"/>
        <v/>
      </c>
      <c r="R184" s="201" t="str">
        <f t="shared" si="34"/>
        <v/>
      </c>
      <c r="S184" s="576"/>
      <c r="T184" s="5"/>
      <c r="V184" s="5"/>
      <c r="Z184" s="5"/>
    </row>
    <row r="185" spans="1:26" ht="12">
      <c r="A185" s="17"/>
      <c r="B185" s="17"/>
      <c r="C185" s="33" t="s">
        <v>83</v>
      </c>
      <c r="D185" s="17"/>
      <c r="E185" s="17"/>
      <c r="F185" s="20"/>
      <c r="G185" s="34">
        <f t="shared" ref="G185:O185" si="35">SUM(G174:G184)</f>
        <v>0</v>
      </c>
      <c r="H185" s="34">
        <f t="shared" si="35"/>
        <v>0</v>
      </c>
      <c r="I185" s="34">
        <f t="shared" si="35"/>
        <v>0</v>
      </c>
      <c r="J185" s="34">
        <f>SUM(J174:J184)</f>
        <v>0</v>
      </c>
      <c r="K185" s="34">
        <f t="shared" si="35"/>
        <v>0</v>
      </c>
      <c r="L185" s="34">
        <f t="shared" si="35"/>
        <v>0</v>
      </c>
      <c r="M185" s="34">
        <f t="shared" si="35"/>
        <v>0</v>
      </c>
      <c r="N185" s="34">
        <f t="shared" si="35"/>
        <v>0</v>
      </c>
      <c r="O185" s="34">
        <f t="shared" si="35"/>
        <v>0</v>
      </c>
      <c r="P185" s="34">
        <f>SUM(P176:P182)</f>
        <v>0</v>
      </c>
      <c r="Q185" s="34">
        <f>SUM(Q174:Q182)</f>
        <v>0</v>
      </c>
      <c r="R185" s="202" t="str">
        <f>IF(Q185=0,"0%",IF(ISERR(Q185/ABS(P185)),100%,Q185/ABS(P185)))</f>
        <v>0%</v>
      </c>
      <c r="T185" s="5"/>
      <c r="V185" s="5"/>
      <c r="Z185" s="5"/>
    </row>
    <row r="186" spans="1:26" ht="12">
      <c r="A186" s="17"/>
      <c r="B186" s="17"/>
      <c r="C186" s="17"/>
      <c r="D186" s="17"/>
      <c r="E186" s="17"/>
      <c r="F186" s="20"/>
      <c r="G186" s="5"/>
      <c r="H186" s="5"/>
      <c r="I186" s="5"/>
      <c r="J186" s="5"/>
      <c r="K186" s="5"/>
      <c r="L186" s="5"/>
      <c r="M186" s="5"/>
      <c r="N186" s="5"/>
      <c r="O186" s="5"/>
      <c r="P186" s="5"/>
      <c r="Q186" s="5"/>
      <c r="R186" s="201"/>
      <c r="T186" s="5"/>
      <c r="V186" s="5"/>
      <c r="Z186" s="5"/>
    </row>
    <row r="187" spans="1:26" ht="12">
      <c r="A187" s="17"/>
      <c r="B187" s="17"/>
      <c r="C187" s="17"/>
      <c r="D187" s="33" t="s">
        <v>224</v>
      </c>
      <c r="E187" s="17"/>
      <c r="F187" s="20"/>
      <c r="G187" s="34">
        <f>SUM(G164:G167,G172,G185)</f>
        <v>0</v>
      </c>
      <c r="H187" s="34">
        <f t="shared" ref="H187:Q187" si="36">SUM(H164:H167,H172,H185)</f>
        <v>0</v>
      </c>
      <c r="I187" s="34">
        <f t="shared" si="36"/>
        <v>0</v>
      </c>
      <c r="J187" s="34">
        <f t="shared" si="36"/>
        <v>0</v>
      </c>
      <c r="K187" s="34">
        <f t="shared" si="36"/>
        <v>0</v>
      </c>
      <c r="L187" s="34">
        <f t="shared" si="36"/>
        <v>0</v>
      </c>
      <c r="M187" s="34">
        <f t="shared" si="36"/>
        <v>0</v>
      </c>
      <c r="N187" s="34">
        <f t="shared" si="36"/>
        <v>0</v>
      </c>
      <c r="O187" s="34">
        <f t="shared" si="36"/>
        <v>0</v>
      </c>
      <c r="P187" s="34">
        <f t="shared" si="36"/>
        <v>0</v>
      </c>
      <c r="Q187" s="34">
        <f t="shared" si="36"/>
        <v>0</v>
      </c>
      <c r="R187" s="202" t="str">
        <f>IF(Q187=0,"0%",IF(ISERR(Q187/ABS(P187)),100%,Q187/ABS(P187)))</f>
        <v>0%</v>
      </c>
      <c r="T187" s="5"/>
      <c r="V187" s="5"/>
      <c r="Z187" s="5"/>
    </row>
    <row r="188" spans="1:26" ht="12">
      <c r="A188" s="17"/>
      <c r="B188" s="17"/>
      <c r="C188" s="17"/>
      <c r="D188" s="33"/>
      <c r="E188" s="17"/>
      <c r="F188" s="20"/>
      <c r="G188" s="5"/>
      <c r="H188" s="5"/>
      <c r="I188" s="5"/>
      <c r="J188" s="5"/>
      <c r="K188" s="5"/>
      <c r="L188" s="5"/>
      <c r="M188" s="5"/>
      <c r="N188" s="5"/>
      <c r="O188" s="5"/>
      <c r="P188" s="5"/>
      <c r="Q188" s="5"/>
      <c r="R188" s="201"/>
      <c r="T188" s="5"/>
      <c r="V188" s="5"/>
      <c r="Z188" s="5"/>
    </row>
    <row r="189" spans="1:26" ht="12">
      <c r="A189" s="17"/>
      <c r="B189" s="17"/>
      <c r="C189" s="17"/>
      <c r="D189" s="17"/>
      <c r="E189" s="33" t="s">
        <v>280</v>
      </c>
      <c r="F189" s="20"/>
      <c r="G189" s="34">
        <f t="shared" ref="G189:Q189" si="37">+G161+G187</f>
        <v>0</v>
      </c>
      <c r="H189" s="34">
        <f t="shared" si="37"/>
        <v>0</v>
      </c>
      <c r="I189" s="34">
        <f t="shared" si="37"/>
        <v>0</v>
      </c>
      <c r="J189" s="34">
        <f>+J161+J187</f>
        <v>0</v>
      </c>
      <c r="K189" s="34">
        <f t="shared" si="37"/>
        <v>0</v>
      </c>
      <c r="L189" s="34">
        <f t="shared" si="37"/>
        <v>0</v>
      </c>
      <c r="M189" s="34">
        <f t="shared" si="37"/>
        <v>0</v>
      </c>
      <c r="N189" s="34">
        <f t="shared" si="37"/>
        <v>0</v>
      </c>
      <c r="O189" s="34">
        <f t="shared" si="37"/>
        <v>0</v>
      </c>
      <c r="P189" s="34">
        <f t="shared" si="37"/>
        <v>0</v>
      </c>
      <c r="Q189" s="34">
        <f t="shared" si="37"/>
        <v>0</v>
      </c>
      <c r="R189" s="202" t="str">
        <f>IF(Q189=0,"0%",IF(ISERR(Q189/ABS(P189)),100%,Q189/ABS(P189)))</f>
        <v>0%</v>
      </c>
      <c r="T189" s="5"/>
      <c r="V189" s="5"/>
      <c r="Z189" s="5"/>
    </row>
    <row r="191" spans="1:26">
      <c r="A191" s="33" t="s">
        <v>710</v>
      </c>
      <c r="C191" s="17"/>
      <c r="D191" s="17"/>
      <c r="E191" s="17"/>
      <c r="F191" s="30" t="s">
        <v>858</v>
      </c>
      <c r="G191" s="1"/>
      <c r="H191" s="31"/>
      <c r="I191" s="31"/>
      <c r="J191" s="31"/>
      <c r="K191" s="31"/>
      <c r="L191" s="31"/>
      <c r="M191" s="31"/>
      <c r="N191" s="31"/>
      <c r="O191" s="88">
        <f>SUM(G191:N191)</f>
        <v>0</v>
      </c>
      <c r="P191" s="5">
        <f>IF(ISNA(HLOOKUP($E$2,'Prior Year FS Balances'!$G$21:$AF$464,153,FALSE)),0,(HLOOKUP($E$2,'Prior Year FS Balances'!$G$21:$AF$464,153,FALSE)))</f>
        <v>0</v>
      </c>
      <c r="Q191" s="5">
        <f>IF(ISERR(O191-P191),"",(O191-P191))</f>
        <v>0</v>
      </c>
      <c r="R191" s="201" t="str">
        <f>IF($E$7="","",IF(AND(O191=0,P191=0),"",IF(ISERR(Q191/ABS(P191)),100%,Q191/ABS(P191))))</f>
        <v/>
      </c>
      <c r="S191" s="572"/>
      <c r="T191" s="5"/>
      <c r="V191" s="5"/>
      <c r="Z191" s="5"/>
    </row>
    <row r="192" spans="1:26" ht="12">
      <c r="A192" s="17"/>
      <c r="B192" s="17"/>
      <c r="C192" s="17"/>
      <c r="D192" s="17"/>
      <c r="E192" s="17"/>
      <c r="F192" s="20"/>
      <c r="G192" s="5"/>
      <c r="H192" s="5"/>
      <c r="I192" s="5"/>
      <c r="J192" s="5"/>
      <c r="K192" s="5"/>
      <c r="L192" s="5"/>
      <c r="M192" s="5"/>
      <c r="N192" s="5"/>
      <c r="O192" s="5"/>
      <c r="R192" s="26"/>
      <c r="T192" s="26"/>
      <c r="V192" s="26"/>
      <c r="Z192" s="26"/>
    </row>
    <row r="193" spans="1:33" ht="12">
      <c r="A193" s="17"/>
      <c r="B193" s="17"/>
      <c r="C193" s="17"/>
      <c r="D193" s="17"/>
      <c r="E193" s="24" t="s">
        <v>711</v>
      </c>
      <c r="F193" s="20"/>
      <c r="G193" s="34">
        <f>SUM(G189+G191)</f>
        <v>0</v>
      </c>
      <c r="H193" s="34">
        <f t="shared" ref="H193:Q193" si="38">SUM(H189+H191)</f>
        <v>0</v>
      </c>
      <c r="I193" s="34">
        <f t="shared" si="38"/>
        <v>0</v>
      </c>
      <c r="J193" s="34">
        <f>SUM(J189+J191)</f>
        <v>0</v>
      </c>
      <c r="K193" s="34">
        <f t="shared" si="38"/>
        <v>0</v>
      </c>
      <c r="L193" s="34">
        <f t="shared" si="38"/>
        <v>0</v>
      </c>
      <c r="M193" s="34">
        <f t="shared" si="38"/>
        <v>0</v>
      </c>
      <c r="N193" s="34">
        <f t="shared" si="38"/>
        <v>0</v>
      </c>
      <c r="O193" s="34">
        <f>SUM(O189+O191)</f>
        <v>0</v>
      </c>
      <c r="P193" s="34">
        <f t="shared" si="38"/>
        <v>0</v>
      </c>
      <c r="Q193" s="34">
        <f t="shared" si="38"/>
        <v>0</v>
      </c>
      <c r="R193" s="202" t="str">
        <f>IF(Q193=0,"0%",IF(ISERR(Q193/ABS(P193)),100%,Q193/ABS(P193)))</f>
        <v>0%</v>
      </c>
      <c r="T193" s="26"/>
      <c r="V193" s="26"/>
      <c r="Z193" s="26"/>
    </row>
    <row r="194" spans="1:33" ht="12">
      <c r="A194" s="17"/>
      <c r="B194" s="17"/>
      <c r="C194" s="17"/>
      <c r="D194" s="17"/>
      <c r="E194" s="24"/>
      <c r="F194" s="20"/>
      <c r="G194" s="5"/>
      <c r="H194" s="5"/>
      <c r="I194" s="5"/>
      <c r="J194" s="5"/>
      <c r="K194" s="5"/>
      <c r="L194" s="5"/>
      <c r="M194" s="5"/>
      <c r="N194" s="5"/>
      <c r="O194" s="5"/>
      <c r="R194" s="26"/>
      <c r="T194" s="26"/>
      <c r="V194" s="26"/>
      <c r="Z194" s="26"/>
    </row>
    <row r="195" spans="1:33" s="240" customFormat="1" ht="12" hidden="1">
      <c r="E195" s="241"/>
      <c r="F195" s="578"/>
      <c r="G195" s="242"/>
      <c r="H195" s="242"/>
      <c r="I195" s="242"/>
      <c r="J195" s="242"/>
      <c r="K195" s="242"/>
      <c r="L195" s="242"/>
      <c r="M195" s="242"/>
      <c r="N195" s="242"/>
      <c r="O195" s="242"/>
      <c r="R195" s="243"/>
      <c r="T195" s="243"/>
      <c r="V195" s="243"/>
      <c r="W195" s="17"/>
      <c r="Z195" s="243"/>
      <c r="AF195" s="17"/>
      <c r="AG195" s="17"/>
    </row>
    <row r="196" spans="1:33" s="240" customFormat="1" ht="12" hidden="1">
      <c r="E196" s="241"/>
      <c r="F196" s="578"/>
      <c r="G196" s="242"/>
      <c r="H196" s="242"/>
      <c r="I196" s="242"/>
      <c r="J196" s="242"/>
      <c r="K196" s="242"/>
      <c r="L196" s="242"/>
      <c r="M196" s="242"/>
      <c r="N196" s="242"/>
      <c r="O196" s="242"/>
      <c r="R196" s="243"/>
      <c r="T196" s="243"/>
      <c r="V196" s="243"/>
      <c r="W196" s="17"/>
      <c r="Z196" s="243"/>
      <c r="AF196" s="17"/>
      <c r="AG196" s="17"/>
    </row>
    <row r="197" spans="1:33" s="240" customFormat="1" ht="12" hidden="1">
      <c r="E197" s="241"/>
      <c r="F197" s="578"/>
      <c r="G197" s="242"/>
      <c r="H197" s="242"/>
      <c r="I197" s="242"/>
      <c r="J197" s="242"/>
      <c r="K197" s="242"/>
      <c r="L197" s="242"/>
      <c r="M197" s="242"/>
      <c r="N197" s="242"/>
      <c r="O197" s="242"/>
      <c r="R197" s="243"/>
      <c r="T197" s="243"/>
      <c r="V197" s="243"/>
      <c r="W197" s="17"/>
      <c r="Z197" s="243"/>
    </row>
    <row r="198" spans="1:33" s="240" customFormat="1" ht="12" hidden="1">
      <c r="E198" s="241"/>
      <c r="F198" s="578"/>
      <c r="G198" s="242"/>
      <c r="H198" s="242"/>
      <c r="I198" s="242"/>
      <c r="J198" s="242"/>
      <c r="K198" s="242"/>
      <c r="L198" s="242"/>
      <c r="M198" s="242"/>
      <c r="N198" s="242"/>
      <c r="O198" s="242"/>
      <c r="R198" s="243"/>
      <c r="T198" s="243"/>
      <c r="V198" s="243"/>
      <c r="W198" s="17"/>
      <c r="Z198" s="243"/>
    </row>
    <row r="199" spans="1:33" s="240" customFormat="1" ht="12" hidden="1">
      <c r="E199" s="241"/>
      <c r="F199" s="578"/>
      <c r="G199" s="242"/>
      <c r="H199" s="242"/>
      <c r="I199" s="242"/>
      <c r="J199" s="242"/>
      <c r="K199" s="242"/>
      <c r="L199" s="242"/>
      <c r="M199" s="242"/>
      <c r="N199" s="242"/>
      <c r="O199" s="242"/>
      <c r="R199" s="243"/>
      <c r="T199" s="243"/>
      <c r="V199" s="243"/>
      <c r="W199" s="17"/>
      <c r="Z199" s="243"/>
    </row>
    <row r="200" spans="1:33" s="240" customFormat="1" ht="12" hidden="1">
      <c r="E200" s="241"/>
      <c r="F200" s="578"/>
      <c r="G200" s="242"/>
      <c r="H200" s="242"/>
      <c r="I200" s="242"/>
      <c r="J200" s="242"/>
      <c r="K200" s="242"/>
      <c r="L200" s="242"/>
      <c r="M200" s="242"/>
      <c r="N200" s="242"/>
      <c r="O200" s="242"/>
      <c r="R200" s="243"/>
      <c r="T200" s="243"/>
      <c r="V200" s="243"/>
      <c r="W200" s="17"/>
      <c r="Z200" s="243"/>
    </row>
    <row r="201" spans="1:33" s="240" customFormat="1" ht="12" hidden="1">
      <c r="E201" s="241"/>
      <c r="F201" s="578"/>
      <c r="G201" s="242"/>
      <c r="H201" s="242"/>
      <c r="I201" s="242"/>
      <c r="J201" s="242"/>
      <c r="K201" s="242"/>
      <c r="L201" s="242"/>
      <c r="M201" s="242"/>
      <c r="N201" s="242"/>
      <c r="O201" s="242"/>
      <c r="R201" s="243"/>
      <c r="T201" s="243"/>
      <c r="V201" s="243"/>
      <c r="W201" s="17"/>
      <c r="Z201" s="243"/>
    </row>
    <row r="202" spans="1:33" s="240" customFormat="1" ht="12" hidden="1">
      <c r="E202" s="241"/>
      <c r="F202" s="578"/>
      <c r="G202" s="242"/>
      <c r="H202" s="242"/>
      <c r="I202" s="242"/>
      <c r="J202" s="242"/>
      <c r="K202" s="242"/>
      <c r="L202" s="242"/>
      <c r="M202" s="242"/>
      <c r="N202" s="242"/>
      <c r="O202" s="242"/>
      <c r="R202" s="243"/>
      <c r="T202" s="243"/>
      <c r="V202" s="243"/>
      <c r="W202" s="17"/>
      <c r="Z202" s="243"/>
    </row>
    <row r="203" spans="1:33" s="240" customFormat="1" ht="12" hidden="1">
      <c r="E203" s="241"/>
      <c r="F203" s="578"/>
      <c r="G203" s="242"/>
      <c r="H203" s="242"/>
      <c r="I203" s="242"/>
      <c r="J203" s="242"/>
      <c r="K203" s="242"/>
      <c r="L203" s="242"/>
      <c r="M203" s="242"/>
      <c r="N203" s="242"/>
      <c r="O203" s="242"/>
      <c r="R203" s="243"/>
      <c r="T203" s="243"/>
      <c r="V203" s="243"/>
      <c r="W203" s="17"/>
      <c r="Z203" s="243"/>
    </row>
    <row r="204" spans="1:33" s="240" customFormat="1" ht="12" hidden="1">
      <c r="E204" s="241"/>
      <c r="F204" s="578"/>
      <c r="G204" s="242"/>
      <c r="H204" s="242"/>
      <c r="I204" s="242"/>
      <c r="J204" s="242"/>
      <c r="K204" s="242"/>
      <c r="L204" s="242"/>
      <c r="M204" s="242"/>
      <c r="N204" s="242"/>
      <c r="O204" s="242"/>
      <c r="R204" s="243"/>
      <c r="T204" s="243"/>
      <c r="V204" s="243"/>
      <c r="W204" s="17"/>
      <c r="Z204" s="243"/>
    </row>
    <row r="205" spans="1:33" s="240" customFormat="1" ht="12" hidden="1">
      <c r="E205" s="241"/>
      <c r="F205" s="578"/>
      <c r="G205" s="242"/>
      <c r="H205" s="242"/>
      <c r="I205" s="242"/>
      <c r="J205" s="242"/>
      <c r="K205" s="242"/>
      <c r="L205" s="242"/>
      <c r="M205" s="242"/>
      <c r="N205" s="242"/>
      <c r="O205" s="242"/>
      <c r="R205" s="243"/>
      <c r="T205" s="243"/>
      <c r="V205" s="243"/>
      <c r="W205" s="17"/>
      <c r="Z205" s="243"/>
    </row>
    <row r="206" spans="1:33" s="240" customFormat="1" ht="12" hidden="1">
      <c r="E206" s="241"/>
      <c r="F206" s="578"/>
      <c r="G206" s="242"/>
      <c r="H206" s="242"/>
      <c r="I206" s="242"/>
      <c r="J206" s="242"/>
      <c r="K206" s="242"/>
      <c r="L206" s="242"/>
      <c r="M206" s="242"/>
      <c r="N206" s="242"/>
      <c r="O206" s="242"/>
      <c r="R206" s="243"/>
      <c r="T206" s="243"/>
      <c r="V206" s="243"/>
      <c r="W206" s="17"/>
      <c r="Z206" s="243"/>
    </row>
    <row r="207" spans="1:33" s="240" customFormat="1" ht="12" hidden="1">
      <c r="E207" s="241"/>
      <c r="F207" s="578"/>
      <c r="G207" s="242"/>
      <c r="H207" s="242"/>
      <c r="I207" s="242"/>
      <c r="J207" s="242"/>
      <c r="K207" s="242"/>
      <c r="L207" s="242"/>
      <c r="M207" s="242"/>
      <c r="N207" s="242"/>
      <c r="O207" s="242"/>
      <c r="R207" s="243"/>
      <c r="T207" s="243"/>
      <c r="V207" s="243"/>
      <c r="W207" s="17"/>
      <c r="Z207" s="243"/>
    </row>
    <row r="208" spans="1:33" s="240" customFormat="1" ht="12" hidden="1">
      <c r="E208" s="241"/>
      <c r="F208" s="578"/>
      <c r="G208" s="242"/>
      <c r="H208" s="242"/>
      <c r="I208" s="242"/>
      <c r="J208" s="242"/>
      <c r="K208" s="242"/>
      <c r="L208" s="242"/>
      <c r="M208" s="242"/>
      <c r="N208" s="242"/>
      <c r="O208" s="242"/>
      <c r="R208" s="243"/>
      <c r="T208" s="243"/>
      <c r="V208" s="243"/>
      <c r="W208" s="17"/>
      <c r="Z208" s="243"/>
    </row>
    <row r="209" spans="1:33" s="240" customFormat="1" ht="12" hidden="1">
      <c r="E209" s="241"/>
      <c r="F209" s="578"/>
      <c r="G209" s="242"/>
      <c r="H209" s="242"/>
      <c r="I209" s="242"/>
      <c r="J209" s="242"/>
      <c r="K209" s="242"/>
      <c r="L209" s="242"/>
      <c r="M209" s="242"/>
      <c r="N209" s="242"/>
      <c r="O209" s="242"/>
      <c r="R209" s="243"/>
      <c r="T209" s="243"/>
      <c r="V209" s="243"/>
      <c r="W209" s="17"/>
      <c r="Z209" s="243"/>
    </row>
    <row r="210" spans="1:33" ht="12">
      <c r="A210" s="17"/>
      <c r="B210" s="17"/>
      <c r="C210" s="17"/>
      <c r="D210" s="17"/>
      <c r="E210" s="17"/>
      <c r="F210" s="20"/>
      <c r="G210" s="5"/>
      <c r="H210" s="5"/>
      <c r="I210" s="5"/>
      <c r="J210" s="5"/>
      <c r="K210" s="5"/>
      <c r="L210" s="5"/>
      <c r="M210" s="5"/>
      <c r="N210" s="5"/>
      <c r="O210" s="5"/>
      <c r="P210" s="5"/>
      <c r="Q210" s="5"/>
      <c r="R210" s="5"/>
      <c r="T210" s="5"/>
      <c r="V210" s="5"/>
      <c r="Z210" s="5"/>
      <c r="AF210" s="240"/>
      <c r="AG210" s="240"/>
    </row>
    <row r="211" spans="1:33" ht="12">
      <c r="A211" s="27" t="s">
        <v>718</v>
      </c>
      <c r="B211" s="17"/>
      <c r="C211" s="17"/>
      <c r="D211" s="17"/>
      <c r="E211" s="17"/>
      <c r="F211" s="20"/>
      <c r="G211" s="5"/>
      <c r="H211" s="5"/>
      <c r="I211" s="5"/>
      <c r="J211" s="5"/>
      <c r="K211" s="5"/>
      <c r="L211" s="5"/>
      <c r="M211" s="5"/>
      <c r="N211" s="5"/>
      <c r="O211" s="5"/>
      <c r="P211" s="5"/>
      <c r="Q211" s="5"/>
      <c r="R211" s="5"/>
      <c r="T211" s="5"/>
      <c r="V211" s="5"/>
      <c r="Z211" s="5"/>
      <c r="AF211" s="240"/>
      <c r="AG211" s="240"/>
    </row>
    <row r="212" spans="1:33" ht="12">
      <c r="A212" s="33" t="s">
        <v>728</v>
      </c>
      <c r="B212" s="33"/>
      <c r="C212" s="17"/>
      <c r="D212" s="17"/>
      <c r="E212" s="17"/>
      <c r="F212" s="30" t="s">
        <v>864</v>
      </c>
      <c r="G212" s="1"/>
      <c r="H212" s="31"/>
      <c r="I212" s="31"/>
      <c r="J212" s="31"/>
      <c r="K212" s="31"/>
      <c r="L212" s="31"/>
      <c r="M212" s="31"/>
      <c r="N212" s="31"/>
      <c r="O212" s="88">
        <f t="shared" ref="O212:O217" si="39">SUM(G212:N212)</f>
        <v>0</v>
      </c>
      <c r="P212" s="5" t="str">
        <f>IF(ISNA(HLOOKUP($E$2,'Prior Year FS Balances'!$G$21:$AF$464,174,FALSE)),"",(HLOOKUP($E$2,'Prior Year FS Balances'!$G$21:$AF$464,174,FALSE)))</f>
        <v/>
      </c>
      <c r="Q212" s="5" t="str">
        <f t="shared" ref="Q212:Q217" si="40">IF(ISERR(O212-P212),"",(O212-P212))</f>
        <v/>
      </c>
      <c r="R212" s="201" t="str">
        <f t="shared" ref="R212:R217" si="41">IF($E$7="","",IF(AND(O212=0,P212=0),"",IF(ISERR(Q212/ABS(P212)),100%,Q212/ABS(P212))))</f>
        <v/>
      </c>
      <c r="S212" s="572"/>
      <c r="T212" s="5"/>
      <c r="V212" s="5"/>
      <c r="Z212" s="5"/>
    </row>
    <row r="213" spans="1:33" ht="12">
      <c r="A213" s="33" t="s">
        <v>474</v>
      </c>
      <c r="B213" s="17"/>
      <c r="C213" s="17"/>
      <c r="D213" s="17"/>
      <c r="E213" s="227" t="str">
        <f>IF(O213&gt;0,"Answer Required",IF(O213&lt;0,"Answer Required","N/A"))</f>
        <v>N/A</v>
      </c>
      <c r="F213" s="20"/>
      <c r="G213" s="1"/>
      <c r="H213" s="31"/>
      <c r="I213" s="31"/>
      <c r="J213" s="31"/>
      <c r="K213" s="31"/>
      <c r="L213" s="31"/>
      <c r="M213" s="31"/>
      <c r="N213" s="31"/>
      <c r="O213" s="88">
        <f t="shared" si="39"/>
        <v>0</v>
      </c>
      <c r="P213" s="5" t="str">
        <f>IF(ISNA(HLOOKUP($E$2,'Prior Year FS Balances'!$G$21:$AF$464,175,FALSE)),"",(HLOOKUP($E$2,'Prior Year FS Balances'!$G$21:$AF$464,175,FALSE)))</f>
        <v/>
      </c>
      <c r="Q213" s="5" t="str">
        <f t="shared" si="40"/>
        <v/>
      </c>
      <c r="R213" s="201" t="str">
        <f t="shared" si="41"/>
        <v/>
      </c>
      <c r="S213" s="572"/>
      <c r="T213" s="5"/>
      <c r="V213" s="5"/>
      <c r="Z213" s="5"/>
    </row>
    <row r="214" spans="1:33" ht="12">
      <c r="A214" s="33" t="s">
        <v>474</v>
      </c>
      <c r="B214" s="17"/>
      <c r="C214" s="17"/>
      <c r="D214" s="17"/>
      <c r="E214" s="227" t="str">
        <f>IF(O214&gt;0,"Answer Required",IF(O214&lt;0,"Answer Required","N/A"))</f>
        <v>N/A</v>
      </c>
      <c r="F214" s="20"/>
      <c r="G214" s="1"/>
      <c r="H214" s="31"/>
      <c r="I214" s="31"/>
      <c r="J214" s="31"/>
      <c r="K214" s="31"/>
      <c r="L214" s="31"/>
      <c r="M214" s="31"/>
      <c r="N214" s="31"/>
      <c r="O214" s="88">
        <f t="shared" si="39"/>
        <v>0</v>
      </c>
      <c r="P214" s="5" t="str">
        <f>IF(ISNA(HLOOKUP($E$2,'Prior Year FS Balances'!$G$21:$AF$464,176,FALSE)),"",(HLOOKUP($E$2,'Prior Year FS Balances'!$G$21:$AF$464,176,FALSE)))</f>
        <v/>
      </c>
      <c r="Q214" s="5" t="str">
        <f t="shared" si="40"/>
        <v/>
      </c>
      <c r="R214" s="201" t="str">
        <f t="shared" si="41"/>
        <v/>
      </c>
      <c r="S214" s="572"/>
      <c r="T214" s="5"/>
      <c r="V214" s="5"/>
      <c r="Z214" s="5"/>
    </row>
    <row r="215" spans="1:33" ht="12">
      <c r="A215" s="33" t="s">
        <v>474</v>
      </c>
      <c r="B215" s="17"/>
      <c r="C215" s="17"/>
      <c r="D215" s="17"/>
      <c r="E215" s="227" t="str">
        <f>IF(O215&gt;0,"Answer Required",IF(O215&lt;0,"Answer Required","N/A"))</f>
        <v>N/A</v>
      </c>
      <c r="F215" s="20"/>
      <c r="G215" s="1"/>
      <c r="H215" s="31"/>
      <c r="I215" s="31"/>
      <c r="J215" s="31"/>
      <c r="K215" s="31"/>
      <c r="L215" s="31"/>
      <c r="M215" s="31"/>
      <c r="N215" s="31"/>
      <c r="O215" s="88">
        <f t="shared" si="39"/>
        <v>0</v>
      </c>
      <c r="P215" s="5" t="str">
        <f>IF(ISNA(HLOOKUP($E$2,'Prior Year FS Balances'!$G$21:$AF$464,177,FALSE)),"",(HLOOKUP($E$2,'Prior Year FS Balances'!$G$21:$AF$464,177,FALSE)))</f>
        <v/>
      </c>
      <c r="Q215" s="5" t="str">
        <f t="shared" si="40"/>
        <v/>
      </c>
      <c r="R215" s="201" t="str">
        <f t="shared" si="41"/>
        <v/>
      </c>
      <c r="S215" s="572"/>
      <c r="T215" s="5"/>
      <c r="V215" s="5"/>
      <c r="Z215" s="5"/>
    </row>
    <row r="216" spans="1:33" ht="12">
      <c r="A216" s="33" t="s">
        <v>474</v>
      </c>
      <c r="B216" s="17"/>
      <c r="C216" s="17"/>
      <c r="D216" s="17"/>
      <c r="E216" s="227" t="str">
        <f>IF(O216&gt;0,"Answer Required",IF(O216&lt;0,"Answer Required","N/A"))</f>
        <v>N/A</v>
      </c>
      <c r="F216" s="20"/>
      <c r="G216" s="1"/>
      <c r="H216" s="31"/>
      <c r="I216" s="31"/>
      <c r="J216" s="31"/>
      <c r="K216" s="31"/>
      <c r="L216" s="31"/>
      <c r="M216" s="31"/>
      <c r="N216" s="31"/>
      <c r="O216" s="88">
        <f t="shared" si="39"/>
        <v>0</v>
      </c>
      <c r="P216" s="5" t="str">
        <f>IF(ISNA(HLOOKUP($E$2,'Prior Year FS Balances'!$G$21:$AF$464,178,FALSE)),"",(HLOOKUP($E$2,'Prior Year FS Balances'!$G$21:$AF$464,178,FALSE)))</f>
        <v/>
      </c>
      <c r="Q216" s="5" t="str">
        <f t="shared" si="40"/>
        <v/>
      </c>
      <c r="R216" s="201" t="str">
        <f t="shared" si="41"/>
        <v/>
      </c>
      <c r="S216" s="572"/>
      <c r="T216" s="5"/>
      <c r="V216" s="5"/>
      <c r="Z216" s="5"/>
    </row>
    <row r="217" spans="1:33" ht="20.399999999999999">
      <c r="A217" s="33" t="s">
        <v>281</v>
      </c>
      <c r="B217" s="17"/>
      <c r="C217" s="17"/>
      <c r="D217" s="17"/>
      <c r="E217" s="17"/>
      <c r="F217" s="583"/>
      <c r="G217" s="1"/>
      <c r="H217" s="31"/>
      <c r="I217" s="31"/>
      <c r="J217" s="31"/>
      <c r="K217" s="31"/>
      <c r="L217" s="31"/>
      <c r="M217" s="31"/>
      <c r="N217" s="31"/>
      <c r="O217" s="88">
        <f t="shared" si="39"/>
        <v>0</v>
      </c>
      <c r="P217" s="5" t="str">
        <f>IF(ISNA(HLOOKUP($E$2,'Prior Year FS Balances'!$G$21:$AF$464,179,FALSE)),"",(HLOOKUP($E$2,'Prior Year FS Balances'!$G$21:$AF$464,179,FALSE)))</f>
        <v/>
      </c>
      <c r="Q217" s="5" t="str">
        <f t="shared" si="40"/>
        <v/>
      </c>
      <c r="R217" s="201" t="str">
        <f t="shared" si="41"/>
        <v/>
      </c>
      <c r="S217" s="572"/>
      <c r="T217" s="5"/>
      <c r="V217" s="5"/>
      <c r="Z217" s="5"/>
    </row>
    <row r="218" spans="1:33" ht="12.6" thickBot="1">
      <c r="A218" s="17"/>
      <c r="B218" s="17"/>
      <c r="C218" s="17"/>
      <c r="D218" s="17"/>
      <c r="E218" s="33" t="s">
        <v>713</v>
      </c>
      <c r="F218" s="30"/>
      <c r="G218" s="38">
        <f t="shared" ref="G218:Q218" si="42">IF(SUM(G212:G217)+G193=G101,SUM(G212:G217),"ERROR")</f>
        <v>0</v>
      </c>
      <c r="H218" s="38">
        <f t="shared" si="42"/>
        <v>0</v>
      </c>
      <c r="I218" s="38">
        <f t="shared" si="42"/>
        <v>0</v>
      </c>
      <c r="J218" s="38">
        <f t="shared" si="42"/>
        <v>0</v>
      </c>
      <c r="K218" s="38">
        <f t="shared" si="42"/>
        <v>0</v>
      </c>
      <c r="L218" s="38">
        <f t="shared" si="42"/>
        <v>0</v>
      </c>
      <c r="M218" s="38">
        <f t="shared" si="42"/>
        <v>0</v>
      </c>
      <c r="N218" s="38">
        <f t="shared" si="42"/>
        <v>0</v>
      </c>
      <c r="O218" s="38">
        <f t="shared" si="42"/>
        <v>0</v>
      </c>
      <c r="P218" s="38">
        <f t="shared" si="42"/>
        <v>0</v>
      </c>
      <c r="Q218" s="38">
        <f t="shared" si="42"/>
        <v>0</v>
      </c>
      <c r="R218" s="202" t="str">
        <f>IF(Q218=0,"0%",IF(ISERR(Q218/ABS(P218)),100%,Q218/ABS(P218)))</f>
        <v>0%</v>
      </c>
      <c r="T218" s="38">
        <f>(SUM(O212:O217)+O189)-O97</f>
        <v>0</v>
      </c>
      <c r="V218" s="5"/>
      <c r="Z218" s="5"/>
    </row>
    <row r="219" spans="1:33" ht="12.6" thickTop="1">
      <c r="A219" s="17"/>
      <c r="B219" s="17"/>
      <c r="C219" s="17"/>
      <c r="D219" s="17"/>
      <c r="E219" s="33"/>
      <c r="F219" s="584" t="s">
        <v>146</v>
      </c>
      <c r="G219" s="585">
        <f t="shared" ref="G219:P219" si="43">(SUM(G212:G217)+G193)-G101</f>
        <v>0</v>
      </c>
      <c r="H219" s="585">
        <f t="shared" si="43"/>
        <v>0</v>
      </c>
      <c r="I219" s="585">
        <f t="shared" si="43"/>
        <v>0</v>
      </c>
      <c r="J219" s="585">
        <f t="shared" si="43"/>
        <v>0</v>
      </c>
      <c r="K219" s="585">
        <f t="shared" si="43"/>
        <v>0</v>
      </c>
      <c r="L219" s="585">
        <f t="shared" si="43"/>
        <v>0</v>
      </c>
      <c r="M219" s="585">
        <f t="shared" si="43"/>
        <v>0</v>
      </c>
      <c r="N219" s="585">
        <f t="shared" si="43"/>
        <v>0</v>
      </c>
      <c r="O219" s="585">
        <f t="shared" si="43"/>
        <v>0</v>
      </c>
      <c r="P219" s="585">
        <f t="shared" si="43"/>
        <v>0</v>
      </c>
    </row>
    <row r="220" spans="1:33" ht="12">
      <c r="A220" s="17"/>
      <c r="B220" s="17"/>
      <c r="C220" s="17"/>
      <c r="D220" s="17"/>
      <c r="E220" s="33"/>
      <c r="F220" s="20"/>
      <c r="G220" s="5"/>
      <c r="H220" s="5"/>
      <c r="I220" s="5"/>
      <c r="J220" s="5"/>
      <c r="K220" s="5"/>
      <c r="L220" s="5"/>
      <c r="M220" s="5"/>
      <c r="N220" s="5"/>
      <c r="O220" s="5"/>
    </row>
    <row r="221" spans="1:33">
      <c r="A221" s="1050" t="str">
        <f>A7</f>
        <v>Fund Number:</v>
      </c>
      <c r="B221" s="1100"/>
      <c r="C221" s="1100"/>
      <c r="D221" s="1100"/>
      <c r="E221" s="18" t="str">
        <f>E7</f>
        <v/>
      </c>
      <c r="F221" s="20"/>
    </row>
    <row r="222" spans="1:33" ht="12">
      <c r="A222" s="27"/>
      <c r="B222" s="17"/>
      <c r="C222" s="17"/>
      <c r="D222" s="17"/>
      <c r="E222" s="17"/>
      <c r="F222" s="20"/>
    </row>
    <row r="223" spans="1:33" ht="15" customHeight="1">
      <c r="A223" s="13" t="s">
        <v>719</v>
      </c>
      <c r="B223" s="13"/>
      <c r="C223" s="13"/>
      <c r="D223" s="27"/>
      <c r="F223" s="20"/>
      <c r="R223" s="21"/>
      <c r="T223" s="21"/>
      <c r="V223" s="21"/>
      <c r="Z223" s="21"/>
    </row>
    <row r="224" spans="1:33" ht="24.75" customHeight="1">
      <c r="A224" s="29" t="str">
        <f>A122</f>
        <v>For the Year Ended June 30, 2024</v>
      </c>
      <c r="B224" s="23"/>
      <c r="C224" s="23"/>
      <c r="D224" s="23"/>
      <c r="E224" s="35"/>
      <c r="F224" s="579"/>
      <c r="G224" s="23"/>
      <c r="H224" s="23"/>
      <c r="I224" s="23"/>
      <c r="J224" s="23"/>
      <c r="K224" s="23"/>
      <c r="L224" s="23"/>
      <c r="M224" s="23"/>
      <c r="N224" s="23"/>
      <c r="O224" s="23"/>
      <c r="P224" s="23"/>
      <c r="Q224" s="23"/>
      <c r="R224" s="586"/>
      <c r="S224" s="23"/>
      <c r="T224" s="28"/>
      <c r="V224" s="28"/>
      <c r="X224" s="28"/>
      <c r="Z224" s="587"/>
      <c r="AB224" s="28"/>
    </row>
    <row r="225" spans="1:26" ht="12" customHeight="1">
      <c r="A225" s="27"/>
      <c r="B225" s="17"/>
      <c r="C225" s="17"/>
      <c r="D225" s="17"/>
      <c r="E225" s="17"/>
      <c r="F225" s="26"/>
      <c r="G225" s="21"/>
      <c r="H225" s="21"/>
      <c r="I225" s="21"/>
      <c r="J225" s="21"/>
      <c r="K225" s="21"/>
      <c r="L225" s="21"/>
      <c r="M225" s="21"/>
      <c r="N225" s="21"/>
      <c r="O225" s="21"/>
    </row>
    <row r="226" spans="1:26" ht="39.75" customHeight="1">
      <c r="A226" s="18" t="s">
        <v>282</v>
      </c>
      <c r="B226" s="17"/>
      <c r="C226" s="17"/>
      <c r="D226" s="17"/>
      <c r="E226" s="570" t="s">
        <v>298</v>
      </c>
      <c r="F226" s="16" t="str">
        <f t="shared" ref="F226:O226" si="44">F37</f>
        <v>Reference to Tabs that must be completed</v>
      </c>
      <c r="G226" s="16" t="str">
        <f t="shared" si="44"/>
        <v>Template</v>
      </c>
      <c r="H226" s="16" t="e">
        <f t="shared" si="44"/>
        <v>#N/A</v>
      </c>
      <c r="I226" s="16" t="e">
        <f t="shared" si="44"/>
        <v>#N/A</v>
      </c>
      <c r="J226" s="16" t="e">
        <f t="shared" si="44"/>
        <v>#N/A</v>
      </c>
      <c r="K226" s="16" t="e">
        <f t="shared" si="44"/>
        <v>#N/A</v>
      </c>
      <c r="L226" s="16" t="e">
        <f t="shared" si="44"/>
        <v>#N/A</v>
      </c>
      <c r="M226" s="16" t="e">
        <f t="shared" si="44"/>
        <v>#N/A</v>
      </c>
      <c r="N226" s="16" t="str">
        <f t="shared" si="44"/>
        <v>Intrafund Elimination Entries</v>
      </c>
      <c r="O226" s="16" t="e">
        <f t="shared" si="44"/>
        <v>#N/A</v>
      </c>
      <c r="P226" s="570" t="s">
        <v>532</v>
      </c>
      <c r="Q226" s="570" t="str">
        <f>Q37</f>
        <v>$</v>
      </c>
      <c r="R226" s="570" t="str">
        <f>R37</f>
        <v>%</v>
      </c>
      <c r="S226" s="570" t="str">
        <f>S37</f>
        <v>Notes</v>
      </c>
      <c r="T226" s="16" t="str">
        <f>T37</f>
        <v>Check Figures</v>
      </c>
      <c r="V226" s="5"/>
      <c r="Z226" s="5"/>
    </row>
    <row r="227" spans="1:26" ht="12">
      <c r="A227" s="18"/>
      <c r="B227" s="17"/>
      <c r="C227" s="17"/>
      <c r="D227" s="17"/>
      <c r="E227" s="17"/>
      <c r="F227" s="20"/>
      <c r="G227" s="27"/>
      <c r="H227" s="27"/>
      <c r="I227" s="27"/>
      <c r="J227" s="27"/>
      <c r="K227" s="27"/>
      <c r="L227" s="27"/>
      <c r="M227" s="27"/>
      <c r="N227" s="27"/>
      <c r="O227" s="27"/>
      <c r="R227" s="5"/>
      <c r="T227" s="5"/>
      <c r="V227" s="5"/>
      <c r="Z227" s="5"/>
    </row>
    <row r="228" spans="1:26" ht="12">
      <c r="A228" s="17"/>
      <c r="B228" s="24" t="s">
        <v>283</v>
      </c>
      <c r="C228" s="17"/>
      <c r="D228" s="17"/>
      <c r="E228" s="17"/>
      <c r="F228" s="20"/>
      <c r="G228" s="1"/>
      <c r="H228" s="31"/>
      <c r="I228" s="31"/>
      <c r="J228" s="31"/>
      <c r="K228" s="31"/>
      <c r="L228" s="31"/>
      <c r="M228" s="31"/>
      <c r="N228" s="31"/>
      <c r="O228" s="88">
        <f>SUM(G228:N228)</f>
        <v>0</v>
      </c>
      <c r="P228" s="5" t="str">
        <f>IF(ISNA(HLOOKUP($E$2,'Prior Year FS Balances'!$G$21:$AF$464,190,FALSE)),"",(HLOOKUP($E$2,'Prior Year FS Balances'!$G$21:$AF$464,190,FALSE)))</f>
        <v/>
      </c>
      <c r="Q228" s="5" t="str">
        <f t="shared" ref="Q228:Q234" si="45">IF(ISERR(O228-P228),"",(O228-P228))</f>
        <v/>
      </c>
      <c r="R228" s="201" t="str">
        <f t="shared" ref="R228:R234" si="46">IF($E$7="","",IF(AND(O228=0,P228=0),"",IF(ISERR(Q228/ABS(P228)),100%,Q228/ABS(P228))))</f>
        <v/>
      </c>
      <c r="S228" s="572"/>
      <c r="T228" s="5"/>
      <c r="V228" s="5"/>
      <c r="Z228" s="5"/>
    </row>
    <row r="229" spans="1:26" ht="12">
      <c r="A229" s="17"/>
      <c r="B229" s="24" t="s">
        <v>284</v>
      </c>
      <c r="C229" s="17"/>
      <c r="D229" s="17"/>
      <c r="E229" s="17"/>
      <c r="F229" s="20"/>
      <c r="G229" s="1"/>
      <c r="H229" s="31"/>
      <c r="I229" s="31"/>
      <c r="J229" s="31"/>
      <c r="K229" s="31"/>
      <c r="L229" s="31"/>
      <c r="M229" s="31"/>
      <c r="N229" s="31"/>
      <c r="O229" s="88">
        <f>SUM(G229:N229)</f>
        <v>0</v>
      </c>
      <c r="P229" s="5" t="str">
        <f>IF(ISNA(HLOOKUP($E$2,'Prior Year FS Balances'!$G$21:$AF$464,191,FALSE)),"",(HLOOKUP($E$2,'Prior Year FS Balances'!$G$21:$AF$464,191,FALSE)))</f>
        <v/>
      </c>
      <c r="Q229" s="5" t="str">
        <f t="shared" si="45"/>
        <v/>
      </c>
      <c r="R229" s="201" t="str">
        <f t="shared" si="46"/>
        <v/>
      </c>
      <c r="S229" s="572"/>
      <c r="T229" s="5"/>
      <c r="V229" s="5"/>
      <c r="Z229" s="5"/>
    </row>
    <row r="230" spans="1:26" ht="12">
      <c r="A230" s="17"/>
      <c r="B230" s="40"/>
      <c r="C230" s="17"/>
      <c r="D230" s="17"/>
      <c r="E230" s="17"/>
      <c r="F230" s="20"/>
      <c r="G230" s="5"/>
      <c r="H230" s="5"/>
      <c r="I230" s="5"/>
      <c r="J230" s="5"/>
      <c r="K230" s="5"/>
      <c r="L230" s="5"/>
      <c r="M230" s="5"/>
      <c r="N230" s="5"/>
      <c r="O230" s="5"/>
      <c r="P230" s="5"/>
      <c r="Q230" s="5"/>
      <c r="R230" s="201" t="str">
        <f t="shared" si="46"/>
        <v/>
      </c>
      <c r="T230" s="5"/>
      <c r="V230" s="5"/>
      <c r="Z230" s="5"/>
    </row>
    <row r="231" spans="1:26" ht="12">
      <c r="A231" s="17"/>
      <c r="B231" s="17" t="s">
        <v>619</v>
      </c>
      <c r="C231" s="17"/>
      <c r="D231" s="17"/>
      <c r="E231" s="17"/>
      <c r="F231" s="20"/>
      <c r="G231" s="1"/>
      <c r="H231" s="31"/>
      <c r="I231" s="31"/>
      <c r="J231" s="31"/>
      <c r="K231" s="31"/>
      <c r="L231" s="31"/>
      <c r="M231" s="31"/>
      <c r="N231" s="31"/>
      <c r="O231" s="88">
        <f>SUM(G231:N231)</f>
        <v>0</v>
      </c>
      <c r="P231" s="5" t="str">
        <f>IF(ISNA(HLOOKUP($E$2,'Prior Year FS Balances'!$G$21:$AF$464,193,FALSE)),"",(HLOOKUP($E$2,'Prior Year FS Balances'!$G$21:$AF$464,193,FALSE)))</f>
        <v/>
      </c>
      <c r="Q231" s="5" t="str">
        <f t="shared" si="45"/>
        <v/>
      </c>
      <c r="R231" s="201" t="str">
        <f t="shared" si="46"/>
        <v/>
      </c>
      <c r="S231" s="572"/>
      <c r="T231" s="5"/>
      <c r="V231" s="5"/>
      <c r="Z231" s="5"/>
    </row>
    <row r="232" spans="1:26" ht="12">
      <c r="A232" s="17"/>
      <c r="B232" s="40" t="s">
        <v>285</v>
      </c>
      <c r="C232" s="17"/>
      <c r="D232" s="17"/>
      <c r="E232" s="17"/>
      <c r="F232" s="20"/>
      <c r="G232" s="1"/>
      <c r="H232" s="31"/>
      <c r="I232" s="31"/>
      <c r="J232" s="31"/>
      <c r="K232" s="31"/>
      <c r="L232" s="31"/>
      <c r="M232" s="31"/>
      <c r="N232" s="31"/>
      <c r="O232" s="88">
        <f>SUM(G232:N232)</f>
        <v>0</v>
      </c>
      <c r="P232" s="5" t="str">
        <f>IF(ISNA(HLOOKUP($E$2,'Prior Year FS Balances'!$G$21:$AF$464,194,FALSE)),"",(HLOOKUP($E$2,'Prior Year FS Balances'!$G$21:$AF$464,194,FALSE)))</f>
        <v/>
      </c>
      <c r="Q232" s="5" t="str">
        <f t="shared" si="45"/>
        <v/>
      </c>
      <c r="R232" s="201" t="str">
        <f t="shared" si="46"/>
        <v/>
      </c>
      <c r="S232" s="572"/>
      <c r="T232" s="5"/>
      <c r="V232" s="5"/>
      <c r="Z232" s="5"/>
    </row>
    <row r="233" spans="1:26" ht="12">
      <c r="A233" s="17"/>
      <c r="B233" s="40" t="s">
        <v>620</v>
      </c>
      <c r="C233" s="17"/>
      <c r="D233" s="17"/>
      <c r="E233" s="17"/>
      <c r="F233" s="20"/>
      <c r="G233" s="1"/>
      <c r="H233" s="31"/>
      <c r="I233" s="31"/>
      <c r="J233" s="31"/>
      <c r="K233" s="31"/>
      <c r="L233" s="31"/>
      <c r="M233" s="31"/>
      <c r="N233" s="31"/>
      <c r="O233" s="88">
        <f>SUM(G233:N233)</f>
        <v>0</v>
      </c>
      <c r="P233" s="5" t="str">
        <f>IF(ISNA(HLOOKUP($E$2,'Prior Year FS Balances'!$G$21:$AF$464,195,FALSE)),"",(HLOOKUP($E$2,'Prior Year FS Balances'!$G$21:$AF$464,195,FALSE)))</f>
        <v/>
      </c>
      <c r="Q233" s="5" t="str">
        <f t="shared" si="45"/>
        <v/>
      </c>
      <c r="R233" s="201" t="str">
        <f t="shared" si="46"/>
        <v/>
      </c>
      <c r="S233" s="572"/>
      <c r="T233" s="5"/>
      <c r="V233" s="5"/>
      <c r="Z233" s="5"/>
    </row>
    <row r="234" spans="1:26" ht="12">
      <c r="A234" s="17"/>
      <c r="B234" s="40" t="s">
        <v>653</v>
      </c>
      <c r="C234" s="17"/>
      <c r="D234" s="17"/>
      <c r="E234" s="227" t="str">
        <f>IF(O234&gt;0,"Answer Required",IF(O234&lt;0,"Answer Required","N/A"))</f>
        <v>N/A</v>
      </c>
      <c r="F234" s="20"/>
      <c r="G234" s="1"/>
      <c r="H234" s="31"/>
      <c r="I234" s="31"/>
      <c r="J234" s="31"/>
      <c r="K234" s="31"/>
      <c r="L234" s="31"/>
      <c r="M234" s="31"/>
      <c r="N234" s="31"/>
      <c r="O234" s="88">
        <f>SUM(G234:N234)</f>
        <v>0</v>
      </c>
      <c r="P234" s="5" t="str">
        <f>IF(ISNA(HLOOKUP($E$2,'Prior Year FS Balances'!$G$21:$AF$464,196,FALSE)),"",(HLOOKUP($E$2,'Prior Year FS Balances'!$G$21:$AF$464,196,FALSE)))</f>
        <v/>
      </c>
      <c r="Q234" s="5" t="str">
        <f t="shared" si="45"/>
        <v/>
      </c>
      <c r="R234" s="201" t="str">
        <f t="shared" si="46"/>
        <v/>
      </c>
      <c r="S234" s="572"/>
      <c r="T234" s="5"/>
      <c r="V234" s="5"/>
      <c r="Z234" s="5"/>
    </row>
    <row r="235" spans="1:26" ht="12">
      <c r="A235" s="17"/>
      <c r="B235" s="40"/>
      <c r="C235" s="33" t="s">
        <v>287</v>
      </c>
      <c r="D235" s="17"/>
      <c r="E235" s="17"/>
      <c r="F235" s="20"/>
      <c r="G235" s="34">
        <f t="shared" ref="G235:Q235" si="47">SUM(G231:G234)</f>
        <v>0</v>
      </c>
      <c r="H235" s="34">
        <f t="shared" si="47"/>
        <v>0</v>
      </c>
      <c r="I235" s="34">
        <f t="shared" si="47"/>
        <v>0</v>
      </c>
      <c r="J235" s="34">
        <f>SUM(J231:J234)</f>
        <v>0</v>
      </c>
      <c r="K235" s="34">
        <f t="shared" si="47"/>
        <v>0</v>
      </c>
      <c r="L235" s="34">
        <f t="shared" si="47"/>
        <v>0</v>
      </c>
      <c r="M235" s="34">
        <f t="shared" si="47"/>
        <v>0</v>
      </c>
      <c r="N235" s="34">
        <f t="shared" si="47"/>
        <v>0</v>
      </c>
      <c r="O235" s="34">
        <f t="shared" si="47"/>
        <v>0</v>
      </c>
      <c r="P235" s="34">
        <f t="shared" si="47"/>
        <v>0</v>
      </c>
      <c r="Q235" s="34">
        <f t="shared" si="47"/>
        <v>0</v>
      </c>
      <c r="R235" s="202" t="str">
        <f>IF(Q235=0,"0%",IF(ISERR(Q235/ABS(P235)),100%,Q235/ABS(P235)))</f>
        <v>0%</v>
      </c>
      <c r="T235" s="5"/>
      <c r="V235" s="5"/>
      <c r="Z235" s="5"/>
    </row>
    <row r="236" spans="1:26" ht="12">
      <c r="A236" s="17"/>
      <c r="B236" s="40"/>
      <c r="C236" s="17"/>
      <c r="D236" s="17"/>
      <c r="E236" s="17"/>
      <c r="F236" s="20"/>
      <c r="G236" s="5"/>
      <c r="H236" s="5"/>
      <c r="I236" s="5"/>
      <c r="J236" s="5"/>
      <c r="K236" s="5"/>
      <c r="L236" s="5"/>
      <c r="M236" s="5"/>
      <c r="N236" s="5"/>
      <c r="O236" s="5"/>
      <c r="P236" s="5"/>
      <c r="Q236" s="5"/>
      <c r="R236" s="201"/>
      <c r="T236" s="5"/>
      <c r="V236" s="5"/>
      <c r="Z236" s="5"/>
    </row>
    <row r="237" spans="1:26" ht="12">
      <c r="A237" s="17"/>
      <c r="B237" s="17"/>
      <c r="C237" s="24" t="s">
        <v>288</v>
      </c>
      <c r="D237" s="17"/>
      <c r="E237" s="17"/>
      <c r="F237" s="20"/>
      <c r="G237" s="34">
        <f t="shared" ref="G237:Q237" si="48">SUM(G228,G229,G235)</f>
        <v>0</v>
      </c>
      <c r="H237" s="34">
        <f t="shared" si="48"/>
        <v>0</v>
      </c>
      <c r="I237" s="34">
        <f t="shared" si="48"/>
        <v>0</v>
      </c>
      <c r="J237" s="34">
        <f>SUM(J228,J229,J235)</f>
        <v>0</v>
      </c>
      <c r="K237" s="34">
        <f t="shared" si="48"/>
        <v>0</v>
      </c>
      <c r="L237" s="34">
        <f t="shared" si="48"/>
        <v>0</v>
      </c>
      <c r="M237" s="34">
        <f t="shared" si="48"/>
        <v>0</v>
      </c>
      <c r="N237" s="34">
        <f t="shared" si="48"/>
        <v>0</v>
      </c>
      <c r="O237" s="34">
        <f t="shared" si="48"/>
        <v>0</v>
      </c>
      <c r="P237" s="34">
        <f t="shared" si="48"/>
        <v>0</v>
      </c>
      <c r="Q237" s="34">
        <f t="shared" si="48"/>
        <v>0</v>
      </c>
      <c r="R237" s="202" t="str">
        <f>IF(Q237=0,"0%",IF(ISERR(Q237/ABS(P237)),100%,Q237/ABS(P237)))</f>
        <v>0%</v>
      </c>
      <c r="T237" s="5"/>
      <c r="V237" s="5"/>
      <c r="Z237" s="5"/>
    </row>
    <row r="238" spans="1:26" ht="12">
      <c r="A238" s="17"/>
      <c r="B238" s="17"/>
      <c r="C238" s="17"/>
      <c r="D238" s="17"/>
      <c r="E238" s="17"/>
      <c r="F238" s="20"/>
      <c r="G238" s="5"/>
      <c r="H238" s="5"/>
      <c r="I238" s="5"/>
      <c r="J238" s="5"/>
      <c r="K238" s="5"/>
      <c r="L238" s="5"/>
      <c r="M238" s="5"/>
      <c r="N238" s="5"/>
      <c r="O238" s="5"/>
      <c r="P238" s="5"/>
      <c r="Q238" s="5"/>
      <c r="R238" s="201"/>
      <c r="T238" s="5"/>
      <c r="V238" s="5"/>
      <c r="Z238" s="5"/>
    </row>
    <row r="239" spans="1:26" ht="12">
      <c r="A239" s="18" t="s">
        <v>289</v>
      </c>
      <c r="B239" s="17"/>
      <c r="C239" s="17"/>
      <c r="D239" s="17"/>
      <c r="E239" s="17"/>
      <c r="F239" s="20"/>
      <c r="G239" s="5"/>
      <c r="H239" s="5"/>
      <c r="I239" s="5"/>
      <c r="J239" s="5"/>
      <c r="K239" s="5"/>
      <c r="L239" s="5"/>
      <c r="M239" s="5"/>
      <c r="N239" s="5"/>
      <c r="O239" s="5"/>
      <c r="P239" s="5"/>
      <c r="Q239" s="5"/>
      <c r="R239" s="201"/>
      <c r="T239" s="5"/>
      <c r="V239" s="5"/>
      <c r="Z239" s="5"/>
    </row>
    <row r="240" spans="1:26" ht="12">
      <c r="A240" s="17"/>
      <c r="B240" s="24" t="s">
        <v>524</v>
      </c>
      <c r="C240" s="17"/>
      <c r="D240" s="17"/>
      <c r="E240" s="17"/>
      <c r="F240" s="20"/>
      <c r="G240" s="1"/>
      <c r="H240" s="31"/>
      <c r="I240" s="31"/>
      <c r="J240" s="31"/>
      <c r="K240" s="31"/>
      <c r="L240" s="31"/>
      <c r="M240" s="31"/>
      <c r="N240" s="31"/>
      <c r="O240" s="88">
        <f>SUM(G240:N240)</f>
        <v>0</v>
      </c>
      <c r="P240" s="5" t="str">
        <f>IF(ISNA(HLOOKUP($E$2,'Prior Year FS Balances'!$G$21:$AF$464,202,FALSE)),"",(HLOOKUP($E$2,'Prior Year FS Balances'!$G$21:$AF$464,202,FALSE)))</f>
        <v/>
      </c>
      <c r="Q240" s="5" t="str">
        <f>IF(ISERR(O240-P240),"",(O240-P240))</f>
        <v/>
      </c>
      <c r="R240" s="201" t="str">
        <f>IF($E$7="","",IF(AND(O240=0,P240=0),"",IF(ISERR(Q240/ABS(P240)),100%,Q240/ABS(P240))))</f>
        <v/>
      </c>
      <c r="S240" s="572"/>
      <c r="T240" s="5"/>
      <c r="V240" s="5"/>
      <c r="Z240" s="5"/>
    </row>
    <row r="241" spans="1:26" ht="12">
      <c r="A241" s="17"/>
      <c r="B241" s="40"/>
      <c r="C241" s="17"/>
      <c r="D241" s="17"/>
      <c r="E241" s="17"/>
      <c r="F241" s="20"/>
      <c r="G241" s="5"/>
      <c r="H241" s="5"/>
      <c r="I241" s="5"/>
      <c r="J241" s="5"/>
      <c r="K241" s="5"/>
      <c r="L241" s="5"/>
      <c r="M241" s="5"/>
      <c r="N241" s="5"/>
      <c r="O241" s="5"/>
      <c r="P241" s="5"/>
      <c r="Q241" s="5"/>
      <c r="R241" s="201"/>
      <c r="T241" s="5"/>
      <c r="V241" s="5"/>
      <c r="Z241" s="5"/>
    </row>
    <row r="242" spans="1:26" ht="12">
      <c r="A242" s="17"/>
      <c r="B242" s="40" t="s">
        <v>525</v>
      </c>
      <c r="C242" s="17"/>
      <c r="D242" s="17"/>
      <c r="E242" s="17"/>
      <c r="F242" s="20"/>
      <c r="G242" s="1"/>
      <c r="H242" s="31"/>
      <c r="I242" s="31"/>
      <c r="J242" s="31"/>
      <c r="K242" s="31"/>
      <c r="L242" s="31"/>
      <c r="M242" s="31"/>
      <c r="N242" s="31"/>
      <c r="O242" s="88">
        <f>SUM(G242:N242)</f>
        <v>0</v>
      </c>
      <c r="P242" s="5" t="str">
        <f>IF(ISNA(HLOOKUP($E$2,'Prior Year FS Balances'!$G$21:$AF$464,204,FALSE)),"",(HLOOKUP($E$2,'Prior Year FS Balances'!$G$21:$AF$464,204,FALSE)))</f>
        <v/>
      </c>
      <c r="Q242" s="5" t="str">
        <f>IF(ISERR(O242-P242),"",(O242-P242))</f>
        <v/>
      </c>
      <c r="R242" s="201" t="str">
        <f>IF($E$7="","",IF(AND(O242=0,P242=0),"",IF(ISERR(Q242/ABS(P242)),100%,Q242/ABS(P242))))</f>
        <v/>
      </c>
      <c r="S242" s="572"/>
      <c r="T242" s="5"/>
      <c r="V242" s="5"/>
      <c r="Z242" s="5"/>
    </row>
    <row r="243" spans="1:26" ht="12" hidden="1">
      <c r="A243" s="17"/>
      <c r="B243" s="40" t="s">
        <v>640</v>
      </c>
      <c r="C243" s="17"/>
      <c r="D243" s="17"/>
      <c r="E243" s="17"/>
      <c r="F243" s="20"/>
      <c r="G243" s="32"/>
      <c r="H243" s="32"/>
      <c r="I243" s="32"/>
      <c r="J243" s="32"/>
      <c r="K243" s="32"/>
      <c r="L243" s="32"/>
      <c r="M243" s="32"/>
      <c r="N243" s="32"/>
      <c r="O243" s="588"/>
      <c r="P243" s="5">
        <v>0</v>
      </c>
      <c r="Q243" s="5">
        <f>O243-P243</f>
        <v>0</v>
      </c>
      <c r="R243" s="201" t="str">
        <f>IF(Q243=0,"0%",Q243/ABS(P243))</f>
        <v>0%</v>
      </c>
      <c r="S243" s="581"/>
      <c r="T243" s="5"/>
      <c r="V243" s="5"/>
      <c r="Z243" s="5"/>
    </row>
    <row r="244" spans="1:26" ht="12.75" customHeight="1">
      <c r="A244" s="17"/>
      <c r="B244" s="40"/>
      <c r="C244" s="33" t="s">
        <v>227</v>
      </c>
      <c r="D244" s="17"/>
      <c r="E244" s="17"/>
      <c r="F244" s="20"/>
      <c r="G244" s="34">
        <f t="shared" ref="G244:Q244" si="49">SUM(G242:G243)</f>
        <v>0</v>
      </c>
      <c r="H244" s="34">
        <f t="shared" si="49"/>
        <v>0</v>
      </c>
      <c r="I244" s="34">
        <f t="shared" si="49"/>
        <v>0</v>
      </c>
      <c r="J244" s="34">
        <f>SUM(J242:J243)</f>
        <v>0</v>
      </c>
      <c r="K244" s="34">
        <f t="shared" si="49"/>
        <v>0</v>
      </c>
      <c r="L244" s="34">
        <f t="shared" si="49"/>
        <v>0</v>
      </c>
      <c r="M244" s="34">
        <f t="shared" si="49"/>
        <v>0</v>
      </c>
      <c r="N244" s="34">
        <f t="shared" si="49"/>
        <v>0</v>
      </c>
      <c r="O244" s="34">
        <f t="shared" si="49"/>
        <v>0</v>
      </c>
      <c r="P244" s="34">
        <f t="shared" si="49"/>
        <v>0</v>
      </c>
      <c r="Q244" s="34">
        <f t="shared" si="49"/>
        <v>0</v>
      </c>
      <c r="R244" s="202" t="str">
        <f>IF(Q244=0,"0%",IF(ISERR(Q244/ABS(P244)),100%,Q244/ABS(P244)))</f>
        <v>0%</v>
      </c>
      <c r="T244" s="5"/>
      <c r="V244" s="5"/>
      <c r="Z244" s="5"/>
    </row>
    <row r="245" spans="1:26" ht="12">
      <c r="A245" s="17"/>
      <c r="B245" s="40"/>
      <c r="C245" s="17"/>
      <c r="D245" s="17"/>
      <c r="E245" s="17"/>
      <c r="F245" s="20"/>
      <c r="G245" s="5"/>
      <c r="H245" s="5"/>
      <c r="I245" s="5"/>
      <c r="J245" s="5"/>
      <c r="K245" s="5"/>
      <c r="L245" s="5"/>
      <c r="M245" s="5"/>
      <c r="N245" s="5"/>
      <c r="O245" s="5"/>
      <c r="P245" s="5"/>
      <c r="Q245" s="5"/>
      <c r="R245" s="201"/>
      <c r="T245" s="5"/>
      <c r="V245" s="5"/>
      <c r="Z245" s="5"/>
    </row>
    <row r="246" spans="1:26" ht="12" hidden="1">
      <c r="A246" s="17"/>
      <c r="B246" s="24" t="s">
        <v>621</v>
      </c>
      <c r="C246" s="17"/>
      <c r="D246" s="17"/>
      <c r="E246" s="17"/>
      <c r="F246" s="20"/>
      <c r="G246" s="31"/>
      <c r="H246" s="31"/>
      <c r="I246" s="31"/>
      <c r="J246" s="31"/>
      <c r="K246" s="31"/>
      <c r="L246" s="31"/>
      <c r="M246" s="31"/>
      <c r="N246" s="31"/>
      <c r="O246" s="88"/>
      <c r="P246" s="5"/>
      <c r="Q246" s="5">
        <f>O246-P246</f>
        <v>0</v>
      </c>
      <c r="R246" s="201" t="str">
        <f>IF(Q246=0,"0%",Q246/ABS(P246))</f>
        <v>0%</v>
      </c>
      <c r="S246" s="581"/>
      <c r="T246" s="5"/>
      <c r="V246" s="5"/>
      <c r="Z246" s="5"/>
    </row>
    <row r="247" spans="1:26" ht="12">
      <c r="A247" s="17"/>
      <c r="B247" s="24" t="s">
        <v>641</v>
      </c>
      <c r="C247" s="17"/>
      <c r="D247" s="17"/>
      <c r="E247" s="17"/>
      <c r="F247" s="20"/>
      <c r="G247" s="1"/>
      <c r="H247" s="31"/>
      <c r="I247" s="31"/>
      <c r="J247" s="31"/>
      <c r="K247" s="31"/>
      <c r="L247" s="31"/>
      <c r="M247" s="31"/>
      <c r="N247" s="31"/>
      <c r="O247" s="88">
        <f>SUM(G247:N247)</f>
        <v>0</v>
      </c>
      <c r="P247" s="5" t="str">
        <f>IF(ISNA(HLOOKUP($E$2,'Prior Year FS Balances'!$G$21:$AF$464,209,FALSE)),"",(HLOOKUP($E$2,'Prior Year FS Balances'!$G$21:$AF$464,209,FALSE)))</f>
        <v/>
      </c>
      <c r="Q247" s="5" t="str">
        <f t="shared" ref="Q247:Q252" si="50">IF(ISERR(O247-P247),"",(O247-P247))</f>
        <v/>
      </c>
      <c r="R247" s="201" t="str">
        <f t="shared" ref="R247:R252" si="51">IF($E$7="","",IF(AND(O247=0,P247=0),"",IF(ISERR(Q247/ABS(P247)),100%,Q247/ABS(P247))))</f>
        <v/>
      </c>
      <c r="S247" s="572"/>
      <c r="T247" s="5"/>
      <c r="V247" s="5"/>
      <c r="Z247" s="5"/>
    </row>
    <row r="248" spans="1:26" ht="12">
      <c r="A248" s="17"/>
      <c r="B248" s="24" t="s">
        <v>180</v>
      </c>
      <c r="C248" s="17"/>
      <c r="D248" s="17"/>
      <c r="E248" s="17"/>
      <c r="F248" s="20"/>
      <c r="G248" s="1"/>
      <c r="H248" s="31"/>
      <c r="I248" s="31"/>
      <c r="J248" s="31"/>
      <c r="K248" s="31"/>
      <c r="L248" s="31"/>
      <c r="M248" s="31"/>
      <c r="N248" s="31"/>
      <c r="O248" s="88">
        <f>SUM(G248:N248)</f>
        <v>0</v>
      </c>
      <c r="P248" s="5" t="str">
        <f>IF(ISNA(HLOOKUP($E$2,'Prior Year FS Balances'!$G$21:$AF$464,210,FALSE)),"",(HLOOKUP($E$2,'Prior Year FS Balances'!$G$21:$AF$464,210,FALSE)))</f>
        <v/>
      </c>
      <c r="Q248" s="5" t="str">
        <f t="shared" si="50"/>
        <v/>
      </c>
      <c r="R248" s="201" t="str">
        <f t="shared" si="51"/>
        <v/>
      </c>
      <c r="S248" s="572"/>
      <c r="T248" s="5"/>
      <c r="V248" s="5"/>
      <c r="Z248" s="5"/>
    </row>
    <row r="249" spans="1:26" ht="12">
      <c r="A249" s="17"/>
      <c r="B249" s="24" t="s">
        <v>181</v>
      </c>
      <c r="C249" s="17"/>
      <c r="D249" s="17"/>
      <c r="E249" s="17"/>
      <c r="F249" s="20"/>
      <c r="G249" s="1"/>
      <c r="H249" s="31"/>
      <c r="I249" s="31"/>
      <c r="J249" s="31"/>
      <c r="K249" s="31"/>
      <c r="L249" s="31"/>
      <c r="M249" s="31"/>
      <c r="N249" s="31"/>
      <c r="O249" s="88">
        <f>SUM(G249:N249)</f>
        <v>0</v>
      </c>
      <c r="P249" s="5" t="str">
        <f>IF(ISNA(HLOOKUP($E$2,'Prior Year FS Balances'!$G$21:$AF$464,211,FALSE)),"",(HLOOKUP($E$2,'Prior Year FS Balances'!$G$21:$AF$464,211,FALSE)))</f>
        <v/>
      </c>
      <c r="Q249" s="5" t="str">
        <f t="shared" si="50"/>
        <v/>
      </c>
      <c r="R249" s="201" t="str">
        <f t="shared" si="51"/>
        <v/>
      </c>
      <c r="S249" s="572"/>
      <c r="T249" s="5"/>
      <c r="V249" s="5"/>
      <c r="Z249" s="5"/>
    </row>
    <row r="250" spans="1:26" ht="12">
      <c r="A250" s="17"/>
      <c r="B250" s="24"/>
      <c r="C250" s="17"/>
      <c r="D250" s="17"/>
      <c r="E250" s="17"/>
      <c r="F250" s="20"/>
      <c r="G250" s="5"/>
      <c r="H250" s="5"/>
      <c r="I250" s="5"/>
      <c r="J250" s="5"/>
      <c r="K250" s="5"/>
      <c r="L250" s="5"/>
      <c r="M250" s="5"/>
      <c r="N250" s="5"/>
      <c r="O250" s="5"/>
      <c r="P250" s="5"/>
      <c r="Q250" s="5"/>
      <c r="R250" s="201" t="str">
        <f t="shared" si="51"/>
        <v/>
      </c>
      <c r="T250" s="5"/>
      <c r="V250" s="5"/>
      <c r="Z250" s="5"/>
    </row>
    <row r="251" spans="1:26" ht="12">
      <c r="A251" s="17"/>
      <c r="B251" s="40" t="s">
        <v>182</v>
      </c>
      <c r="C251" s="17"/>
      <c r="D251" s="17"/>
      <c r="E251" s="17"/>
      <c r="F251" s="30" t="s">
        <v>664</v>
      </c>
      <c r="G251" s="1"/>
      <c r="H251" s="31"/>
      <c r="I251" s="31"/>
      <c r="J251" s="31"/>
      <c r="K251" s="31"/>
      <c r="L251" s="31"/>
      <c r="M251" s="31"/>
      <c r="N251" s="31"/>
      <c r="O251" s="88">
        <f>SUM(G251:N251)</f>
        <v>0</v>
      </c>
      <c r="P251" s="5" t="str">
        <f>IF(ISNA(HLOOKUP($E$2,'Prior Year FS Balances'!$G$21:$AF$464,213,FALSE)),"",(HLOOKUP($E$2,'Prior Year FS Balances'!$G$21:$AF$464,213,FALSE)))</f>
        <v/>
      </c>
      <c r="Q251" s="5" t="str">
        <f t="shared" si="50"/>
        <v/>
      </c>
      <c r="R251" s="201" t="str">
        <f t="shared" si="51"/>
        <v/>
      </c>
      <c r="S251" s="572"/>
      <c r="T251" s="5"/>
      <c r="V251" s="5"/>
      <c r="Z251" s="5"/>
    </row>
    <row r="252" spans="1:26" ht="26.25" customHeight="1">
      <c r="A252" s="17"/>
      <c r="B252" s="1103" t="s">
        <v>3293</v>
      </c>
      <c r="C252" s="1051"/>
      <c r="D252" s="1051"/>
      <c r="E252" s="1051"/>
      <c r="F252" s="30" t="s">
        <v>664</v>
      </c>
      <c r="G252" s="1"/>
      <c r="H252" s="31"/>
      <c r="I252" s="31"/>
      <c r="J252" s="31"/>
      <c r="K252" s="31"/>
      <c r="L252" s="31"/>
      <c r="M252" s="31"/>
      <c r="N252" s="31"/>
      <c r="O252" s="88">
        <f>SUM(G252:N252)</f>
        <v>0</v>
      </c>
      <c r="P252" s="5" t="str">
        <f>IF(ISNA(HLOOKUP($E$2,'Prior Year FS Balances'!$G$21:$AF$464,214,FALSE)),"",(HLOOKUP($E$2,'Prior Year FS Balances'!$G$21:$AF$464,214,FALSE)))</f>
        <v/>
      </c>
      <c r="Q252" s="5" t="str">
        <f t="shared" si="50"/>
        <v/>
      </c>
      <c r="R252" s="201" t="str">
        <f t="shared" si="51"/>
        <v/>
      </c>
      <c r="S252" s="572"/>
      <c r="T252" s="5"/>
      <c r="V252" s="5"/>
      <c r="Z252" s="5"/>
    </row>
    <row r="253" spans="1:26" ht="12">
      <c r="A253" s="17"/>
      <c r="B253" s="40"/>
      <c r="C253" s="33" t="s">
        <v>228</v>
      </c>
      <c r="D253" s="17"/>
      <c r="E253" s="17"/>
      <c r="F253" s="20"/>
      <c r="G253" s="34">
        <f t="shared" ref="G253:Q253" si="52">SUM(G251:G252)</f>
        <v>0</v>
      </c>
      <c r="H253" s="34">
        <f t="shared" si="52"/>
        <v>0</v>
      </c>
      <c r="I253" s="34">
        <f t="shared" si="52"/>
        <v>0</v>
      </c>
      <c r="J253" s="34">
        <f>SUM(J251:J252)</f>
        <v>0</v>
      </c>
      <c r="K253" s="34">
        <f t="shared" si="52"/>
        <v>0</v>
      </c>
      <c r="L253" s="34">
        <f t="shared" si="52"/>
        <v>0</v>
      </c>
      <c r="M253" s="34">
        <f t="shared" si="52"/>
        <v>0</v>
      </c>
      <c r="N253" s="34">
        <f t="shared" si="52"/>
        <v>0</v>
      </c>
      <c r="O253" s="34">
        <f t="shared" si="52"/>
        <v>0</v>
      </c>
      <c r="P253" s="34">
        <f t="shared" si="52"/>
        <v>0</v>
      </c>
      <c r="Q253" s="34">
        <f t="shared" si="52"/>
        <v>0</v>
      </c>
      <c r="R253" s="202" t="str">
        <f>IF(Q253=0,"0%",IF(ISERR(Q253/ABS(P253)),100%,Q253/ABS(P253)))</f>
        <v>0%</v>
      </c>
      <c r="T253" s="5"/>
      <c r="V253" s="5"/>
      <c r="Z253" s="5"/>
    </row>
    <row r="254" spans="1:26" ht="12">
      <c r="A254" s="17"/>
      <c r="B254" s="40"/>
      <c r="C254" s="33"/>
      <c r="D254" s="17"/>
      <c r="E254" s="17"/>
      <c r="F254" s="20"/>
      <c r="G254" s="5"/>
      <c r="H254" s="5"/>
      <c r="I254" s="5"/>
      <c r="J254" s="5"/>
      <c r="K254" s="5"/>
      <c r="L254" s="5"/>
      <c r="M254" s="5"/>
      <c r="N254" s="5"/>
      <c r="O254" s="5"/>
      <c r="P254" s="5"/>
      <c r="Q254" s="5"/>
      <c r="R254" s="201"/>
      <c r="T254" s="5"/>
      <c r="V254" s="5"/>
      <c r="Z254" s="5"/>
    </row>
    <row r="255" spans="1:26" ht="12">
      <c r="A255" s="17"/>
      <c r="B255" s="24" t="s">
        <v>184</v>
      </c>
      <c r="C255" s="17"/>
      <c r="D255" s="17"/>
      <c r="E255" s="17"/>
      <c r="F255" s="20"/>
      <c r="G255" s="1"/>
      <c r="H255" s="31"/>
      <c r="I255" s="31"/>
      <c r="J255" s="31"/>
      <c r="K255" s="31"/>
      <c r="L255" s="31"/>
      <c r="M255" s="31"/>
      <c r="N255" s="31"/>
      <c r="O255" s="88">
        <f>SUM(G255:N255)</f>
        <v>0</v>
      </c>
      <c r="P255" s="5" t="str">
        <f>IF(ISNA(HLOOKUP($E$2,'Prior Year FS Balances'!$G$21:$AF$464,217,FALSE)),"",(HLOOKUP($E$2,'Prior Year FS Balances'!$G$21:$AF$464,217,FALSE)))</f>
        <v/>
      </c>
      <c r="Q255" s="5" t="str">
        <f t="shared" ref="Q255:Q261" si="53">IF(ISERR(O255-P255),"",(O255-P255))</f>
        <v/>
      </c>
      <c r="R255" s="201" t="str">
        <f>IF($E$7="","",IF(AND(O255=0,P255=0),"",IF(ISERR(Q255/ABS(P255)),100%,Q255/ABS(P255))))</f>
        <v/>
      </c>
      <c r="S255" s="572"/>
      <c r="T255" s="5"/>
      <c r="V255" s="5"/>
      <c r="Z255" s="5"/>
    </row>
    <row r="256" spans="1:26" ht="12">
      <c r="A256" s="17"/>
      <c r="B256" s="24" t="s">
        <v>290</v>
      </c>
      <c r="C256" s="17"/>
      <c r="D256" s="17"/>
      <c r="E256" s="17"/>
      <c r="F256" s="20"/>
      <c r="G256" s="1"/>
      <c r="H256" s="31"/>
      <c r="I256" s="31"/>
      <c r="J256" s="31"/>
      <c r="K256" s="31"/>
      <c r="L256" s="31"/>
      <c r="M256" s="31"/>
      <c r="N256" s="31"/>
      <c r="O256" s="88">
        <f>SUM(G256:N256)</f>
        <v>0</v>
      </c>
      <c r="P256" s="5" t="str">
        <f>IF(ISNA(HLOOKUP($E$2,'Prior Year FS Balances'!$G$21:$AF$464,218,FALSE)),"",(HLOOKUP($E$2,'Prior Year FS Balances'!$G$21:$AF$464,218,FALSE)))</f>
        <v/>
      </c>
      <c r="Q256" s="5" t="str">
        <f t="shared" si="53"/>
        <v/>
      </c>
      <c r="R256" s="201" t="str">
        <f>IF($E$7="","",IF(AND(O256=0,P256=0),"",IF(ISERR(Q256/ABS(P256)),100%,Q256/ABS(P256))))</f>
        <v/>
      </c>
      <c r="S256" s="572"/>
    </row>
    <row r="257" spans="1:26" ht="12" hidden="1">
      <c r="A257" s="17"/>
      <c r="B257" s="24" t="s">
        <v>243</v>
      </c>
      <c r="C257" s="17"/>
      <c r="D257" s="17"/>
      <c r="E257" s="17"/>
      <c r="F257" s="20"/>
      <c r="G257" s="1"/>
      <c r="H257" s="31"/>
      <c r="I257" s="31"/>
      <c r="J257" s="31"/>
      <c r="K257" s="31"/>
      <c r="L257" s="31"/>
      <c r="M257" s="31"/>
      <c r="N257" s="31"/>
      <c r="O257" s="88"/>
      <c r="P257" s="5">
        <v>0</v>
      </c>
      <c r="Q257" s="5">
        <f t="shared" si="53"/>
        <v>0</v>
      </c>
      <c r="R257" s="201" t="str">
        <f t="shared" ref="R257" si="54">IF($E$7="","",IF(AND(G257=0,P257=0),"",IF(ISERR(Q257/ABS(P257)),100%,Q257/ABS(P257))))</f>
        <v/>
      </c>
      <c r="S257" s="581"/>
      <c r="T257" s="5"/>
      <c r="V257" s="5"/>
      <c r="Z257" s="5"/>
    </row>
    <row r="258" spans="1:26" ht="12">
      <c r="A258" s="17"/>
      <c r="B258" s="17"/>
      <c r="C258" s="17"/>
      <c r="D258" s="17"/>
      <c r="E258" s="17"/>
      <c r="F258" s="20"/>
      <c r="G258" s="5"/>
      <c r="H258" s="5"/>
      <c r="I258" s="5"/>
      <c r="J258" s="5"/>
      <c r="K258" s="5"/>
      <c r="L258" s="5"/>
      <c r="M258" s="5"/>
      <c r="N258" s="5"/>
      <c r="O258" s="5"/>
      <c r="P258" s="5"/>
      <c r="Q258" s="5"/>
      <c r="R258" s="201" t="str">
        <f>IF($E$7="","",IF(AND(O258=0,P258=0),"",IF(ISERR(Q258/ABS(P258)),100%,Q258/ABS(P258))))</f>
        <v/>
      </c>
      <c r="T258" s="5"/>
      <c r="V258" s="5"/>
      <c r="Z258" s="5"/>
    </row>
    <row r="259" spans="1:26" ht="12">
      <c r="A259" s="17"/>
      <c r="B259" s="40" t="s">
        <v>622</v>
      </c>
      <c r="C259" s="17"/>
      <c r="D259" s="17"/>
      <c r="E259" s="17"/>
      <c r="F259" s="20"/>
      <c r="G259" s="1"/>
      <c r="H259" s="31"/>
      <c r="I259" s="31"/>
      <c r="J259" s="31"/>
      <c r="K259" s="31"/>
      <c r="L259" s="31"/>
      <c r="M259" s="31"/>
      <c r="N259" s="31"/>
      <c r="O259" s="88">
        <f>SUM(G259:N259)</f>
        <v>0</v>
      </c>
      <c r="P259" s="5" t="str">
        <f>IF(ISNA(HLOOKUP($E$2,'Prior Year FS Balances'!$G$21:$AF$464,221,FALSE)),"",(HLOOKUP($E$2,'Prior Year FS Balances'!$G$21:$AF$464,221,FALSE)))</f>
        <v/>
      </c>
      <c r="Q259" s="5" t="str">
        <f t="shared" si="53"/>
        <v/>
      </c>
      <c r="R259" s="201" t="str">
        <f>IF($E$7="","",IF(AND(O259=0,P259=0),"",IF(ISERR(Q259/ABS(P259)),100%,Q259/ABS(P259))))</f>
        <v/>
      </c>
      <c r="S259" s="572"/>
      <c r="T259" s="5"/>
      <c r="V259" s="5"/>
      <c r="Z259" s="5"/>
    </row>
    <row r="260" spans="1:26" ht="12">
      <c r="A260" s="17"/>
      <c r="B260" s="40" t="s">
        <v>365</v>
      </c>
      <c r="C260" s="17"/>
      <c r="D260" s="17"/>
      <c r="E260" s="17"/>
      <c r="F260" s="20"/>
      <c r="G260" s="1"/>
      <c r="H260" s="31"/>
      <c r="I260" s="31"/>
      <c r="J260" s="31"/>
      <c r="K260" s="31"/>
      <c r="L260" s="31"/>
      <c r="M260" s="31"/>
      <c r="N260" s="31"/>
      <c r="O260" s="88">
        <f>SUM(G260:N260)</f>
        <v>0</v>
      </c>
      <c r="P260" s="5" t="str">
        <f>IF(ISNA(HLOOKUP($E$2,'Prior Year FS Balances'!$G$21:$AF$464,222,FALSE)),"",(HLOOKUP($E$2,'Prior Year FS Balances'!$G$21:$AF$464,222,FALSE)))</f>
        <v/>
      </c>
      <c r="Q260" s="5" t="str">
        <f t="shared" si="53"/>
        <v/>
      </c>
      <c r="R260" s="201" t="str">
        <f>IF($E$7="","",IF(AND(O260=0,P260=0),"",IF(ISERR(Q260/ABS(P260)),100%,Q260/ABS(P260))))</f>
        <v/>
      </c>
      <c r="S260" s="572"/>
      <c r="T260" s="5"/>
      <c r="V260" s="5"/>
      <c r="Z260" s="5"/>
    </row>
    <row r="261" spans="1:26" ht="12">
      <c r="A261" s="17"/>
      <c r="B261" s="40" t="s">
        <v>653</v>
      </c>
      <c r="C261" s="17"/>
      <c r="D261" s="17"/>
      <c r="E261" s="227" t="str">
        <f>IF(O261&gt;0,"Answer Required",IF(O261&lt;0,"Answer Required","N/A"))</f>
        <v>N/A</v>
      </c>
      <c r="F261" s="20"/>
      <c r="G261" s="1"/>
      <c r="H261" s="31"/>
      <c r="I261" s="31"/>
      <c r="J261" s="31"/>
      <c r="K261" s="31"/>
      <c r="L261" s="31"/>
      <c r="M261" s="31"/>
      <c r="N261" s="31"/>
      <c r="O261" s="88">
        <f>SUM(G261:N261)</f>
        <v>0</v>
      </c>
      <c r="P261" s="5" t="str">
        <f>IF(ISNA(HLOOKUP($E$2,'Prior Year FS Balances'!$G$21:$AF$464,223,FALSE)),"",(HLOOKUP($E$2,'Prior Year FS Balances'!$G$21:$AF$464,223,FALSE)))</f>
        <v/>
      </c>
      <c r="Q261" s="5" t="str">
        <f t="shared" si="53"/>
        <v/>
      </c>
      <c r="R261" s="201" t="str">
        <f>IF($E$7="","",IF(AND(O261=0,P261=0),"",IF(ISERR(Q261/ABS(P261)),100%,Q261/ABS(P261))))</f>
        <v/>
      </c>
      <c r="S261" s="572"/>
      <c r="T261" s="5"/>
      <c r="V261" s="5"/>
      <c r="Z261" s="5"/>
    </row>
    <row r="262" spans="1:26" ht="12">
      <c r="A262" s="17"/>
      <c r="B262" s="40"/>
      <c r="C262" s="33" t="s">
        <v>229</v>
      </c>
      <c r="D262" s="17"/>
      <c r="E262" s="17"/>
      <c r="F262" s="20"/>
      <c r="G262" s="34">
        <f t="shared" ref="G262:Q262" si="55">SUM(G259:G261)</f>
        <v>0</v>
      </c>
      <c r="H262" s="34">
        <f t="shared" si="55"/>
        <v>0</v>
      </c>
      <c r="I262" s="34">
        <f t="shared" si="55"/>
        <v>0</v>
      </c>
      <c r="J262" s="34">
        <f>SUM(J259:J261)</f>
        <v>0</v>
      </c>
      <c r="K262" s="34">
        <f t="shared" si="55"/>
        <v>0</v>
      </c>
      <c r="L262" s="34">
        <f t="shared" si="55"/>
        <v>0</v>
      </c>
      <c r="M262" s="34">
        <f t="shared" si="55"/>
        <v>0</v>
      </c>
      <c r="N262" s="34">
        <f t="shared" si="55"/>
        <v>0</v>
      </c>
      <c r="O262" s="34">
        <f t="shared" si="55"/>
        <v>0</v>
      </c>
      <c r="P262" s="34">
        <f t="shared" si="55"/>
        <v>0</v>
      </c>
      <c r="Q262" s="34">
        <f t="shared" si="55"/>
        <v>0</v>
      </c>
      <c r="R262" s="202" t="str">
        <f>IF(Q262=0,"0%",IF(ISERR(Q262/ABS(P262)),100%,Q262/ABS(P262)))</f>
        <v>0%</v>
      </c>
      <c r="T262" s="5"/>
      <c r="V262" s="5"/>
      <c r="Z262" s="5"/>
    </row>
    <row r="263" spans="1:26" ht="12">
      <c r="A263" s="17"/>
      <c r="B263" s="40"/>
      <c r="C263" s="17"/>
      <c r="D263" s="17"/>
      <c r="E263" s="17"/>
      <c r="F263" s="20"/>
      <c r="G263" s="5"/>
      <c r="H263" s="5"/>
      <c r="I263" s="5"/>
      <c r="J263" s="5"/>
      <c r="K263" s="5"/>
      <c r="L263" s="5"/>
      <c r="M263" s="5"/>
      <c r="N263" s="5"/>
      <c r="O263" s="5"/>
      <c r="P263" s="5"/>
      <c r="Q263" s="5"/>
      <c r="R263" s="201"/>
      <c r="T263" s="5"/>
      <c r="V263" s="5"/>
      <c r="Z263" s="5"/>
    </row>
    <row r="264" spans="1:26" ht="12">
      <c r="A264" s="17"/>
      <c r="B264" s="17"/>
      <c r="C264" s="24" t="s">
        <v>185</v>
      </c>
      <c r="D264" s="17"/>
      <c r="E264" s="17"/>
      <c r="F264" s="20"/>
      <c r="G264" s="34">
        <f t="shared" ref="G264:Q264" si="56">SUM(G240,G244,G246:G249,G253,G255,G256,G257,G262)</f>
        <v>0</v>
      </c>
      <c r="H264" s="34">
        <f t="shared" si="56"/>
        <v>0</v>
      </c>
      <c r="I264" s="34">
        <f t="shared" si="56"/>
        <v>0</v>
      </c>
      <c r="J264" s="34">
        <f>SUM(J240,J244,J246:J249,J253,J255,J256,J257,J262)</f>
        <v>0</v>
      </c>
      <c r="K264" s="34">
        <f t="shared" si="56"/>
        <v>0</v>
      </c>
      <c r="L264" s="34">
        <f t="shared" si="56"/>
        <v>0</v>
      </c>
      <c r="M264" s="34">
        <f t="shared" si="56"/>
        <v>0</v>
      </c>
      <c r="N264" s="34">
        <f t="shared" si="56"/>
        <v>0</v>
      </c>
      <c r="O264" s="34">
        <f t="shared" si="56"/>
        <v>0</v>
      </c>
      <c r="P264" s="34">
        <f t="shared" si="56"/>
        <v>0</v>
      </c>
      <c r="Q264" s="34">
        <f t="shared" si="56"/>
        <v>0</v>
      </c>
      <c r="R264" s="202" t="str">
        <f>IF(Q264=0,"0%",IF(ISERR(Q264/ABS(P264)),100%,Q264/ABS(P264)))</f>
        <v>0%</v>
      </c>
      <c r="T264" s="5"/>
      <c r="V264" s="5"/>
      <c r="Z264" s="5"/>
    </row>
    <row r="265" spans="1:26" ht="12">
      <c r="A265" s="17"/>
      <c r="B265" s="17"/>
      <c r="C265" s="24"/>
      <c r="D265" s="17"/>
      <c r="E265" s="17"/>
      <c r="F265" s="20"/>
      <c r="G265" s="5"/>
      <c r="H265" s="5"/>
      <c r="I265" s="5"/>
      <c r="J265" s="5"/>
      <c r="K265" s="5"/>
      <c r="L265" s="5"/>
      <c r="M265" s="5"/>
      <c r="N265" s="5"/>
      <c r="O265" s="5"/>
      <c r="P265" s="5"/>
      <c r="Q265" s="5"/>
      <c r="R265" s="201"/>
      <c r="T265" s="5"/>
      <c r="V265" s="5"/>
      <c r="Z265" s="5"/>
    </row>
    <row r="266" spans="1:26" ht="12">
      <c r="A266" s="17"/>
      <c r="B266" s="17"/>
      <c r="C266" s="17"/>
      <c r="D266" s="24" t="s">
        <v>186</v>
      </c>
      <c r="E266" s="17"/>
      <c r="F266" s="20"/>
      <c r="G266" s="34">
        <f t="shared" ref="G266:Q266" si="57">+G237-G264</f>
        <v>0</v>
      </c>
      <c r="H266" s="34">
        <f t="shared" si="57"/>
        <v>0</v>
      </c>
      <c r="I266" s="34">
        <f t="shared" si="57"/>
        <v>0</v>
      </c>
      <c r="J266" s="34">
        <f>+J237-J264</f>
        <v>0</v>
      </c>
      <c r="K266" s="34">
        <f t="shared" si="57"/>
        <v>0</v>
      </c>
      <c r="L266" s="34">
        <f t="shared" si="57"/>
        <v>0</v>
      </c>
      <c r="M266" s="34">
        <f t="shared" si="57"/>
        <v>0</v>
      </c>
      <c r="N266" s="34">
        <f t="shared" si="57"/>
        <v>0</v>
      </c>
      <c r="O266" s="34">
        <f t="shared" si="57"/>
        <v>0</v>
      </c>
      <c r="P266" s="34">
        <f t="shared" si="57"/>
        <v>0</v>
      </c>
      <c r="Q266" s="34">
        <f t="shared" si="57"/>
        <v>0</v>
      </c>
      <c r="R266" s="202" t="str">
        <f>IF(Q266=0,"0%",IF(ISERR(Q266/ABS(P266)),100%,Q266/ABS(P266)))</f>
        <v>0%</v>
      </c>
      <c r="T266" s="5"/>
      <c r="V266" s="5"/>
      <c r="Z266" s="5"/>
    </row>
    <row r="267" spans="1:26" ht="12">
      <c r="A267" s="17"/>
      <c r="B267" s="17"/>
      <c r="C267" s="17"/>
      <c r="D267" s="17"/>
      <c r="E267" s="17"/>
      <c r="F267" s="20"/>
      <c r="G267" s="5"/>
      <c r="H267" s="5"/>
      <c r="I267" s="5"/>
      <c r="J267" s="5"/>
      <c r="K267" s="5"/>
      <c r="L267" s="5"/>
      <c r="M267" s="5"/>
      <c r="N267" s="5"/>
      <c r="O267" s="5"/>
      <c r="P267" s="5"/>
      <c r="Q267" s="5"/>
      <c r="R267" s="201"/>
      <c r="T267" s="5"/>
      <c r="V267" s="5"/>
      <c r="Z267" s="5"/>
    </row>
    <row r="268" spans="1:26" ht="12">
      <c r="A268" s="18" t="s">
        <v>187</v>
      </c>
      <c r="B268" s="17"/>
      <c r="C268" s="17"/>
      <c r="D268" s="17"/>
      <c r="E268" s="17"/>
      <c r="F268" s="20"/>
      <c r="G268" s="5"/>
      <c r="H268" s="5"/>
      <c r="I268" s="5"/>
      <c r="J268" s="5"/>
      <c r="K268" s="5"/>
      <c r="L268" s="5"/>
      <c r="M268" s="5"/>
      <c r="N268" s="5"/>
      <c r="O268" s="5"/>
      <c r="P268" s="5"/>
      <c r="Q268" s="5"/>
      <c r="R268" s="201"/>
      <c r="T268" s="5"/>
      <c r="V268" s="5"/>
      <c r="Z268" s="5"/>
    </row>
    <row r="269" spans="1:26" ht="12">
      <c r="A269" s="17"/>
      <c r="B269" s="40" t="s">
        <v>188</v>
      </c>
      <c r="C269" s="17"/>
      <c r="D269" s="17"/>
      <c r="E269" s="17"/>
      <c r="F269" s="20"/>
      <c r="G269" s="1"/>
      <c r="H269" s="31"/>
      <c r="I269" s="31"/>
      <c r="J269" s="31"/>
      <c r="K269" s="31"/>
      <c r="L269" s="31"/>
      <c r="M269" s="31"/>
      <c r="N269" s="31"/>
      <c r="O269" s="88">
        <f>SUM(G269:N269)</f>
        <v>0</v>
      </c>
      <c r="P269" s="5" t="str">
        <f>IF(ISNA(HLOOKUP($E$2,'Prior Year FS Balances'!$G$21:$AF$464,231,FALSE)),"",(HLOOKUP($E$2,'Prior Year FS Balances'!$G$21:$AF$464,231,FALSE)))</f>
        <v/>
      </c>
      <c r="Q269" s="5" t="str">
        <f>IF(ISERR(O269-P269),"",(O269-P269))</f>
        <v/>
      </c>
      <c r="R269" s="201" t="str">
        <f>IF($E$7="","",IF(AND(O269=0,P269=0),"",IF(ISERR(Q269/ABS(P269)),100%,Q269/ABS(P269))))</f>
        <v/>
      </c>
      <c r="S269" s="572"/>
      <c r="T269" s="5"/>
      <c r="V269" s="5"/>
      <c r="Z269" s="5"/>
    </row>
    <row r="270" spans="1:26" ht="12">
      <c r="A270" s="17"/>
      <c r="B270" s="40" t="s">
        <v>850</v>
      </c>
      <c r="C270" s="17"/>
      <c r="D270" s="17"/>
      <c r="E270" s="17"/>
      <c r="F270" s="20"/>
      <c r="G270" s="1"/>
      <c r="H270" s="31"/>
      <c r="I270" s="31"/>
      <c r="J270" s="31"/>
      <c r="K270" s="31"/>
      <c r="L270" s="31"/>
      <c r="M270" s="31"/>
      <c r="N270" s="31"/>
      <c r="O270" s="88">
        <f>SUM(G270:N270)</f>
        <v>0</v>
      </c>
      <c r="P270" s="5" t="str">
        <f>IF(ISNA(HLOOKUP($E$2,'Prior Year FS Balances'!$G$21:$AF$464,232,FALSE)),"",(HLOOKUP($E$2,'Prior Year FS Balances'!$G$21:$AF$464,232,FALSE)))</f>
        <v/>
      </c>
      <c r="Q270" s="5" t="str">
        <f>IF(ISERR(O270-P270),"",(O270-P270))</f>
        <v/>
      </c>
      <c r="R270" s="201" t="str">
        <f>IF($E$7="","",IF(AND(O270=0,P270=0),"",IF(ISERR(Q270/ABS(P270)),100%,Q270/ABS(P270))))</f>
        <v/>
      </c>
      <c r="S270" s="572"/>
      <c r="T270" s="5"/>
      <c r="V270" s="5"/>
      <c r="Z270" s="5"/>
    </row>
    <row r="271" spans="1:26" ht="12">
      <c r="A271" s="17"/>
      <c r="B271" s="40" t="s">
        <v>526</v>
      </c>
      <c r="C271" s="17"/>
      <c r="D271" s="17"/>
      <c r="E271" s="17"/>
      <c r="F271" s="20"/>
      <c r="G271" s="1"/>
      <c r="H271" s="31"/>
      <c r="I271" s="31"/>
      <c r="J271" s="31"/>
      <c r="K271" s="31"/>
      <c r="L271" s="31"/>
      <c r="M271" s="31"/>
      <c r="N271" s="31"/>
      <c r="O271" s="88">
        <f>SUM(G271:N271)</f>
        <v>0</v>
      </c>
      <c r="P271" s="5" t="str">
        <f>IF(ISNA(HLOOKUP($E$2,'Prior Year FS Balances'!$G$21:$AF$464,233,FALSE)),"",(HLOOKUP($E$2,'Prior Year FS Balances'!$G$21:$AF$464,233,FALSE)))</f>
        <v/>
      </c>
      <c r="Q271" s="5" t="str">
        <f>IF(ISERR(O271-P271),"",(O271-P271))</f>
        <v/>
      </c>
      <c r="R271" s="201" t="str">
        <f>IF($E$7="","",IF(AND(O271=0,P271=0),"",IF(ISERR(Q271/ABS(P271)),100%,Q271/ABS(P271))))</f>
        <v/>
      </c>
      <c r="S271" s="572"/>
      <c r="T271" s="5"/>
      <c r="V271" s="5"/>
      <c r="Z271" s="5"/>
    </row>
    <row r="272" spans="1:26" ht="12">
      <c r="A272" s="17"/>
      <c r="B272" s="24"/>
      <c r="C272" s="33" t="s">
        <v>230</v>
      </c>
      <c r="D272" s="17"/>
      <c r="E272" s="17"/>
      <c r="F272" s="20"/>
      <c r="G272" s="34">
        <f t="shared" ref="G272:Q272" si="58">SUM(G269:G271)</f>
        <v>0</v>
      </c>
      <c r="H272" s="34">
        <f t="shared" si="58"/>
        <v>0</v>
      </c>
      <c r="I272" s="34">
        <f t="shared" si="58"/>
        <v>0</v>
      </c>
      <c r="J272" s="34">
        <f>SUM(J269:J271)</f>
        <v>0</v>
      </c>
      <c r="K272" s="34">
        <f t="shared" si="58"/>
        <v>0</v>
      </c>
      <c r="L272" s="34">
        <f t="shared" si="58"/>
        <v>0</v>
      </c>
      <c r="M272" s="34">
        <f t="shared" si="58"/>
        <v>0</v>
      </c>
      <c r="N272" s="34">
        <f t="shared" si="58"/>
        <v>0</v>
      </c>
      <c r="O272" s="34">
        <f t="shared" si="58"/>
        <v>0</v>
      </c>
      <c r="P272" s="34">
        <f t="shared" si="58"/>
        <v>0</v>
      </c>
      <c r="Q272" s="34">
        <f t="shared" si="58"/>
        <v>0</v>
      </c>
      <c r="R272" s="202" t="str">
        <f>IF(Q272=0,"0%",IF(ISERR(Q272/ABS(P272)),100%,Q272/ABS(P272)))</f>
        <v>0%</v>
      </c>
      <c r="T272" s="5"/>
      <c r="V272" s="5"/>
      <c r="Z272" s="5"/>
    </row>
    <row r="273" spans="1:26" ht="12">
      <c r="A273" s="17"/>
      <c r="B273" s="40"/>
      <c r="C273" s="17"/>
      <c r="D273" s="17"/>
      <c r="E273" s="17"/>
      <c r="F273" s="20"/>
      <c r="G273" s="5"/>
      <c r="H273" s="5"/>
      <c r="I273" s="5"/>
      <c r="J273" s="5"/>
      <c r="K273" s="5"/>
      <c r="L273" s="5"/>
      <c r="M273" s="5"/>
      <c r="N273" s="5"/>
      <c r="O273" s="5"/>
      <c r="P273" s="5"/>
      <c r="Q273" s="5"/>
      <c r="R273" s="201"/>
      <c r="T273" s="5"/>
      <c r="V273" s="5"/>
      <c r="Z273" s="5"/>
    </row>
    <row r="274" spans="1:26" ht="12">
      <c r="A274" s="17"/>
      <c r="B274" s="40" t="s">
        <v>209</v>
      </c>
      <c r="C274" s="17"/>
      <c r="D274" s="17"/>
      <c r="E274" s="17"/>
      <c r="F274" s="20"/>
      <c r="G274" s="1"/>
      <c r="H274" s="31"/>
      <c r="I274" s="31"/>
      <c r="J274" s="31"/>
      <c r="K274" s="31"/>
      <c r="L274" s="31"/>
      <c r="M274" s="31"/>
      <c r="N274" s="31"/>
      <c r="O274" s="88">
        <f t="shared" ref="O274:O279" si="59">SUM(G274:N274)</f>
        <v>0</v>
      </c>
      <c r="P274" s="5" t="str">
        <f>IF(ISNA(HLOOKUP($E$2,'Prior Year FS Balances'!$G$21:$AF$464,236,FALSE)),"",(HLOOKUP($E$2,'Prior Year FS Balances'!$G$21:$AF$464,236,FALSE)))</f>
        <v/>
      </c>
      <c r="Q274" s="5" t="str">
        <f t="shared" ref="Q274:Q279" si="60">IF(ISERR(O274-P274),"",(O274-P274))</f>
        <v/>
      </c>
      <c r="R274" s="201" t="str">
        <f>IF($E$7="","",IF(AND(O274=0,P274=0),"",IF(ISERR(Q274/ABS(P274)),100%,Q274/ABS(P274))))</f>
        <v/>
      </c>
      <c r="S274" s="572"/>
      <c r="T274" s="5"/>
      <c r="V274" s="5"/>
      <c r="Z274" s="5"/>
    </row>
    <row r="275" spans="1:26" ht="12" hidden="1">
      <c r="A275" s="17"/>
      <c r="B275" s="40" t="s">
        <v>624</v>
      </c>
      <c r="C275" s="17"/>
      <c r="D275" s="17"/>
      <c r="E275" s="17"/>
      <c r="F275" s="20"/>
      <c r="G275" s="1"/>
      <c r="H275" s="31"/>
      <c r="I275" s="31"/>
      <c r="J275" s="31"/>
      <c r="K275" s="31"/>
      <c r="L275" s="31"/>
      <c r="M275" s="31"/>
      <c r="N275" s="31"/>
      <c r="O275" s="88">
        <f t="shared" si="59"/>
        <v>0</v>
      </c>
      <c r="P275" s="5"/>
      <c r="Q275" s="5">
        <f t="shared" si="60"/>
        <v>0</v>
      </c>
      <c r="R275" s="201" t="str">
        <f t="shared" ref="R275" si="61">IF($E$7="","",IF(AND(G275=0,P275=0),"",IF(ISERR(Q275/ABS(P275)),100%,Q275/ABS(P275))))</f>
        <v/>
      </c>
      <c r="S275" s="572"/>
      <c r="T275" s="5"/>
      <c r="V275" s="5"/>
      <c r="Z275" s="5"/>
    </row>
    <row r="276" spans="1:26" ht="12">
      <c r="A276" s="17"/>
      <c r="B276" s="40" t="s">
        <v>352</v>
      </c>
      <c r="C276" s="17"/>
      <c r="D276" s="17"/>
      <c r="E276" s="17"/>
      <c r="F276" s="30" t="s">
        <v>16</v>
      </c>
      <c r="G276" s="1"/>
      <c r="H276" s="31"/>
      <c r="I276" s="31"/>
      <c r="J276" s="31"/>
      <c r="K276" s="31"/>
      <c r="L276" s="31"/>
      <c r="M276" s="31"/>
      <c r="N276" s="31"/>
      <c r="O276" s="88">
        <f t="shared" si="59"/>
        <v>0</v>
      </c>
      <c r="P276" s="5" t="str">
        <f>IF(ISNA(HLOOKUP($E$2,'Prior Year FS Balances'!$G$21:$AF$464,238,FALSE)),"",(HLOOKUP($E$2,'Prior Year FS Balances'!$G$21:$AF$464,238,FALSE)))</f>
        <v/>
      </c>
      <c r="Q276" s="5" t="str">
        <f t="shared" si="60"/>
        <v/>
      </c>
      <c r="R276" s="201" t="str">
        <f>IF($E$7="","",IF(AND(O276=0,P276=0),"",IF(ISERR(Q276/ABS(P276)),100%,Q276/ABS(P276))))</f>
        <v/>
      </c>
      <c r="S276" s="572"/>
      <c r="T276" s="5"/>
      <c r="V276" s="5"/>
      <c r="Z276" s="5"/>
    </row>
    <row r="277" spans="1:26" ht="12">
      <c r="A277" s="17"/>
      <c r="B277" s="40" t="s">
        <v>527</v>
      </c>
      <c r="C277" s="17"/>
      <c r="D277" s="17"/>
      <c r="E277" s="17"/>
      <c r="F277" s="20"/>
      <c r="G277" s="1"/>
      <c r="H277" s="31"/>
      <c r="I277" s="31"/>
      <c r="J277" s="31"/>
      <c r="K277" s="31"/>
      <c r="L277" s="31"/>
      <c r="M277" s="31"/>
      <c r="N277" s="31"/>
      <c r="O277" s="88">
        <f t="shared" si="59"/>
        <v>0</v>
      </c>
      <c r="P277" s="5" t="str">
        <f>IF(ISNA(HLOOKUP($E$2,'Prior Year FS Balances'!$G$21:$AF$464,239,FALSE)),"",(HLOOKUP($E$2,'Prior Year FS Balances'!$G$21:$AF$464,239,FALSE)))</f>
        <v/>
      </c>
      <c r="Q277" s="5" t="str">
        <f t="shared" si="60"/>
        <v/>
      </c>
      <c r="R277" s="201" t="str">
        <f>IF($E$7="","",IF(AND(O277=0,P277=0),"",IF(ISERR(Q277/ABS(P277)),100%,Q277/ABS(P277))))</f>
        <v/>
      </c>
      <c r="S277" s="572"/>
      <c r="T277" s="5"/>
      <c r="V277" s="5"/>
      <c r="Z277" s="5"/>
    </row>
    <row r="278" spans="1:26" ht="12">
      <c r="A278" s="17"/>
      <c r="B278" s="40" t="s">
        <v>290</v>
      </c>
      <c r="C278" s="17"/>
      <c r="D278" s="17"/>
      <c r="E278" s="17"/>
      <c r="F278" s="20"/>
      <c r="G278" s="1"/>
      <c r="H278" s="31"/>
      <c r="I278" s="31"/>
      <c r="J278" s="31"/>
      <c r="K278" s="31"/>
      <c r="L278" s="31"/>
      <c r="M278" s="31"/>
      <c r="N278" s="31"/>
      <c r="O278" s="88">
        <f t="shared" si="59"/>
        <v>0</v>
      </c>
      <c r="P278" s="5" t="str">
        <f>IF(ISNA(HLOOKUP($E$2,'Prior Year FS Balances'!$G$21:$AF$464,240,FALSE)),"",(HLOOKUP($E$2,'Prior Year FS Balances'!$G$21:$AF$464,240,FALSE)))</f>
        <v/>
      </c>
      <c r="Q278" s="5" t="str">
        <f t="shared" si="60"/>
        <v/>
      </c>
      <c r="R278" s="201" t="str">
        <f>IF($E$7="","",IF(AND(O278=0,P278=0),"",IF(ISERR(Q278/ABS(P278)),100%,Q278/ABS(P278))))</f>
        <v/>
      </c>
      <c r="S278" s="572"/>
      <c r="T278" s="5"/>
      <c r="V278" s="5"/>
      <c r="Z278" s="5"/>
    </row>
    <row r="279" spans="1:26" ht="12">
      <c r="A279" s="17"/>
      <c r="B279" s="40" t="s">
        <v>653</v>
      </c>
      <c r="C279" s="17"/>
      <c r="D279" s="17"/>
      <c r="E279" s="227" t="str">
        <f>IF(O279&gt;0,"Answer Required",IF(O279&lt;0,"Answer Required","N/A"))</f>
        <v>N/A</v>
      </c>
      <c r="F279" s="20"/>
      <c r="G279" s="1"/>
      <c r="H279" s="31"/>
      <c r="I279" s="31"/>
      <c r="J279" s="31"/>
      <c r="K279" s="31"/>
      <c r="L279" s="31"/>
      <c r="M279" s="31"/>
      <c r="N279" s="31"/>
      <c r="O279" s="88">
        <f t="shared" si="59"/>
        <v>0</v>
      </c>
      <c r="P279" s="5" t="str">
        <f>IF(ISNA(HLOOKUP($E$2,'Prior Year FS Balances'!$G$21:$AF$464,241,FALSE)),"",(HLOOKUP($E$2,'Prior Year FS Balances'!$G$21:$AF$464,241,FALSE)))</f>
        <v/>
      </c>
      <c r="Q279" s="5" t="str">
        <f t="shared" si="60"/>
        <v/>
      </c>
      <c r="R279" s="201" t="str">
        <f>IF($E$7="","",IF(AND(O279=0,P279=0),"",IF(ISERR(Q279/ABS(P279)),100%,Q279/ABS(P279))))</f>
        <v/>
      </c>
      <c r="S279" s="572"/>
      <c r="T279" s="5"/>
      <c r="V279" s="5"/>
      <c r="Z279" s="5"/>
    </row>
    <row r="280" spans="1:26" ht="12">
      <c r="A280" s="17"/>
      <c r="B280" s="40"/>
      <c r="C280" s="33" t="s">
        <v>231</v>
      </c>
      <c r="D280" s="17"/>
      <c r="E280" s="17"/>
      <c r="F280" s="20"/>
      <c r="G280" s="34">
        <f t="shared" ref="G280:Q280" si="62">SUM(G274:G279)</f>
        <v>0</v>
      </c>
      <c r="H280" s="34">
        <f t="shared" si="62"/>
        <v>0</v>
      </c>
      <c r="I280" s="34">
        <f t="shared" si="62"/>
        <v>0</v>
      </c>
      <c r="J280" s="34">
        <f>SUM(J274:J279)</f>
        <v>0</v>
      </c>
      <c r="K280" s="34">
        <f t="shared" si="62"/>
        <v>0</v>
      </c>
      <c r="L280" s="34">
        <f t="shared" si="62"/>
        <v>0</v>
      </c>
      <c r="M280" s="34">
        <f t="shared" si="62"/>
        <v>0</v>
      </c>
      <c r="N280" s="34">
        <f t="shared" si="62"/>
        <v>0</v>
      </c>
      <c r="O280" s="34">
        <f t="shared" si="62"/>
        <v>0</v>
      </c>
      <c r="P280" s="34">
        <f t="shared" si="62"/>
        <v>0</v>
      </c>
      <c r="Q280" s="34">
        <f t="shared" si="62"/>
        <v>0</v>
      </c>
      <c r="R280" s="202" t="str">
        <f>IF(Q280=0,"0%",IF(ISERR(Q280/ABS(P280)),100%,Q280/ABS(P280)))</f>
        <v>0%</v>
      </c>
      <c r="T280" s="5"/>
      <c r="V280" s="5"/>
      <c r="Z280" s="5"/>
    </row>
    <row r="281" spans="1:26" ht="12">
      <c r="A281" s="17"/>
      <c r="B281" s="40"/>
      <c r="C281" s="17"/>
      <c r="D281" s="17"/>
      <c r="E281" s="17"/>
      <c r="F281" s="20"/>
      <c r="G281" s="5"/>
      <c r="H281" s="5"/>
      <c r="I281" s="5"/>
      <c r="J281" s="5"/>
      <c r="K281" s="5"/>
      <c r="L281" s="5"/>
      <c r="M281" s="5"/>
      <c r="N281" s="5"/>
      <c r="O281" s="5"/>
      <c r="P281" s="5"/>
      <c r="Q281" s="5"/>
      <c r="R281" s="201"/>
      <c r="T281" s="5"/>
      <c r="V281" s="5"/>
      <c r="Z281" s="5"/>
    </row>
    <row r="282" spans="1:26" ht="12">
      <c r="A282" s="17"/>
      <c r="B282" s="17"/>
      <c r="C282" s="24" t="s">
        <v>528</v>
      </c>
      <c r="D282" s="17"/>
      <c r="E282" s="17"/>
      <c r="F282" s="20"/>
      <c r="G282" s="34">
        <f t="shared" ref="G282:Q282" si="63">SUM(G272,G280)</f>
        <v>0</v>
      </c>
      <c r="H282" s="34">
        <f t="shared" si="63"/>
        <v>0</v>
      </c>
      <c r="I282" s="34">
        <f t="shared" si="63"/>
        <v>0</v>
      </c>
      <c r="J282" s="34">
        <f>SUM(J272,J280)</f>
        <v>0</v>
      </c>
      <c r="K282" s="34">
        <f t="shared" si="63"/>
        <v>0</v>
      </c>
      <c r="L282" s="34">
        <f t="shared" si="63"/>
        <v>0</v>
      </c>
      <c r="M282" s="34">
        <f t="shared" si="63"/>
        <v>0</v>
      </c>
      <c r="N282" s="34">
        <f t="shared" si="63"/>
        <v>0</v>
      </c>
      <c r="O282" s="34">
        <f t="shared" si="63"/>
        <v>0</v>
      </c>
      <c r="P282" s="34">
        <f t="shared" si="63"/>
        <v>0</v>
      </c>
      <c r="Q282" s="34">
        <f t="shared" si="63"/>
        <v>0</v>
      </c>
      <c r="R282" s="202" t="str">
        <f>IF(Q282=0,"0%",IF(ISERR(Q282/ABS(P282)),100%,Q282/ABS(P282)))</f>
        <v>0%</v>
      </c>
      <c r="T282" s="5"/>
      <c r="V282" s="5"/>
      <c r="Z282" s="5"/>
    </row>
    <row r="283" spans="1:26" ht="10.5" customHeight="1">
      <c r="A283" s="40"/>
      <c r="B283" s="17"/>
      <c r="C283" s="17"/>
      <c r="D283" s="17"/>
      <c r="E283" s="17"/>
      <c r="F283" s="20"/>
      <c r="G283" s="5"/>
      <c r="H283" s="5"/>
      <c r="I283" s="5"/>
      <c r="J283" s="5"/>
      <c r="K283" s="5"/>
      <c r="L283" s="5"/>
      <c r="M283" s="5"/>
      <c r="N283" s="5"/>
      <c r="O283" s="5"/>
      <c r="P283" s="5"/>
      <c r="Q283" s="5"/>
      <c r="R283" s="201"/>
      <c r="T283" s="41"/>
      <c r="V283" s="41"/>
      <c r="Z283" s="41"/>
    </row>
    <row r="284" spans="1:26" ht="12">
      <c r="A284" s="17"/>
      <c r="B284" s="17"/>
      <c r="C284" s="17"/>
      <c r="D284" s="24" t="s">
        <v>529</v>
      </c>
      <c r="E284" s="17"/>
      <c r="F284" s="20"/>
      <c r="G284" s="34">
        <f t="shared" ref="G284:Q284" si="64">+G266+G282</f>
        <v>0</v>
      </c>
      <c r="H284" s="34">
        <f t="shared" si="64"/>
        <v>0</v>
      </c>
      <c r="I284" s="34">
        <f t="shared" si="64"/>
        <v>0</v>
      </c>
      <c r="J284" s="34">
        <f>+J266+J282</f>
        <v>0</v>
      </c>
      <c r="K284" s="34">
        <f t="shared" si="64"/>
        <v>0</v>
      </c>
      <c r="L284" s="34">
        <f t="shared" si="64"/>
        <v>0</v>
      </c>
      <c r="M284" s="34">
        <f t="shared" si="64"/>
        <v>0</v>
      </c>
      <c r="N284" s="34">
        <f t="shared" si="64"/>
        <v>0</v>
      </c>
      <c r="O284" s="34">
        <f t="shared" si="64"/>
        <v>0</v>
      </c>
      <c r="P284" s="34">
        <f>+P266+P282</f>
        <v>0</v>
      </c>
      <c r="Q284" s="34">
        <f t="shared" si="64"/>
        <v>0</v>
      </c>
      <c r="R284" s="202" t="str">
        <f>IF(Q284=0,"0%",IF(ISERR(Q284/ABS(P284)),100%,Q284/ABS(P284)))</f>
        <v>0%</v>
      </c>
      <c r="T284" s="5"/>
      <c r="V284" s="5"/>
      <c r="Z284" s="5"/>
    </row>
    <row r="285" spans="1:26" ht="12">
      <c r="A285" s="17"/>
      <c r="B285" s="17"/>
      <c r="C285" s="17"/>
      <c r="D285" s="24"/>
      <c r="E285" s="17"/>
      <c r="F285" s="20"/>
      <c r="G285" s="41"/>
      <c r="H285" s="41"/>
      <c r="I285" s="41"/>
      <c r="J285" s="41"/>
      <c r="K285" s="41"/>
      <c r="L285" s="41"/>
      <c r="M285" s="41"/>
      <c r="N285" s="41"/>
      <c r="O285" s="41"/>
      <c r="P285" s="5"/>
      <c r="Q285" s="5"/>
      <c r="R285" s="201"/>
      <c r="T285" s="5"/>
      <c r="V285" s="5"/>
      <c r="Z285" s="5"/>
    </row>
    <row r="286" spans="1:26" ht="12" hidden="1">
      <c r="A286" s="589" t="s">
        <v>530</v>
      </c>
      <c r="B286" s="17"/>
      <c r="C286" s="17"/>
      <c r="D286" s="17"/>
      <c r="E286" s="17"/>
      <c r="F286" s="20"/>
      <c r="G286" s="31"/>
      <c r="H286" s="31"/>
      <c r="I286" s="31"/>
      <c r="J286" s="31"/>
      <c r="K286" s="31"/>
      <c r="L286" s="31"/>
      <c r="M286" s="31"/>
      <c r="N286" s="31"/>
      <c r="O286" s="88">
        <f>SUM(G286:N286)</f>
        <v>0</v>
      </c>
      <c r="P286" s="5"/>
      <c r="Q286" s="5">
        <f>IF(ISERR(O286-P286),"",(O286-P286))</f>
        <v>0</v>
      </c>
      <c r="R286" s="201" t="str">
        <f>IF($E$7="","",IF(AND(O286=0,P286=0),"",IF(ISERR(Q286/ABS(P286)),100%,Q286/ABS(P286))))</f>
        <v/>
      </c>
      <c r="S286" s="572"/>
      <c r="T286" s="5"/>
      <c r="V286" s="5"/>
      <c r="Z286" s="5"/>
    </row>
    <row r="287" spans="1:26" ht="12">
      <c r="A287" s="24" t="s">
        <v>625</v>
      </c>
      <c r="B287" s="17"/>
      <c r="C287" s="17"/>
      <c r="D287" s="17"/>
      <c r="E287" s="574" t="str">
        <f>IF(O287&gt;0,"Answer Required",IF(O287&lt;0,"Answer Required","N/A"))</f>
        <v>N/A</v>
      </c>
      <c r="F287" s="30"/>
      <c r="G287" s="1"/>
      <c r="H287" s="31"/>
      <c r="I287" s="31"/>
      <c r="J287" s="31"/>
      <c r="K287" s="31"/>
      <c r="L287" s="31"/>
      <c r="M287" s="31"/>
      <c r="N287" s="31"/>
      <c r="O287" s="88">
        <f>SUM(G287:N287)</f>
        <v>0</v>
      </c>
      <c r="P287" s="5" t="str">
        <f>IF(ISNA(HLOOKUP($E$2,'Prior Year FS Balances'!$G$21:$AF$464,249,FALSE)),"",(HLOOKUP($E$2,'Prior Year FS Balances'!$G$21:$AF$464,249,FALSE)))</f>
        <v/>
      </c>
      <c r="Q287" s="5" t="str">
        <f>IF(ISERR(O287-P287),"",(O287-P287))</f>
        <v/>
      </c>
      <c r="R287" s="201" t="str">
        <f>IF($E$7="","",IF(AND(O287=0,P287=0),"",IF(ISERR(Q287/ABS(P287)),100%,Q287/ABS(P287))))</f>
        <v/>
      </c>
      <c r="S287" s="572"/>
      <c r="T287" s="5"/>
      <c r="V287" s="5"/>
      <c r="Z287" s="5"/>
    </row>
    <row r="288" spans="1:26" ht="12">
      <c r="A288" s="24" t="s">
        <v>675</v>
      </c>
      <c r="B288" s="17"/>
      <c r="C288" s="17"/>
      <c r="D288" s="17"/>
      <c r="E288" s="574" t="str">
        <f>IF(O288&gt;0,"Answer Required",IF(O288&lt;0,"Answer Required","N/A"))</f>
        <v>N/A</v>
      </c>
      <c r="F288" s="30"/>
      <c r="G288" s="1"/>
      <c r="H288" s="31"/>
      <c r="I288" s="31"/>
      <c r="J288" s="31"/>
      <c r="K288" s="31"/>
      <c r="L288" s="31"/>
      <c r="M288" s="31"/>
      <c r="N288" s="31"/>
      <c r="O288" s="88">
        <f>SUM(G288:N288)</f>
        <v>0</v>
      </c>
      <c r="P288" s="5" t="str">
        <f>IF(ISNA(HLOOKUP($E$2,'Prior Year FS Balances'!$G$21:$AF$464,250,FALSE)),"",(HLOOKUP($E$2,'Prior Year FS Balances'!$G$21:$AF$464,250,FALSE)))</f>
        <v/>
      </c>
      <c r="Q288" s="5" t="str">
        <f>IF(ISERR(O288-P288),"",(O288-P288))</f>
        <v/>
      </c>
      <c r="R288" s="201" t="str">
        <f>IF($E$7="","",IF(AND(O288=0,P288=0),"",IF(ISERR(Q288/ABS(P288)),100%,Q288/ABS(P288))))</f>
        <v/>
      </c>
      <c r="S288" s="572"/>
      <c r="T288" s="5"/>
      <c r="V288" s="5"/>
      <c r="Z288" s="5"/>
    </row>
    <row r="289" spans="1:33" ht="12">
      <c r="A289" s="24" t="s">
        <v>659</v>
      </c>
      <c r="B289" s="17"/>
      <c r="C289" s="17"/>
      <c r="D289" s="17"/>
      <c r="E289" s="17"/>
      <c r="F289" s="30" t="s">
        <v>291</v>
      </c>
      <c r="G289" s="1"/>
      <c r="H289" s="31"/>
      <c r="I289" s="31"/>
      <c r="J289" s="31"/>
      <c r="K289" s="31"/>
      <c r="L289" s="31"/>
      <c r="M289" s="31"/>
      <c r="N289" s="31"/>
      <c r="O289" s="88">
        <f>SUM(G289:N289)</f>
        <v>0</v>
      </c>
      <c r="P289" s="5" t="str">
        <f>IF(ISNA(HLOOKUP($E$2,'Prior Year FS Balances'!$G$21:$AF$464,251,FALSE)),"",(HLOOKUP($E$2,'Prior Year FS Balances'!$G$21:$AF$464,251,FALSE)))</f>
        <v/>
      </c>
      <c r="Q289" s="5" t="str">
        <f>IF(ISERR(O289-P289),"",(O289-P289))</f>
        <v/>
      </c>
      <c r="R289" s="201" t="str">
        <f>IF($E$7="","",IF(AND(O289=0,P289=0),"",IF(ISERR(Q289/ABS(P289)),100%,Q289/ABS(P289))))</f>
        <v/>
      </c>
      <c r="S289" s="572"/>
      <c r="T289" s="5"/>
      <c r="V289" s="5"/>
      <c r="Z289" s="5"/>
    </row>
    <row r="290" spans="1:33" ht="12">
      <c r="A290" s="24" t="s">
        <v>660</v>
      </c>
      <c r="B290" s="17"/>
      <c r="C290" s="17"/>
      <c r="D290" s="17"/>
      <c r="E290" s="17"/>
      <c r="F290" s="30" t="s">
        <v>291</v>
      </c>
      <c r="G290" s="1"/>
      <c r="H290" s="31"/>
      <c r="I290" s="31"/>
      <c r="J290" s="31"/>
      <c r="K290" s="31"/>
      <c r="L290" s="31"/>
      <c r="M290" s="31"/>
      <c r="N290" s="31"/>
      <c r="O290" s="88">
        <f>SUM(G290:N290)</f>
        <v>0</v>
      </c>
      <c r="P290" s="5" t="str">
        <f>IF(ISNA(HLOOKUP($E$2,'Prior Year FS Balances'!$G$21:$AF$464,252,FALSE)),"",(HLOOKUP($E$2,'Prior Year FS Balances'!$G$21:$AF$464,252,FALSE)))</f>
        <v/>
      </c>
      <c r="Q290" s="5" t="str">
        <f>IF(ISERR(O290-P290),"",(O290-P290))</f>
        <v/>
      </c>
      <c r="R290" s="201" t="str">
        <f>IF($E$7="","",IF(AND(O290=0,P290=0),"",IF(ISERR(Q290/ABS(P290)),-100%,Q290/ABS(P290))))</f>
        <v/>
      </c>
      <c r="S290" s="572"/>
      <c r="T290" s="5"/>
      <c r="V290" s="5"/>
      <c r="Z290" s="5"/>
    </row>
    <row r="291" spans="1:33" ht="12">
      <c r="A291" s="17"/>
      <c r="B291" s="17"/>
      <c r="C291" s="17"/>
      <c r="D291" s="24" t="s">
        <v>715</v>
      </c>
      <c r="E291" s="17"/>
      <c r="F291" s="20"/>
      <c r="G291" s="34">
        <f t="shared" ref="G291:Q291" si="65">SUM(G284,G286:G290)</f>
        <v>0</v>
      </c>
      <c r="H291" s="34">
        <f t="shared" si="65"/>
        <v>0</v>
      </c>
      <c r="I291" s="34">
        <f t="shared" si="65"/>
        <v>0</v>
      </c>
      <c r="J291" s="34">
        <f>SUM(J284,J286:J290)</f>
        <v>0</v>
      </c>
      <c r="K291" s="34">
        <f t="shared" si="65"/>
        <v>0</v>
      </c>
      <c r="L291" s="34">
        <f t="shared" si="65"/>
        <v>0</v>
      </c>
      <c r="M291" s="34">
        <f t="shared" si="65"/>
        <v>0</v>
      </c>
      <c r="N291" s="34">
        <f t="shared" si="65"/>
        <v>0</v>
      </c>
      <c r="O291" s="34">
        <f t="shared" si="65"/>
        <v>0</v>
      </c>
      <c r="P291" s="34">
        <f>SUM(P284,P286:P290)</f>
        <v>0</v>
      </c>
      <c r="Q291" s="34">
        <f t="shared" si="65"/>
        <v>0</v>
      </c>
      <c r="R291" s="202" t="str">
        <f>IF(Q291=0,"0%",IF(ISERR(Q291/ABS(P291)),100%,Q291/ABS(P291)))</f>
        <v>0%</v>
      </c>
      <c r="T291" s="5"/>
      <c r="V291" s="5"/>
      <c r="Z291" s="5"/>
    </row>
    <row r="292" spans="1:33" ht="12">
      <c r="A292" s="24" t="s">
        <v>714</v>
      </c>
      <c r="B292" s="17"/>
      <c r="C292" s="17"/>
      <c r="D292" s="17"/>
      <c r="E292" s="17"/>
      <c r="F292" s="30" t="s">
        <v>666</v>
      </c>
      <c r="G292" s="1"/>
      <c r="H292" s="591"/>
      <c r="I292" s="591"/>
      <c r="J292" s="591"/>
      <c r="K292" s="591"/>
      <c r="L292" s="591"/>
      <c r="M292" s="591"/>
      <c r="N292" s="591"/>
      <c r="O292" s="88">
        <f>SUM(G292:N292)</f>
        <v>0</v>
      </c>
      <c r="P292" s="5">
        <f>IF(ISNA(HLOOKUP($E$2,'Prior Year FS Balances'!$G$21:$AF$464,254,FALSE)),0,(HLOOKUP($E$2,'Prior Year FS Balances'!$G$21:$AF$464,254,FALSE)))</f>
        <v>0</v>
      </c>
      <c r="Q292" s="5">
        <f>IF(ISNA(G292-P292),"",(O292-P292))</f>
        <v>0</v>
      </c>
      <c r="R292" s="201" t="str">
        <f>IF($E$7="","",IF(AND(O292=0,P292=0),"",IF(ISERR(Q292/ABS(P292)),100%,Q292/ABS(P292))))</f>
        <v/>
      </c>
      <c r="T292" s="5"/>
      <c r="V292" s="5"/>
      <c r="Z292" s="5"/>
    </row>
    <row r="293" spans="1:33" ht="52.5" customHeight="1" thickBot="1">
      <c r="A293" s="24" t="s">
        <v>716</v>
      </c>
      <c r="B293" s="17"/>
      <c r="C293" s="17"/>
      <c r="D293" s="17"/>
      <c r="E293" s="17"/>
      <c r="F293" s="30" t="s">
        <v>245</v>
      </c>
      <c r="G293" s="592">
        <f t="shared" ref="G293:Q293" si="66">IF(SUM(G291:G292)=G218,SUM(G291:G292),"MUST EQUAL STMT. OF NET POSITION - CORRECT ENTRY")</f>
        <v>0</v>
      </c>
      <c r="H293" s="592">
        <f t="shared" si="66"/>
        <v>0</v>
      </c>
      <c r="I293" s="592">
        <f t="shared" si="66"/>
        <v>0</v>
      </c>
      <c r="J293" s="592">
        <f t="shared" si="66"/>
        <v>0</v>
      </c>
      <c r="K293" s="592">
        <f t="shared" si="66"/>
        <v>0</v>
      </c>
      <c r="L293" s="592">
        <f t="shared" si="66"/>
        <v>0</v>
      </c>
      <c r="M293" s="592">
        <f t="shared" si="66"/>
        <v>0</v>
      </c>
      <c r="N293" s="592">
        <f t="shared" si="66"/>
        <v>0</v>
      </c>
      <c r="O293" s="592">
        <f t="shared" si="66"/>
        <v>0</v>
      </c>
      <c r="P293" s="38">
        <f t="shared" si="66"/>
        <v>0</v>
      </c>
      <c r="Q293" s="592">
        <f t="shared" si="66"/>
        <v>0</v>
      </c>
      <c r="R293" s="202" t="str">
        <f>IF(Q293=0,"0%",IF(ISERR(Q293/ABS(P293)),100%,Q293/ABS(P293)))</f>
        <v>0%</v>
      </c>
      <c r="T293" s="38">
        <f>(SUM(O291:O292))-O218</f>
        <v>0</v>
      </c>
    </row>
    <row r="294" spans="1:33" ht="12.6" thickTop="1">
      <c r="A294" s="24"/>
      <c r="B294" s="17"/>
      <c r="C294" s="17"/>
      <c r="D294" s="17"/>
      <c r="E294" s="17"/>
      <c r="F294" s="584" t="s">
        <v>146</v>
      </c>
      <c r="G294" s="585">
        <f>(SUM(G291:G292))-SUM(G212:G217)</f>
        <v>0</v>
      </c>
      <c r="H294" s="585">
        <f t="shared" ref="H294:O294" si="67">(SUM(H291:H292))-SUM(H212:H217)</f>
        <v>0</v>
      </c>
      <c r="I294" s="585">
        <f t="shared" si="67"/>
        <v>0</v>
      </c>
      <c r="J294" s="585">
        <f>(SUM(J291:J292))-SUM(J212:J217)</f>
        <v>0</v>
      </c>
      <c r="K294" s="585">
        <f t="shared" si="67"/>
        <v>0</v>
      </c>
      <c r="L294" s="585">
        <f t="shared" si="67"/>
        <v>0</v>
      </c>
      <c r="M294" s="585">
        <f t="shared" si="67"/>
        <v>0</v>
      </c>
      <c r="N294" s="585">
        <f t="shared" si="67"/>
        <v>0</v>
      </c>
      <c r="O294" s="585">
        <f t="shared" si="67"/>
        <v>0</v>
      </c>
      <c r="P294" s="585">
        <f>(SUM(P291:P292))-SUM(P212:P217)</f>
        <v>0</v>
      </c>
      <c r="Q294" s="585"/>
    </row>
    <row r="295" spans="1:33" ht="12">
      <c r="A295" s="24"/>
      <c r="B295" s="17"/>
      <c r="C295" s="17"/>
      <c r="D295" s="17"/>
      <c r="E295" s="17"/>
      <c r="F295" s="584"/>
      <c r="G295" s="585"/>
      <c r="H295" s="585"/>
      <c r="I295" s="585"/>
      <c r="J295" s="585"/>
      <c r="K295" s="585"/>
      <c r="L295" s="585"/>
      <c r="M295" s="585"/>
      <c r="N295" s="585"/>
      <c r="O295" s="585"/>
    </row>
    <row r="296" spans="1:33">
      <c r="A296" s="1050" t="str">
        <f>A7</f>
        <v>Fund Number:</v>
      </c>
      <c r="B296" s="1100"/>
      <c r="C296" s="1100"/>
      <c r="D296" s="1100"/>
      <c r="E296" s="18" t="str">
        <f>E7</f>
        <v/>
      </c>
      <c r="F296" s="20"/>
    </row>
    <row r="297" spans="1:33" ht="12">
      <c r="A297" s="18"/>
      <c r="B297" s="27"/>
      <c r="C297" s="27"/>
      <c r="D297" s="27"/>
      <c r="E297" s="17"/>
      <c r="F297" s="20"/>
    </row>
    <row r="298" spans="1:33" s="43" customFormat="1" ht="12.75" customHeight="1">
      <c r="A298" s="25" t="s">
        <v>12</v>
      </c>
      <c r="B298" s="27"/>
      <c r="C298" s="27"/>
      <c r="D298" s="27"/>
      <c r="E298" s="17"/>
      <c r="F298" s="20"/>
      <c r="G298" s="17"/>
      <c r="H298" s="17"/>
      <c r="I298" s="17"/>
      <c r="J298" s="17"/>
      <c r="K298" s="17"/>
      <c r="L298" s="17"/>
      <c r="M298" s="17"/>
      <c r="N298" s="17"/>
      <c r="O298" s="17"/>
      <c r="R298" s="44"/>
      <c r="T298" s="44"/>
      <c r="V298" s="44"/>
      <c r="Z298" s="44"/>
      <c r="AF298" s="17"/>
      <c r="AG298" s="17"/>
    </row>
    <row r="299" spans="1:33" ht="24.75" customHeight="1">
      <c r="A299" s="45" t="str">
        <f>A34</f>
        <v>For the Year Ended June 30, 2024</v>
      </c>
      <c r="B299" s="29"/>
      <c r="C299" s="29"/>
      <c r="D299" s="29"/>
      <c r="E299" s="23"/>
      <c r="F299" s="579"/>
      <c r="G299" s="23"/>
      <c r="H299" s="23"/>
      <c r="I299" s="23"/>
      <c r="J299" s="23"/>
      <c r="K299" s="23"/>
      <c r="L299" s="23"/>
      <c r="M299" s="23"/>
      <c r="N299" s="23"/>
      <c r="O299" s="23"/>
      <c r="P299" s="23"/>
      <c r="Q299" s="23"/>
      <c r="R299" s="570"/>
      <c r="S299" s="23"/>
      <c r="T299" s="26"/>
      <c r="V299" s="26"/>
      <c r="X299" s="26"/>
      <c r="Z299" s="36"/>
      <c r="AB299" s="26"/>
    </row>
    <row r="300" spans="1:33" ht="12">
      <c r="A300" s="46"/>
      <c r="B300" s="43"/>
      <c r="C300" s="43"/>
      <c r="D300" s="43"/>
      <c r="E300" s="43"/>
      <c r="F300" s="26"/>
      <c r="G300" s="44"/>
      <c r="H300" s="44"/>
      <c r="I300" s="44"/>
      <c r="J300" s="44"/>
      <c r="K300" s="44"/>
      <c r="L300" s="44"/>
      <c r="M300" s="44"/>
      <c r="N300" s="44"/>
      <c r="O300" s="44"/>
    </row>
    <row r="301" spans="1:33" ht="36.75" customHeight="1">
      <c r="A301" s="18" t="s">
        <v>3</v>
      </c>
      <c r="B301" s="17"/>
      <c r="C301" s="17"/>
      <c r="D301" s="17"/>
      <c r="E301" s="570" t="s">
        <v>298</v>
      </c>
      <c r="F301" s="16" t="str">
        <f t="shared" ref="F301:O301" si="68">F37</f>
        <v>Reference to Tabs that must be completed</v>
      </c>
      <c r="G301" s="16" t="str">
        <f t="shared" si="68"/>
        <v>Template</v>
      </c>
      <c r="H301" s="16" t="e">
        <f t="shared" si="68"/>
        <v>#N/A</v>
      </c>
      <c r="I301" s="16" t="e">
        <f t="shared" si="68"/>
        <v>#N/A</v>
      </c>
      <c r="J301" s="16" t="e">
        <f t="shared" si="68"/>
        <v>#N/A</v>
      </c>
      <c r="K301" s="16" t="e">
        <f t="shared" si="68"/>
        <v>#N/A</v>
      </c>
      <c r="L301" s="16" t="e">
        <f t="shared" si="68"/>
        <v>#N/A</v>
      </c>
      <c r="M301" s="16" t="e">
        <f t="shared" si="68"/>
        <v>#N/A</v>
      </c>
      <c r="N301" s="16" t="str">
        <f t="shared" si="68"/>
        <v>Intrafund Elimination Entries</v>
      </c>
      <c r="O301" s="16" t="e">
        <f t="shared" si="68"/>
        <v>#N/A</v>
      </c>
      <c r="P301" s="570" t="s">
        <v>532</v>
      </c>
      <c r="Q301" s="570" t="str">
        <f>Q37</f>
        <v>$</v>
      </c>
      <c r="R301" s="570" t="str">
        <f>R37</f>
        <v>%</v>
      </c>
      <c r="S301" s="570" t="s">
        <v>238</v>
      </c>
      <c r="T301" s="16" t="str">
        <f>T37</f>
        <v>Check Figures</v>
      </c>
      <c r="V301" s="5"/>
      <c r="Z301" s="5"/>
    </row>
    <row r="302" spans="1:33" ht="12">
      <c r="A302" s="18"/>
      <c r="B302" s="17"/>
      <c r="C302" s="17"/>
      <c r="D302" s="17"/>
      <c r="E302" s="17"/>
      <c r="F302" s="20"/>
      <c r="R302" s="5"/>
      <c r="T302" s="5"/>
      <c r="V302" s="5"/>
      <c r="Z302" s="5"/>
    </row>
    <row r="303" spans="1:33" ht="12">
      <c r="A303" s="24" t="s">
        <v>4</v>
      </c>
      <c r="B303" s="17"/>
      <c r="C303" s="17"/>
      <c r="D303" s="17"/>
      <c r="E303" s="17"/>
      <c r="F303" s="20"/>
      <c r="G303" s="1"/>
      <c r="H303" s="31"/>
      <c r="I303" s="31"/>
      <c r="J303" s="31"/>
      <c r="K303" s="31"/>
      <c r="L303" s="31"/>
      <c r="M303" s="31"/>
      <c r="N303" s="31"/>
      <c r="O303" s="88">
        <f t="shared" ref="O303:O308" si="69">SUM(G303:N303)</f>
        <v>0</v>
      </c>
      <c r="P303" s="5" t="str">
        <f>IF(ISNA(HLOOKUP($E$2,'Prior Year FS Balances'!$G$21:$AF$464,264,FALSE)),"",(HLOOKUP($E$2,'Prior Year FS Balances'!$G$21:$AF$464,264,FALSE)))</f>
        <v/>
      </c>
      <c r="Q303" s="5" t="str">
        <f t="shared" ref="Q303:Q308" si="70">IF(ISERR(O303-P303),"",(O303-P303))</f>
        <v/>
      </c>
      <c r="R303" s="201" t="str">
        <f t="shared" ref="R303:R308" si="71">IF($E$7="","",IF(AND(O303=0,P303=0),"",IF(ISERR(Q303/ABS(P303)),100%,Q303/ABS(P303))))</f>
        <v/>
      </c>
      <c r="S303" s="572"/>
      <c r="T303" s="5"/>
      <c r="V303" s="5"/>
      <c r="Z303" s="5"/>
    </row>
    <row r="304" spans="1:33" ht="12">
      <c r="A304" s="24" t="s">
        <v>676</v>
      </c>
      <c r="B304" s="17"/>
      <c r="C304" s="17"/>
      <c r="D304" s="17"/>
      <c r="E304" s="17"/>
      <c r="F304" s="20"/>
      <c r="G304" s="1"/>
      <c r="H304" s="31"/>
      <c r="I304" s="31"/>
      <c r="J304" s="31"/>
      <c r="K304" s="31"/>
      <c r="L304" s="31"/>
      <c r="M304" s="31"/>
      <c r="N304" s="31"/>
      <c r="O304" s="88">
        <f t="shared" si="69"/>
        <v>0</v>
      </c>
      <c r="P304" s="5" t="str">
        <f>IF(ISNA(HLOOKUP($E$2,'Prior Year FS Balances'!$G$21:$AF$464,265,FALSE)),"",(HLOOKUP($E$2,'Prior Year FS Balances'!$G$21:$AF$464,265,FALSE)))</f>
        <v/>
      </c>
      <c r="Q304" s="5" t="str">
        <f t="shared" si="70"/>
        <v/>
      </c>
      <c r="R304" s="201" t="str">
        <f t="shared" si="71"/>
        <v/>
      </c>
      <c r="S304" s="572"/>
      <c r="T304" s="5"/>
      <c r="V304" s="5"/>
      <c r="Z304" s="5"/>
    </row>
    <row r="305" spans="1:33" ht="12">
      <c r="A305" s="24" t="s">
        <v>5</v>
      </c>
      <c r="B305" s="17"/>
      <c r="C305" s="17"/>
      <c r="D305" s="17"/>
      <c r="E305" s="17"/>
      <c r="F305" s="30"/>
      <c r="G305" s="1"/>
      <c r="H305" s="31"/>
      <c r="I305" s="31"/>
      <c r="J305" s="31"/>
      <c r="K305" s="31"/>
      <c r="L305" s="31"/>
      <c r="M305" s="31"/>
      <c r="N305" s="31"/>
      <c r="O305" s="88">
        <f t="shared" si="69"/>
        <v>0</v>
      </c>
      <c r="P305" s="5" t="str">
        <f>IF(ISNA(HLOOKUP($E$2,'Prior Year FS Balances'!$G$21:$AF$464,266,FALSE)),"",(HLOOKUP($E$2,'Prior Year FS Balances'!$G$21:$AF$464,266,FALSE)))</f>
        <v/>
      </c>
      <c r="Q305" s="5" t="str">
        <f t="shared" si="70"/>
        <v/>
      </c>
      <c r="R305" s="201" t="str">
        <f t="shared" si="71"/>
        <v/>
      </c>
      <c r="S305" s="572"/>
      <c r="T305" s="5"/>
      <c r="V305" s="5"/>
      <c r="Z305" s="5"/>
    </row>
    <row r="306" spans="1:33" ht="12">
      <c r="A306" s="24" t="s">
        <v>6</v>
      </c>
      <c r="B306" s="17"/>
      <c r="C306" s="17"/>
      <c r="D306" s="17"/>
      <c r="E306" s="17"/>
      <c r="F306" s="30"/>
      <c r="G306" s="1"/>
      <c r="H306" s="31"/>
      <c r="I306" s="31"/>
      <c r="J306" s="31"/>
      <c r="K306" s="31"/>
      <c r="L306" s="31"/>
      <c r="M306" s="31"/>
      <c r="N306" s="31"/>
      <c r="O306" s="88">
        <f t="shared" si="69"/>
        <v>0</v>
      </c>
      <c r="P306" s="5" t="str">
        <f>IF(ISNA(HLOOKUP($E$2,'Prior Year FS Balances'!$G$21:$AF$464,267,FALSE)),"",(HLOOKUP($E$2,'Prior Year FS Balances'!$G$21:$AF$464,267,FALSE)))</f>
        <v/>
      </c>
      <c r="Q306" s="5" t="str">
        <f t="shared" si="70"/>
        <v/>
      </c>
      <c r="R306" s="201" t="str">
        <f t="shared" si="71"/>
        <v/>
      </c>
      <c r="S306" s="572"/>
    </row>
    <row r="307" spans="1:33" ht="12">
      <c r="A307" s="24" t="s">
        <v>7</v>
      </c>
      <c r="B307" s="17"/>
      <c r="C307" s="17"/>
      <c r="D307" s="17"/>
      <c r="E307" s="17"/>
      <c r="F307" s="20"/>
      <c r="G307" s="1"/>
      <c r="H307" s="31"/>
      <c r="I307" s="31"/>
      <c r="J307" s="31"/>
      <c r="K307" s="31"/>
      <c r="L307" s="31"/>
      <c r="M307" s="31"/>
      <c r="N307" s="31"/>
      <c r="O307" s="88">
        <f t="shared" si="69"/>
        <v>0</v>
      </c>
      <c r="P307" s="5" t="str">
        <f>IF(ISNA(HLOOKUP($E$2,'Prior Year FS Balances'!$G$21:$AF$464,268,FALSE)),"",(HLOOKUP($E$2,'Prior Year FS Balances'!$G$21:$AF$464,268,FALSE)))</f>
        <v/>
      </c>
      <c r="Q307" s="5" t="str">
        <f t="shared" si="70"/>
        <v/>
      </c>
      <c r="R307" s="201" t="str">
        <f t="shared" si="71"/>
        <v/>
      </c>
      <c r="S307" s="572"/>
      <c r="T307" s="5"/>
      <c r="V307" s="5"/>
      <c r="Z307" s="5"/>
    </row>
    <row r="308" spans="1:33" ht="12">
      <c r="A308" s="24" t="s">
        <v>469</v>
      </c>
      <c r="B308" s="17"/>
      <c r="C308" s="17"/>
      <c r="D308" s="17"/>
      <c r="E308" s="17"/>
      <c r="F308" s="20"/>
      <c r="G308" s="1"/>
      <c r="H308" s="31"/>
      <c r="I308" s="31"/>
      <c r="J308" s="31"/>
      <c r="K308" s="31"/>
      <c r="L308" s="31"/>
      <c r="M308" s="31"/>
      <c r="N308" s="31"/>
      <c r="O308" s="88">
        <f t="shared" si="69"/>
        <v>0</v>
      </c>
      <c r="P308" s="5" t="str">
        <f>IF(ISNA(HLOOKUP($E$2,'Prior Year FS Balances'!$G$21:$AF$464,269,FALSE)),"",(HLOOKUP($E$2,'Prior Year FS Balances'!$G$21:$AF$464,269,FALSE)))</f>
        <v/>
      </c>
      <c r="Q308" s="5" t="str">
        <f t="shared" si="70"/>
        <v/>
      </c>
      <c r="R308" s="201" t="str">
        <f t="shared" si="71"/>
        <v/>
      </c>
      <c r="S308" s="572"/>
      <c r="T308" s="5"/>
      <c r="V308" s="5"/>
      <c r="Z308" s="5"/>
    </row>
    <row r="309" spans="1:33" ht="12">
      <c r="A309" s="17"/>
      <c r="B309" s="17"/>
      <c r="C309" s="17"/>
      <c r="D309" s="17"/>
      <c r="E309" s="17"/>
      <c r="F309" s="20"/>
      <c r="G309" s="5"/>
      <c r="H309" s="5"/>
      <c r="I309" s="5"/>
      <c r="J309" s="5"/>
      <c r="K309" s="5"/>
      <c r="L309" s="5"/>
      <c r="M309" s="5"/>
      <c r="N309" s="5"/>
      <c r="O309" s="5"/>
      <c r="P309" s="5"/>
      <c r="Q309" s="5"/>
      <c r="R309" s="201"/>
      <c r="T309" s="5"/>
      <c r="V309" s="5"/>
      <c r="Z309" s="5"/>
    </row>
    <row r="310" spans="1:33" ht="12">
      <c r="A310" s="24"/>
      <c r="B310" s="17"/>
      <c r="C310" s="17"/>
      <c r="D310" s="17"/>
      <c r="E310" s="17"/>
      <c r="F310" s="20"/>
      <c r="G310" s="5"/>
      <c r="H310" s="5"/>
      <c r="I310" s="5"/>
      <c r="J310" s="5"/>
      <c r="K310" s="5"/>
      <c r="L310" s="5"/>
      <c r="M310" s="5"/>
      <c r="N310" s="5"/>
      <c r="O310" s="5"/>
      <c r="P310" s="5"/>
      <c r="Q310" s="5"/>
      <c r="R310" s="201"/>
      <c r="T310" s="5"/>
      <c r="V310" s="5"/>
      <c r="Z310" s="5"/>
    </row>
    <row r="311" spans="1:33" ht="12">
      <c r="A311" s="40" t="s">
        <v>593</v>
      </c>
      <c r="B311" s="17"/>
      <c r="C311" s="17"/>
      <c r="D311" s="17"/>
      <c r="E311" s="17"/>
      <c r="F311" s="20"/>
      <c r="G311" s="1"/>
      <c r="H311" s="31"/>
      <c r="I311" s="31"/>
      <c r="J311" s="31"/>
      <c r="K311" s="31"/>
      <c r="L311" s="31"/>
      <c r="M311" s="31"/>
      <c r="N311" s="31"/>
      <c r="O311" s="88">
        <f>SUM(G311:N311)</f>
        <v>0</v>
      </c>
      <c r="P311" s="5" t="str">
        <f>IF(ISNA(HLOOKUP($E$2,'Prior Year FS Balances'!$G$21:$AF$464,272,FALSE)),"",(HLOOKUP($E$2,'Prior Year FS Balances'!$G$21:$AF$464,272,FALSE)))</f>
        <v/>
      </c>
      <c r="Q311" s="5" t="str">
        <f>IF(ISERR(O311-P311),"",(O311-P311))</f>
        <v/>
      </c>
      <c r="R311" s="201" t="str">
        <f>IF($E$7="","",IF(AND(O311=0,P311=0),"",IF(ISERR(Q311/ABS(P311)),100%,Q311/ABS(P311))))</f>
        <v/>
      </c>
      <c r="S311" s="572"/>
      <c r="T311" s="5"/>
      <c r="V311" s="5"/>
      <c r="Z311" s="5"/>
    </row>
    <row r="312" spans="1:33" ht="12" hidden="1">
      <c r="A312" s="40" t="s">
        <v>594</v>
      </c>
      <c r="B312" s="17"/>
      <c r="C312" s="17"/>
      <c r="D312" s="17"/>
      <c r="E312" s="17"/>
      <c r="F312" s="20"/>
      <c r="G312" s="32"/>
      <c r="H312" s="32"/>
      <c r="I312" s="32"/>
      <c r="J312" s="32"/>
      <c r="K312" s="32"/>
      <c r="L312" s="32"/>
      <c r="M312" s="32"/>
      <c r="N312" s="32"/>
      <c r="O312" s="588"/>
      <c r="P312" s="5">
        <v>0</v>
      </c>
      <c r="Q312" s="5">
        <f>O312-P312</f>
        <v>0</v>
      </c>
      <c r="R312" s="201" t="str">
        <f>IF(Q312=0,"0%",Q312/ABS(P312))</f>
        <v>0%</v>
      </c>
      <c r="T312" s="5"/>
      <c r="V312" s="5"/>
      <c r="Z312" s="5"/>
    </row>
    <row r="313" spans="1:33" ht="12">
      <c r="A313" s="24"/>
      <c r="B313" s="33" t="s">
        <v>595</v>
      </c>
      <c r="C313" s="17"/>
      <c r="D313" s="17"/>
      <c r="E313" s="17"/>
      <c r="F313" s="20"/>
      <c r="G313" s="34">
        <f t="shared" ref="G313:N313" si="72">SUM(G311:G312)</f>
        <v>0</v>
      </c>
      <c r="H313" s="34">
        <f t="shared" si="72"/>
        <v>0</v>
      </c>
      <c r="I313" s="34">
        <f t="shared" si="72"/>
        <v>0</v>
      </c>
      <c r="J313" s="34">
        <f>SUM(J311:J312)</f>
        <v>0</v>
      </c>
      <c r="K313" s="34">
        <f t="shared" si="72"/>
        <v>0</v>
      </c>
      <c r="L313" s="34">
        <f t="shared" si="72"/>
        <v>0</v>
      </c>
      <c r="M313" s="34">
        <f t="shared" si="72"/>
        <v>0</v>
      </c>
      <c r="N313" s="34">
        <f t="shared" si="72"/>
        <v>0</v>
      </c>
      <c r="O313" s="34">
        <f>SUM(O311:O312)</f>
        <v>0</v>
      </c>
      <c r="P313" s="34">
        <f>SUM(P311:P312)</f>
        <v>0</v>
      </c>
      <c r="Q313" s="34">
        <f>SUM(Q311:Q312)</f>
        <v>0</v>
      </c>
      <c r="R313" s="202" t="str">
        <f>IF(Q313=0,"0%",IF(ISERR(Q313/ABS(P313)),100%,Q313/ABS(P313)))</f>
        <v>0%</v>
      </c>
      <c r="T313" s="5"/>
      <c r="V313" s="5"/>
      <c r="Z313" s="5"/>
    </row>
    <row r="314" spans="1:33" ht="12" hidden="1">
      <c r="A314" s="24" t="s">
        <v>554</v>
      </c>
      <c r="B314" s="24"/>
      <c r="C314" s="17"/>
      <c r="D314" s="17"/>
      <c r="E314" s="17"/>
      <c r="F314" s="20"/>
      <c r="G314" s="42"/>
      <c r="H314" s="42"/>
      <c r="I314" s="42"/>
      <c r="J314" s="42"/>
      <c r="K314" s="42"/>
      <c r="L314" s="42"/>
      <c r="M314" s="42"/>
      <c r="N314" s="42"/>
      <c r="O314" s="590"/>
      <c r="P314" s="5">
        <v>0</v>
      </c>
      <c r="Q314" s="5">
        <f>O314-P314</f>
        <v>0</v>
      </c>
      <c r="R314" s="201" t="str">
        <f>IF(Q314=0,"0%",Q314/ABS(P314))</f>
        <v>0%</v>
      </c>
      <c r="T314" s="5"/>
      <c r="V314" s="5"/>
      <c r="Z314" s="5"/>
    </row>
    <row r="315" spans="1:33" ht="12">
      <c r="A315" s="24" t="s">
        <v>592</v>
      </c>
      <c r="B315" s="17"/>
      <c r="C315" s="17"/>
      <c r="D315" s="17"/>
      <c r="E315" s="17"/>
      <c r="F315" s="20"/>
      <c r="G315" s="1"/>
      <c r="H315" s="31"/>
      <c r="I315" s="31"/>
      <c r="J315" s="31"/>
      <c r="K315" s="31"/>
      <c r="L315" s="31"/>
      <c r="M315" s="31"/>
      <c r="N315" s="31"/>
      <c r="O315" s="88">
        <f>SUM(G315:N315)</f>
        <v>0</v>
      </c>
      <c r="P315" s="5" t="str">
        <f>IF(ISNA(HLOOKUP($E$2,'Prior Year FS Balances'!$G$21:$AF$464,276,FALSE)),"",(HLOOKUP($E$2,'Prior Year FS Balances'!$G$21:$AF$464,276,FALSE)))</f>
        <v/>
      </c>
      <c r="Q315" s="5" t="str">
        <f t="shared" ref="Q315:Q320" si="73">IF(ISERR(O315-P315),"",(O315-P315))</f>
        <v/>
      </c>
      <c r="R315" s="201" t="str">
        <f>IF($E$7="","",IF(AND(O315=0,P315=0),"",IF(ISERR(Q315/ABS(P315)),100%,Q315/ABS(P315))))</f>
        <v/>
      </c>
      <c r="S315" s="572"/>
      <c r="T315" s="5"/>
      <c r="V315" s="5"/>
      <c r="Z315" s="5"/>
    </row>
    <row r="316" spans="1:33" ht="12" hidden="1">
      <c r="A316" s="24" t="s">
        <v>467</v>
      </c>
      <c r="B316" s="17"/>
      <c r="C316" s="17"/>
      <c r="D316" s="17"/>
      <c r="E316" s="17"/>
      <c r="F316" s="20"/>
      <c r="G316" s="1"/>
      <c r="H316" s="31"/>
      <c r="I316" s="31"/>
      <c r="J316" s="31"/>
      <c r="K316" s="31"/>
      <c r="L316" s="31"/>
      <c r="M316" s="31"/>
      <c r="N316" s="31"/>
      <c r="O316" s="88">
        <f>SUM(G316:N316)</f>
        <v>0</v>
      </c>
      <c r="P316" s="5"/>
      <c r="Q316" s="5">
        <f t="shared" si="73"/>
        <v>0</v>
      </c>
      <c r="R316" s="201" t="str">
        <f t="shared" ref="R316" si="74">IF($E$7="","",IF(AND(G316=0,P316=0),"",IF(ISERR(Q316/ABS(P316)),100%,Q316/ABS(P316))))</f>
        <v/>
      </c>
      <c r="S316" s="572"/>
      <c r="T316" s="5"/>
      <c r="V316" s="5"/>
      <c r="Z316" s="5"/>
    </row>
    <row r="317" spans="1:33" ht="12">
      <c r="A317" s="24" t="s">
        <v>468</v>
      </c>
      <c r="B317" s="17"/>
      <c r="C317" s="17"/>
      <c r="D317" s="17"/>
      <c r="E317" s="17"/>
      <c r="F317" s="20"/>
      <c r="G317" s="1"/>
      <c r="H317" s="31"/>
      <c r="I317" s="31"/>
      <c r="J317" s="31"/>
      <c r="K317" s="31"/>
      <c r="L317" s="31"/>
      <c r="M317" s="31"/>
      <c r="N317" s="31"/>
      <c r="O317" s="88">
        <f>SUM(G317:N317)</f>
        <v>0</v>
      </c>
      <c r="P317" s="5" t="str">
        <f>IF(ISNA(HLOOKUP($E$2,'Prior Year FS Balances'!$G$21:$AF$464,278,FALSE)),"",(HLOOKUP($E$2,'Prior Year FS Balances'!$G$21:$AF$464,278,FALSE)))</f>
        <v/>
      </c>
      <c r="Q317" s="5" t="str">
        <f t="shared" si="73"/>
        <v/>
      </c>
      <c r="R317" s="201" t="str">
        <f>IF($E$7="","",IF(AND(O317=0,P317=0),"",IF(ISERR(Q317/ABS(P317)),100%,Q317/ABS(P317))))</f>
        <v/>
      </c>
      <c r="S317" s="572"/>
      <c r="T317" s="5"/>
      <c r="V317" s="5"/>
      <c r="Z317" s="5"/>
    </row>
    <row r="318" spans="1:33" ht="12">
      <c r="A318" s="24"/>
      <c r="B318" s="17"/>
      <c r="C318" s="17"/>
      <c r="D318" s="17"/>
      <c r="E318" s="17"/>
      <c r="F318" s="20"/>
      <c r="G318" s="5"/>
      <c r="H318" s="5"/>
      <c r="I318" s="5"/>
      <c r="J318" s="5"/>
      <c r="K318" s="5"/>
      <c r="L318" s="5"/>
      <c r="M318" s="5"/>
      <c r="N318" s="5"/>
      <c r="O318" s="5"/>
      <c r="P318" s="5"/>
      <c r="Q318" s="5"/>
      <c r="R318" s="201" t="str">
        <f>IF($E$7="","",IF(AND(O318=0,P318=0),"",IF(ISERR(Q318/ABS(P318)),100%,Q318/ABS(P318))))</f>
        <v/>
      </c>
      <c r="T318" s="5"/>
      <c r="V318" s="5"/>
      <c r="Z318" s="5"/>
      <c r="AF318" s="43"/>
      <c r="AG318" s="43"/>
    </row>
    <row r="319" spans="1:33" ht="12">
      <c r="A319" s="40" t="s">
        <v>219</v>
      </c>
      <c r="B319" s="17"/>
      <c r="C319" s="17"/>
      <c r="D319" s="17"/>
      <c r="E319" s="227" t="str">
        <f>IF(O319&gt;0,"Answer Required",IF(O319&lt;0,"Answer Required","N/A"))</f>
        <v>N/A</v>
      </c>
      <c r="F319" s="20"/>
      <c r="G319" s="1"/>
      <c r="H319" s="31"/>
      <c r="I319" s="31"/>
      <c r="J319" s="31"/>
      <c r="K319" s="31"/>
      <c r="L319" s="31"/>
      <c r="M319" s="31"/>
      <c r="N319" s="31"/>
      <c r="O319" s="88">
        <f>SUM(G319:N319)</f>
        <v>0</v>
      </c>
      <c r="P319" s="5" t="str">
        <f>IF(ISNA(HLOOKUP($E$2,'Prior Year FS Balances'!$G$21:$AF$464,280,FALSE)),"",(HLOOKUP($E$2,'Prior Year FS Balances'!$G$21:$AF$464,280,FALSE)))</f>
        <v/>
      </c>
      <c r="Q319" s="5" t="str">
        <f t="shared" si="73"/>
        <v/>
      </c>
      <c r="R319" s="201" t="str">
        <f>IF($E$7="","",IF(AND(O319=0,P319=0),"",IF(ISERR(Q319/ABS(P319)),100%,Q319/ABS(P319))))</f>
        <v/>
      </c>
      <c r="S319" s="572"/>
      <c r="T319" s="5"/>
      <c r="V319" s="5"/>
      <c r="Z319" s="5"/>
    </row>
    <row r="320" spans="1:33" ht="12">
      <c r="A320" s="40" t="s">
        <v>219</v>
      </c>
      <c r="B320" s="17"/>
      <c r="C320" s="17"/>
      <c r="D320" s="17"/>
      <c r="E320" s="227" t="str">
        <f>IF(O320&gt;0,"Answer Required",IF(O320&lt;0,"Answer Required","N/A"))</f>
        <v>N/A</v>
      </c>
      <c r="F320" s="20"/>
      <c r="G320" s="1"/>
      <c r="H320" s="31"/>
      <c r="I320" s="31"/>
      <c r="J320" s="31"/>
      <c r="K320" s="31"/>
      <c r="L320" s="31"/>
      <c r="M320" s="31"/>
      <c r="N320" s="31"/>
      <c r="O320" s="88">
        <f>SUM(G320:N320)</f>
        <v>0</v>
      </c>
      <c r="P320" s="5" t="str">
        <f>IF(ISNA(HLOOKUP($E$2,'Prior Year FS Balances'!$G$21:$AF$464,281,FALSE)),"",(HLOOKUP($E$2,'Prior Year FS Balances'!$G$21:$AF$464,281,FALSE)))</f>
        <v/>
      </c>
      <c r="Q320" s="5" t="str">
        <f t="shared" si="73"/>
        <v/>
      </c>
      <c r="R320" s="201" t="str">
        <f>IF($E$7="","",IF(AND(O320=0,P320=0),"",IF(ISERR(Q320/ABS(P320)),100%,Q320/ABS(P320))))</f>
        <v/>
      </c>
      <c r="S320" s="572"/>
      <c r="T320" s="5"/>
      <c r="V320" s="5"/>
      <c r="Z320" s="5"/>
    </row>
    <row r="321" spans="1:26" ht="12">
      <c r="A321" s="40"/>
      <c r="B321" s="33" t="s">
        <v>596</v>
      </c>
      <c r="C321" s="17"/>
      <c r="D321" s="17"/>
      <c r="E321" s="17"/>
      <c r="F321" s="20"/>
      <c r="G321" s="34">
        <f t="shared" ref="G321:N321" si="75">SUM(G319:G320)</f>
        <v>0</v>
      </c>
      <c r="H321" s="34">
        <f t="shared" si="75"/>
        <v>0</v>
      </c>
      <c r="I321" s="34">
        <f t="shared" si="75"/>
        <v>0</v>
      </c>
      <c r="J321" s="34">
        <f>SUM(J319:J320)</f>
        <v>0</v>
      </c>
      <c r="K321" s="34">
        <f t="shared" si="75"/>
        <v>0</v>
      </c>
      <c r="L321" s="34">
        <f t="shared" si="75"/>
        <v>0</v>
      </c>
      <c r="M321" s="34">
        <f t="shared" si="75"/>
        <v>0</v>
      </c>
      <c r="N321" s="34">
        <f t="shared" si="75"/>
        <v>0</v>
      </c>
      <c r="O321" s="34">
        <f>SUM(O319:O320)</f>
        <v>0</v>
      </c>
      <c r="P321" s="34">
        <f>SUM(P319:P320)</f>
        <v>0</v>
      </c>
      <c r="Q321" s="34">
        <f>SUM(Q319:Q320)</f>
        <v>0</v>
      </c>
      <c r="R321" s="202" t="str">
        <f>IF(Q321=0,"0%",IF(ISERR(Q321/ABS(P321)),100%,Q321/ABS(P321)))</f>
        <v>0%</v>
      </c>
      <c r="T321" s="5"/>
      <c r="V321" s="5"/>
      <c r="Z321" s="5"/>
    </row>
    <row r="322" spans="1:26" ht="12">
      <c r="A322" s="40"/>
      <c r="B322" s="17"/>
      <c r="C322" s="17"/>
      <c r="D322" s="17"/>
      <c r="E322" s="17"/>
      <c r="F322" s="20"/>
      <c r="G322" s="5"/>
      <c r="H322" s="5"/>
      <c r="I322" s="5"/>
      <c r="J322" s="5"/>
      <c r="K322" s="5"/>
      <c r="L322" s="5"/>
      <c r="M322" s="5"/>
      <c r="N322" s="5"/>
      <c r="O322" s="5"/>
      <c r="P322" s="5"/>
      <c r="Q322" s="5"/>
      <c r="R322" s="201"/>
      <c r="T322" s="5"/>
      <c r="V322" s="5"/>
      <c r="Z322" s="5"/>
    </row>
    <row r="323" spans="1:26" ht="12">
      <c r="A323" s="40" t="s">
        <v>208</v>
      </c>
      <c r="B323" s="17"/>
      <c r="C323" s="17"/>
      <c r="D323" s="17"/>
      <c r="E323" s="227" t="str">
        <f>IF(O323&gt;0,"Answer Required",IF(O323&lt;0,"Answer Required","N/A"))</f>
        <v>N/A</v>
      </c>
      <c r="F323" s="20"/>
      <c r="G323" s="1"/>
      <c r="H323" s="31"/>
      <c r="I323" s="31"/>
      <c r="J323" s="31"/>
      <c r="K323" s="31"/>
      <c r="L323" s="31"/>
      <c r="M323" s="31"/>
      <c r="N323" s="31"/>
      <c r="O323" s="88">
        <f>SUM(G323:N323)</f>
        <v>0</v>
      </c>
      <c r="P323" s="5" t="str">
        <f>IF(ISNA(HLOOKUP($E$2,'Prior Year FS Balances'!$G$21:$AF$464,284,FALSE)),"",(HLOOKUP($E$2,'Prior Year FS Balances'!$G$21:$AF$464,284,FALSE)))</f>
        <v/>
      </c>
      <c r="Q323" s="5" t="str">
        <f>IF(ISERR(O323-P323),"",(O323-P323))</f>
        <v/>
      </c>
      <c r="R323" s="201" t="str">
        <f>IF($E$7="","",IF(AND(O323=0,P323=0),"",IF(ISERR(Q323/ABS(P323)),100%,Q323/ABS(P323))))</f>
        <v/>
      </c>
      <c r="S323" s="572"/>
      <c r="T323" s="5"/>
      <c r="V323" s="5"/>
      <c r="Z323" s="5"/>
    </row>
    <row r="324" spans="1:26" ht="12">
      <c r="A324" s="40" t="s">
        <v>208</v>
      </c>
      <c r="B324" s="17"/>
      <c r="C324" s="17"/>
      <c r="D324" s="17"/>
      <c r="E324" s="227" t="str">
        <f>IF(O324&gt;0,"Answer Required",IF(O324&lt;0,"Answer Required","N/A"))</f>
        <v>N/A</v>
      </c>
      <c r="F324" s="20"/>
      <c r="G324" s="228"/>
      <c r="H324" s="32"/>
      <c r="I324" s="32"/>
      <c r="J324" s="32"/>
      <c r="K324" s="32"/>
      <c r="L324" s="32"/>
      <c r="M324" s="32"/>
      <c r="N324" s="32"/>
      <c r="O324" s="88">
        <f>SUM(G324:N324)</f>
        <v>0</v>
      </c>
      <c r="P324" s="5" t="str">
        <f>IF(ISNA(HLOOKUP($E$2,'Prior Year FS Balances'!$G$21:$AF$464,285,FALSE)),"",(HLOOKUP($E$2,'Prior Year FS Balances'!$G$21:$AF$464,285,FALSE)))</f>
        <v/>
      </c>
      <c r="Q324" s="5" t="str">
        <f>IF(ISERR(O324-P324),"",(O324-P324))</f>
        <v/>
      </c>
      <c r="R324" s="201" t="str">
        <f>IF($E$7="","",IF(AND(O324=0,P324=0),"",IF(ISERR(Q324/ABS(P324)),100%,Q324/ABS(P324))))</f>
        <v/>
      </c>
      <c r="S324" s="572"/>
      <c r="T324" s="5"/>
      <c r="V324" s="5"/>
      <c r="Z324" s="5"/>
    </row>
    <row r="325" spans="1:26" ht="12">
      <c r="A325" s="17"/>
      <c r="B325" s="33" t="s">
        <v>597</v>
      </c>
      <c r="C325" s="17"/>
      <c r="D325" s="17"/>
      <c r="E325" s="17"/>
      <c r="F325" s="20"/>
      <c r="G325" s="34">
        <f t="shared" ref="G325:Q325" si="76">SUM(G323:G324)</f>
        <v>0</v>
      </c>
      <c r="H325" s="34">
        <f t="shared" si="76"/>
        <v>0</v>
      </c>
      <c r="I325" s="34">
        <f t="shared" si="76"/>
        <v>0</v>
      </c>
      <c r="J325" s="34">
        <f>SUM(J323:J324)</f>
        <v>0</v>
      </c>
      <c r="K325" s="34">
        <f t="shared" si="76"/>
        <v>0</v>
      </c>
      <c r="L325" s="34">
        <f t="shared" si="76"/>
        <v>0</v>
      </c>
      <c r="M325" s="34">
        <f t="shared" si="76"/>
        <v>0</v>
      </c>
      <c r="N325" s="34">
        <f t="shared" si="76"/>
        <v>0</v>
      </c>
      <c r="O325" s="34">
        <f>SUM(O323:O324)</f>
        <v>0</v>
      </c>
      <c r="P325" s="34">
        <f>SUM(P323:P324)</f>
        <v>0</v>
      </c>
      <c r="Q325" s="34">
        <f t="shared" si="76"/>
        <v>0</v>
      </c>
      <c r="R325" s="202" t="str">
        <f>IF(Q325=0,"0%",IF(ISERR(Q325/ABS(P325)),100%,Q325/ABS(P325)))</f>
        <v>0%</v>
      </c>
      <c r="T325" s="5"/>
      <c r="V325" s="5"/>
      <c r="Z325" s="5"/>
    </row>
    <row r="326" spans="1:26" ht="12">
      <c r="A326" s="40"/>
      <c r="B326" s="17"/>
      <c r="C326" s="17"/>
      <c r="D326" s="17"/>
      <c r="E326" s="17"/>
      <c r="F326" s="20"/>
      <c r="G326" s="5"/>
      <c r="H326" s="5"/>
      <c r="I326" s="5"/>
      <c r="J326" s="5"/>
      <c r="K326" s="5"/>
      <c r="L326" s="5"/>
      <c r="M326" s="5"/>
      <c r="N326" s="5"/>
      <c r="O326" s="5"/>
      <c r="P326" s="5"/>
      <c r="Q326" s="5"/>
      <c r="R326" s="201"/>
      <c r="T326" s="5"/>
      <c r="V326" s="5"/>
      <c r="Z326" s="5"/>
    </row>
    <row r="327" spans="1:26" ht="12">
      <c r="A327" s="17"/>
      <c r="B327" s="24" t="s">
        <v>598</v>
      </c>
      <c r="C327" s="17"/>
      <c r="D327" s="17"/>
      <c r="E327" s="17"/>
      <c r="F327" s="20"/>
      <c r="G327" s="34">
        <f t="shared" ref="G327:Q327" si="77">SUM(G303:G308,G313,G314:G317,G321,G325)</f>
        <v>0</v>
      </c>
      <c r="H327" s="34">
        <f t="shared" si="77"/>
        <v>0</v>
      </c>
      <c r="I327" s="34">
        <f t="shared" si="77"/>
        <v>0</v>
      </c>
      <c r="J327" s="34">
        <f>SUM(J303:J308,J313,J314:J317,J321,J325)</f>
        <v>0</v>
      </c>
      <c r="K327" s="34">
        <f t="shared" si="77"/>
        <v>0</v>
      </c>
      <c r="L327" s="34">
        <f t="shared" si="77"/>
        <v>0</v>
      </c>
      <c r="M327" s="34">
        <f t="shared" si="77"/>
        <v>0</v>
      </c>
      <c r="N327" s="34">
        <f t="shared" si="77"/>
        <v>0</v>
      </c>
      <c r="O327" s="34">
        <f t="shared" si="77"/>
        <v>0</v>
      </c>
      <c r="P327" s="34">
        <f t="shared" si="77"/>
        <v>0</v>
      </c>
      <c r="Q327" s="34">
        <f t="shared" si="77"/>
        <v>0</v>
      </c>
      <c r="R327" s="202" t="str">
        <f>IF(Q327=0,"0%",IF(ISERR(Q327/ABS(P327)),100%,Q327/ABS(P327)))</f>
        <v>0%</v>
      </c>
      <c r="T327" s="5"/>
      <c r="V327" s="5"/>
      <c r="Z327" s="5"/>
    </row>
    <row r="328" spans="1:26" ht="12">
      <c r="A328" s="40"/>
      <c r="B328" s="17"/>
      <c r="C328" s="17"/>
      <c r="D328" s="17"/>
      <c r="E328" s="17"/>
      <c r="F328" s="20"/>
      <c r="G328" s="5"/>
      <c r="H328" s="5"/>
      <c r="I328" s="5"/>
      <c r="J328" s="5"/>
      <c r="K328" s="5"/>
      <c r="L328" s="5"/>
      <c r="M328" s="5"/>
      <c r="N328" s="5"/>
      <c r="O328" s="5"/>
      <c r="P328" s="5"/>
      <c r="Q328" s="5"/>
      <c r="R328" s="201"/>
      <c r="T328" s="5"/>
      <c r="V328" s="5"/>
      <c r="Z328" s="5"/>
    </row>
    <row r="329" spans="1:26" ht="12">
      <c r="A329" s="18" t="s">
        <v>599</v>
      </c>
      <c r="B329" s="17"/>
      <c r="C329" s="17"/>
      <c r="D329" s="17"/>
      <c r="E329" s="17"/>
      <c r="F329" s="20"/>
      <c r="G329" s="5"/>
      <c r="H329" s="5"/>
      <c r="I329" s="5"/>
      <c r="J329" s="5"/>
      <c r="K329" s="5"/>
      <c r="L329" s="5"/>
      <c r="M329" s="5"/>
      <c r="N329" s="5"/>
      <c r="O329" s="5"/>
      <c r="P329" s="5"/>
      <c r="Q329" s="5"/>
      <c r="R329" s="201"/>
      <c r="T329" s="5"/>
      <c r="V329" s="5"/>
      <c r="Z329" s="5"/>
    </row>
    <row r="330" spans="1:26" ht="12">
      <c r="A330" s="24" t="s">
        <v>249</v>
      </c>
      <c r="B330" s="17"/>
      <c r="C330" s="17"/>
      <c r="D330" s="17"/>
      <c r="E330" s="17"/>
      <c r="F330" s="20"/>
      <c r="G330" s="1"/>
      <c r="H330" s="31"/>
      <c r="I330" s="31"/>
      <c r="J330" s="31"/>
      <c r="K330" s="31"/>
      <c r="L330" s="31"/>
      <c r="M330" s="31"/>
      <c r="N330" s="31"/>
      <c r="O330" s="88">
        <f>SUM(G330:N330)</f>
        <v>0</v>
      </c>
      <c r="P330" s="5" t="str">
        <f>IF(ISNA(HLOOKUP($E$2,'Prior Year FS Balances'!$G$21:$AF$464,291,FALSE)),"",(HLOOKUP($E$2,'Prior Year FS Balances'!$G$21:$AF$464,291,FALSE)))</f>
        <v/>
      </c>
      <c r="Q330" s="5" t="str">
        <f t="shared" ref="Q330:Q337" si="78">IF(ISERR(O330-P330),"",(O330-P330))</f>
        <v/>
      </c>
      <c r="R330" s="201" t="str">
        <f>IF($E$7="","",IF(AND(O330=0,P330=0),"",IF(ISERR(Q330/ABS(P330)),100%,Q330/ABS(P330))))</f>
        <v/>
      </c>
      <c r="S330" s="572"/>
      <c r="T330" s="5"/>
      <c r="V330" s="5"/>
      <c r="Z330" s="5"/>
    </row>
    <row r="331" spans="1:26" ht="12">
      <c r="A331" s="24" t="s">
        <v>250</v>
      </c>
      <c r="B331" s="17"/>
      <c r="C331" s="17"/>
      <c r="D331" s="17"/>
      <c r="E331" s="17"/>
      <c r="F331" s="20"/>
      <c r="G331" s="1"/>
      <c r="H331" s="31"/>
      <c r="I331" s="31"/>
      <c r="J331" s="31"/>
      <c r="K331" s="31"/>
      <c r="L331" s="31"/>
      <c r="M331" s="31"/>
      <c r="N331" s="31"/>
      <c r="O331" s="88">
        <f>SUM(G331:N331)</f>
        <v>0</v>
      </c>
      <c r="P331" s="5" t="str">
        <f>IF(ISNA(HLOOKUP($E$2,'Prior Year FS Balances'!$G$21:$AF$464,292,FALSE)),"",(HLOOKUP($E$2,'Prior Year FS Balances'!$G$21:$AF$464,292,FALSE)))</f>
        <v/>
      </c>
      <c r="Q331" s="5" t="str">
        <f t="shared" si="78"/>
        <v/>
      </c>
      <c r="R331" s="201" t="str">
        <f>IF($E$7="","",IF(AND(O331=0,P331=0),"",IF(ISERR(Q331/ABS(P331)),-100%,Q331/ABS(P331))))</f>
        <v/>
      </c>
      <c r="S331" s="572"/>
      <c r="T331" s="5"/>
      <c r="V331" s="5"/>
      <c r="Z331" s="5"/>
    </row>
    <row r="332" spans="1:26" ht="12">
      <c r="A332" s="24"/>
      <c r="B332" s="17"/>
      <c r="C332" s="17"/>
      <c r="D332" s="17"/>
      <c r="E332" s="17"/>
      <c r="F332" s="20"/>
      <c r="G332" s="5"/>
      <c r="H332" s="5"/>
      <c r="I332" s="5"/>
      <c r="J332" s="5"/>
      <c r="K332" s="5"/>
      <c r="L332" s="5"/>
      <c r="M332" s="5"/>
      <c r="N332" s="5"/>
      <c r="O332" s="5"/>
      <c r="P332" s="5"/>
      <c r="Q332" s="5"/>
      <c r="R332" s="201" t="str">
        <f>IF($E$7="","",IF(AND(O332=0,P332=0),"",IF(ISERR(Q332/ABS(P332)),100%,Q332/ABS(P332))))</f>
        <v/>
      </c>
      <c r="T332" s="5"/>
      <c r="V332" s="5"/>
      <c r="Z332" s="5"/>
    </row>
    <row r="333" spans="1:26" ht="12">
      <c r="A333" s="40" t="s">
        <v>193</v>
      </c>
      <c r="B333" s="17"/>
      <c r="C333" s="17"/>
      <c r="D333" s="17"/>
      <c r="E333" s="17"/>
      <c r="F333" s="20"/>
      <c r="G333" s="1"/>
      <c r="H333" s="31"/>
      <c r="I333" s="31"/>
      <c r="J333" s="31"/>
      <c r="K333" s="31"/>
      <c r="L333" s="31"/>
      <c r="M333" s="31"/>
      <c r="N333" s="31"/>
      <c r="O333" s="88">
        <f>SUM(G333:N333)</f>
        <v>0</v>
      </c>
      <c r="P333" s="5" t="str">
        <f>IF(ISNA(HLOOKUP($E$2,'Prior Year FS Balances'!$G$21:$AF$464,294,FALSE)),"",(HLOOKUP($E$2,'Prior Year FS Balances'!$G$21:$AF$464,294,FALSE)))</f>
        <v/>
      </c>
      <c r="Q333" s="5" t="str">
        <f t="shared" si="78"/>
        <v/>
      </c>
      <c r="R333" s="201" t="str">
        <f>IF($E$7="","",IF(AND(O333=0,P333=0),"",IF(ISERR(Q333/ABS(P333)),100%,Q333/ABS(P333))))</f>
        <v/>
      </c>
      <c r="S333" s="572"/>
      <c r="T333" s="5"/>
      <c r="V333" s="5"/>
      <c r="Z333" s="5"/>
    </row>
    <row r="334" spans="1:26" ht="12" hidden="1">
      <c r="A334" s="40"/>
      <c r="B334" s="17"/>
      <c r="C334" s="17"/>
      <c r="D334" s="17"/>
      <c r="E334" s="17"/>
      <c r="F334" s="20"/>
      <c r="G334" s="1"/>
      <c r="H334" s="31"/>
      <c r="I334" s="31"/>
      <c r="J334" s="31"/>
      <c r="K334" s="31"/>
      <c r="L334" s="31"/>
      <c r="M334" s="31"/>
      <c r="N334" s="31"/>
      <c r="O334" s="88"/>
      <c r="P334" s="5"/>
      <c r="Q334" s="5"/>
      <c r="R334" s="201"/>
      <c r="S334" s="572"/>
      <c r="T334" s="5"/>
      <c r="V334" s="5"/>
      <c r="Z334" s="5"/>
    </row>
    <row r="335" spans="1:26" ht="12">
      <c r="A335" s="40" t="s">
        <v>470</v>
      </c>
      <c r="B335" s="17"/>
      <c r="C335" s="17"/>
      <c r="D335" s="17"/>
      <c r="E335" s="17"/>
      <c r="F335" s="20"/>
      <c r="G335" s="1"/>
      <c r="H335" s="31"/>
      <c r="I335" s="31"/>
      <c r="J335" s="31"/>
      <c r="K335" s="31"/>
      <c r="L335" s="31"/>
      <c r="M335" s="31"/>
      <c r="N335" s="31"/>
      <c r="O335" s="88">
        <f>SUM(G335:N335)</f>
        <v>0</v>
      </c>
      <c r="P335" s="5" t="str">
        <f>IF(ISNA(HLOOKUP($E$2,'Prior Year FS Balances'!$G$21:$AF$464,296,FALSE)),"",(HLOOKUP($E$2,'Prior Year FS Balances'!$G$21:$AF$464,296,FALSE)))</f>
        <v/>
      </c>
      <c r="Q335" s="5" t="str">
        <f t="shared" si="78"/>
        <v/>
      </c>
      <c r="R335" s="201" t="str">
        <f>IF($E$7="","",IF(AND(O335=0,P335=0),"",IF(ISERR(Q335/ABS(P335)),100%,Q335/ABS(P335))))</f>
        <v/>
      </c>
      <c r="S335" s="572"/>
      <c r="T335" s="5"/>
      <c r="V335" s="5"/>
      <c r="Z335" s="5"/>
    </row>
    <row r="336" spans="1:26" ht="12">
      <c r="A336" s="40" t="s">
        <v>2866</v>
      </c>
      <c r="B336" s="17"/>
      <c r="C336" s="17"/>
      <c r="D336" s="17"/>
      <c r="E336" s="227" t="str">
        <f>IF(O336&gt;0,"Answer Required",IF(O336&lt;0,"Answer Required","N/A"))</f>
        <v>N/A</v>
      </c>
      <c r="F336" s="20"/>
      <c r="G336" s="1"/>
      <c r="H336" s="31"/>
      <c r="I336" s="31"/>
      <c r="J336" s="31"/>
      <c r="K336" s="31"/>
      <c r="L336" s="31"/>
      <c r="M336" s="31"/>
      <c r="N336" s="31"/>
      <c r="O336" s="88">
        <f>SUM(G336:N336)</f>
        <v>0</v>
      </c>
      <c r="P336" s="5" t="str">
        <f>IF(ISNA(HLOOKUP($E$2,'Prior Year FS Balances'!$G$21:$AF$464,297,FALSE)),"",(HLOOKUP($E$2,'Prior Year FS Balances'!$G$21:$AF$464,297,FALSE)))</f>
        <v/>
      </c>
      <c r="Q336" s="5" t="str">
        <f t="shared" si="78"/>
        <v/>
      </c>
      <c r="R336" s="201" t="str">
        <f>IF($E$7="","",IF(AND(O336=0,P336=0),"",IF(ISERR(Q336/ABS(P336)),100%,Q336/ABS(P336))))</f>
        <v/>
      </c>
      <c r="S336" s="572"/>
      <c r="T336" s="5"/>
      <c r="V336" s="5"/>
      <c r="Z336" s="5"/>
    </row>
    <row r="337" spans="1:28" ht="12">
      <c r="A337" s="40" t="s">
        <v>2866</v>
      </c>
      <c r="B337" s="17"/>
      <c r="C337" s="17"/>
      <c r="D337" s="17"/>
      <c r="E337" s="227" t="str">
        <f>IF(O337&gt;0,"Answer Required",IF(O337&lt;0,"Answer Required","N/A"))</f>
        <v>N/A</v>
      </c>
      <c r="F337" s="20"/>
      <c r="G337" s="1"/>
      <c r="H337" s="31"/>
      <c r="I337" s="31"/>
      <c r="J337" s="31"/>
      <c r="K337" s="31"/>
      <c r="L337" s="31"/>
      <c r="M337" s="31"/>
      <c r="N337" s="31"/>
      <c r="O337" s="88">
        <f>SUM(G337:N337)</f>
        <v>0</v>
      </c>
      <c r="P337" s="5" t="str">
        <f>IF(ISNA(HLOOKUP($E$2,'Prior Year FS Balances'!$G$21:$AF$464,298,FALSE)),"",(HLOOKUP($E$2,'Prior Year FS Balances'!$G$21:$AF$464,298,FALSE)))</f>
        <v/>
      </c>
      <c r="Q337" s="5" t="str">
        <f t="shared" si="78"/>
        <v/>
      </c>
      <c r="R337" s="201" t="str">
        <f>IF($E$7="","",IF(AND(O337=0,P337=0),"",IF(ISERR(Q337/ABS(P337)),100%,Q337/ABS(P337))))</f>
        <v/>
      </c>
      <c r="S337" s="572"/>
      <c r="T337" s="5"/>
      <c r="V337" s="5"/>
      <c r="Z337" s="5"/>
    </row>
    <row r="338" spans="1:28" ht="12">
      <c r="A338" s="24"/>
      <c r="B338" s="33" t="s">
        <v>251</v>
      </c>
      <c r="C338" s="17"/>
      <c r="D338" s="17"/>
      <c r="E338" s="17"/>
      <c r="F338" s="20"/>
      <c r="G338" s="34">
        <f t="shared" ref="G338:Q338" si="79">SUM(G333:G337)</f>
        <v>0</v>
      </c>
      <c r="H338" s="34">
        <f t="shared" si="79"/>
        <v>0</v>
      </c>
      <c r="I338" s="34">
        <f t="shared" si="79"/>
        <v>0</v>
      </c>
      <c r="J338" s="34">
        <f>SUM(J333:J337)</f>
        <v>0</v>
      </c>
      <c r="K338" s="34">
        <f t="shared" si="79"/>
        <v>0</v>
      </c>
      <c r="L338" s="34">
        <f t="shared" si="79"/>
        <v>0</v>
      </c>
      <c r="M338" s="34">
        <f t="shared" si="79"/>
        <v>0</v>
      </c>
      <c r="N338" s="34">
        <f t="shared" si="79"/>
        <v>0</v>
      </c>
      <c r="O338" s="34">
        <f t="shared" si="79"/>
        <v>0</v>
      </c>
      <c r="P338" s="34">
        <f t="shared" si="79"/>
        <v>0</v>
      </c>
      <c r="Q338" s="34">
        <f t="shared" si="79"/>
        <v>0</v>
      </c>
      <c r="R338" s="202" t="str">
        <f>IF(Q338=0,"0%",IF(ISERR(Q338/ABS(P338)),100%,Q338/ABS(P338)))</f>
        <v>0%</v>
      </c>
      <c r="T338" s="5"/>
      <c r="V338" s="5"/>
      <c r="Z338" s="5"/>
    </row>
    <row r="339" spans="1:28" ht="12">
      <c r="A339" s="24"/>
      <c r="B339" s="33"/>
      <c r="C339" s="17"/>
      <c r="D339" s="17"/>
      <c r="E339" s="17"/>
      <c r="F339" s="20"/>
      <c r="G339" s="5"/>
      <c r="H339" s="5"/>
      <c r="I339" s="5"/>
      <c r="J339" s="5"/>
      <c r="K339" s="5"/>
      <c r="L339" s="5"/>
      <c r="M339" s="5"/>
      <c r="N339" s="5"/>
      <c r="O339" s="5"/>
      <c r="P339" s="5"/>
      <c r="Q339" s="5"/>
      <c r="R339" s="201"/>
      <c r="T339" s="5"/>
      <c r="V339" s="5"/>
      <c r="Z339" s="5"/>
    </row>
    <row r="340" spans="1:28" ht="12">
      <c r="A340" s="40" t="s">
        <v>825</v>
      </c>
      <c r="B340" s="17"/>
      <c r="C340" s="17"/>
      <c r="D340" s="17"/>
      <c r="E340" s="17"/>
      <c r="F340" s="20"/>
      <c r="G340" s="1"/>
      <c r="H340" s="31"/>
      <c r="I340" s="31"/>
      <c r="J340" s="31"/>
      <c r="K340" s="31"/>
      <c r="L340" s="31"/>
      <c r="M340" s="31"/>
      <c r="N340" s="31"/>
      <c r="O340" s="88">
        <f>SUM(G340:N340)</f>
        <v>0</v>
      </c>
      <c r="P340" s="5" t="str">
        <f>IF(ISNA(HLOOKUP($E$2,'Prior Year FS Balances'!$G$21:$AF$464,301,FALSE)),"",(HLOOKUP($E$2,'Prior Year FS Balances'!$G$21:$AF$464,301,FALSE)))</f>
        <v/>
      </c>
      <c r="Q340" s="5" t="str">
        <f>IF(ISERR(O340-P340),"",(O340-P340))</f>
        <v/>
      </c>
      <c r="R340" s="201" t="str">
        <f>IF($E$7="","",IF(AND(O340=0,P340=0),"",IF(ISERR(Q340/ABS(P340)),100%,Q340/ABS(P340))))</f>
        <v/>
      </c>
      <c r="S340" s="572"/>
      <c r="T340" s="5"/>
      <c r="V340" s="5"/>
      <c r="Z340" s="5"/>
    </row>
    <row r="341" spans="1:28" ht="12">
      <c r="A341" s="40" t="s">
        <v>2867</v>
      </c>
      <c r="B341" s="17"/>
      <c r="C341" s="17"/>
      <c r="D341" s="17"/>
      <c r="E341" s="227" t="str">
        <f>IF(O341&gt;0,"Answer Required",IF(O341&lt;0,"Answer Required","N/A"))</f>
        <v>N/A</v>
      </c>
      <c r="F341" s="20"/>
      <c r="G341" s="1"/>
      <c r="H341" s="31"/>
      <c r="I341" s="31"/>
      <c r="J341" s="31"/>
      <c r="K341" s="31"/>
      <c r="L341" s="31"/>
      <c r="M341" s="31"/>
      <c r="N341" s="31"/>
      <c r="O341" s="88">
        <f>SUM(G341:N341)</f>
        <v>0</v>
      </c>
      <c r="P341" s="5" t="str">
        <f>IF(ISNA(HLOOKUP($E$2,'Prior Year FS Balances'!$G$21:$AF$464,302,FALSE)),"",(HLOOKUP($E$2,'Prior Year FS Balances'!$G$21:$AF$464,302,FALSE)))</f>
        <v/>
      </c>
      <c r="Q341" s="5" t="str">
        <f>IF(ISERR(O341-P341),"",(O341-P341))</f>
        <v/>
      </c>
      <c r="R341" s="201" t="str">
        <f>IF($E$7="","",IF(AND(O341=0,P341=0),"",IF(ISERR(Q341/ABS(P341)),100%,Q341/ABS(P341))))</f>
        <v/>
      </c>
      <c r="S341" s="572"/>
      <c r="T341" s="5"/>
      <c r="V341" s="5"/>
      <c r="Z341" s="5"/>
    </row>
    <row r="342" spans="1:28" ht="12">
      <c r="A342" s="40" t="s">
        <v>2867</v>
      </c>
      <c r="B342" s="17"/>
      <c r="C342" s="17"/>
      <c r="D342" s="17"/>
      <c r="E342" s="227" t="str">
        <f>IF(O342&gt;0,"Answer Required",IF(O342&lt;0,"Answer Required","N/A"))</f>
        <v>N/A</v>
      </c>
      <c r="F342" s="20"/>
      <c r="G342" s="1"/>
      <c r="H342" s="31"/>
      <c r="I342" s="31"/>
      <c r="J342" s="31"/>
      <c r="K342" s="31"/>
      <c r="L342" s="31"/>
      <c r="M342" s="31"/>
      <c r="N342" s="31"/>
      <c r="O342" s="88">
        <f>SUM(G342:N342)</f>
        <v>0</v>
      </c>
      <c r="P342" s="5" t="str">
        <f>IF(ISNA(HLOOKUP($E$2,'Prior Year FS Balances'!$G$21:$AF$464,303,FALSE)),"",(HLOOKUP($E$2,'Prior Year FS Balances'!$G$21:$AF$464,303,FALSE)))</f>
        <v/>
      </c>
      <c r="Q342" s="5" t="str">
        <f>IF(ISERR(O342-P342),"",(O342-P342))</f>
        <v/>
      </c>
      <c r="R342" s="201" t="str">
        <f>IF($E$7="","",IF(AND(O342=0,P342=0),"",IF(ISERR(Q342/ABS(P342)),100%,Q342/ABS(P342))))</f>
        <v/>
      </c>
      <c r="S342" s="572"/>
      <c r="T342" s="5"/>
      <c r="V342" s="5"/>
      <c r="Z342" s="5"/>
    </row>
    <row r="343" spans="1:28" ht="12">
      <c r="A343" s="40"/>
      <c r="B343" s="33" t="s">
        <v>494</v>
      </c>
      <c r="C343" s="17"/>
      <c r="D343" s="17"/>
      <c r="E343" s="17"/>
      <c r="F343" s="20"/>
      <c r="G343" s="34">
        <f t="shared" ref="G343:Q343" si="80">SUM(G340:G342)</f>
        <v>0</v>
      </c>
      <c r="H343" s="34">
        <f t="shared" si="80"/>
        <v>0</v>
      </c>
      <c r="I343" s="34">
        <f t="shared" si="80"/>
        <v>0</v>
      </c>
      <c r="J343" s="34">
        <f>SUM(J340:J342)</f>
        <v>0</v>
      </c>
      <c r="K343" s="34">
        <f t="shared" si="80"/>
        <v>0</v>
      </c>
      <c r="L343" s="34">
        <f t="shared" si="80"/>
        <v>0</v>
      </c>
      <c r="M343" s="34">
        <f t="shared" si="80"/>
        <v>0</v>
      </c>
      <c r="N343" s="34">
        <f t="shared" si="80"/>
        <v>0</v>
      </c>
      <c r="O343" s="34">
        <f t="shared" si="80"/>
        <v>0</v>
      </c>
      <c r="P343" s="34">
        <f t="shared" si="80"/>
        <v>0</v>
      </c>
      <c r="Q343" s="34">
        <f t="shared" si="80"/>
        <v>0</v>
      </c>
      <c r="R343" s="202" t="str">
        <f>IF(Q343=0,"0%",IF(ISERR(Q343/ABS(P343)),100%,Q343/ABS(P343)))</f>
        <v>0%</v>
      </c>
      <c r="T343" s="5"/>
      <c r="V343" s="5"/>
      <c r="Z343" s="5"/>
    </row>
    <row r="344" spans="1:28" ht="12">
      <c r="A344" s="40"/>
      <c r="B344" s="17"/>
      <c r="C344" s="17"/>
      <c r="D344" s="17"/>
      <c r="E344" s="17"/>
      <c r="F344" s="20"/>
      <c r="G344" s="5"/>
      <c r="H344" s="5"/>
      <c r="I344" s="5"/>
      <c r="J344" s="5"/>
      <c r="K344" s="5"/>
      <c r="L344" s="5"/>
      <c r="M344" s="5"/>
      <c r="N344" s="5"/>
      <c r="O344" s="5"/>
      <c r="P344" s="5"/>
      <c r="Q344" s="5"/>
      <c r="R344" s="201"/>
      <c r="T344" s="5"/>
      <c r="V344" s="5"/>
      <c r="Z344" s="5"/>
    </row>
    <row r="345" spans="1:28" ht="12">
      <c r="A345" s="17"/>
      <c r="B345" s="24" t="s">
        <v>495</v>
      </c>
      <c r="C345" s="17"/>
      <c r="D345" s="17"/>
      <c r="E345" s="17"/>
      <c r="F345" s="20"/>
      <c r="G345" s="34">
        <f t="shared" ref="G345:Q345" si="81">SUM(G330:G331,G338,G343)</f>
        <v>0</v>
      </c>
      <c r="H345" s="34">
        <f t="shared" si="81"/>
        <v>0</v>
      </c>
      <c r="I345" s="34">
        <f t="shared" si="81"/>
        <v>0</v>
      </c>
      <c r="J345" s="34">
        <f>SUM(J330:J331,J338,J343)</f>
        <v>0</v>
      </c>
      <c r="K345" s="34">
        <f t="shared" si="81"/>
        <v>0</v>
      </c>
      <c r="L345" s="34">
        <f t="shared" si="81"/>
        <v>0</v>
      </c>
      <c r="M345" s="34">
        <f t="shared" si="81"/>
        <v>0</v>
      </c>
      <c r="N345" s="34">
        <f t="shared" si="81"/>
        <v>0</v>
      </c>
      <c r="O345" s="34">
        <f t="shared" si="81"/>
        <v>0</v>
      </c>
      <c r="P345" s="34">
        <f t="shared" si="81"/>
        <v>0</v>
      </c>
      <c r="Q345" s="34">
        <f t="shared" si="81"/>
        <v>0</v>
      </c>
      <c r="R345" s="202" t="str">
        <f>IF(Q345=0,"0%",IF(ISERR(Q345/ABS(P345)),100%,Q345/ABS(P345)))</f>
        <v>0%</v>
      </c>
      <c r="T345" s="5"/>
      <c r="V345" s="5"/>
      <c r="Z345" s="5"/>
    </row>
    <row r="346" spans="1:28" ht="12">
      <c r="A346" s="17"/>
      <c r="B346" s="40"/>
      <c r="C346" s="17"/>
      <c r="D346" s="17"/>
      <c r="E346" s="17"/>
      <c r="F346" s="20"/>
      <c r="G346" s="5"/>
      <c r="H346" s="5"/>
      <c r="I346" s="5"/>
      <c r="J346" s="5"/>
      <c r="K346" s="5"/>
      <c r="L346" s="5"/>
      <c r="M346" s="5"/>
      <c r="N346" s="5"/>
      <c r="O346" s="5"/>
      <c r="P346" s="5"/>
      <c r="Q346" s="5"/>
      <c r="R346" s="5"/>
      <c r="T346" s="5"/>
      <c r="V346" s="5"/>
      <c r="Z346" s="5"/>
    </row>
    <row r="347" spans="1:28" ht="12">
      <c r="A347" s="17"/>
      <c r="B347" s="40"/>
      <c r="C347" s="17"/>
      <c r="D347" s="17"/>
      <c r="E347" s="17"/>
      <c r="F347" s="20"/>
      <c r="G347" s="5"/>
      <c r="H347" s="5"/>
      <c r="I347" s="5"/>
      <c r="J347" s="5"/>
      <c r="K347" s="5"/>
      <c r="L347" s="5"/>
      <c r="M347" s="5"/>
      <c r="N347" s="5"/>
      <c r="O347" s="5"/>
      <c r="R347" s="5"/>
      <c r="T347" s="5"/>
      <c r="V347" s="5"/>
      <c r="Z347" s="5"/>
    </row>
    <row r="348" spans="1:28">
      <c r="A348" s="1050" t="str">
        <f>A7</f>
        <v>Fund Number:</v>
      </c>
      <c r="B348" s="1100"/>
      <c r="C348" s="1100"/>
      <c r="D348" s="1100"/>
      <c r="E348" s="18" t="str">
        <f>E7</f>
        <v/>
      </c>
      <c r="F348" s="20"/>
      <c r="G348" s="5"/>
      <c r="H348" s="5"/>
      <c r="I348" s="5"/>
      <c r="J348" s="5"/>
      <c r="K348" s="5"/>
      <c r="L348" s="5"/>
      <c r="M348" s="5"/>
      <c r="N348" s="5"/>
      <c r="O348" s="5"/>
      <c r="R348" s="5"/>
      <c r="T348" s="5"/>
      <c r="V348" s="5"/>
      <c r="Z348" s="5"/>
    </row>
    <row r="349" spans="1:28" ht="12">
      <c r="A349" s="27"/>
      <c r="B349" s="18"/>
      <c r="C349" s="27"/>
      <c r="D349" s="27"/>
      <c r="E349" s="17"/>
      <c r="F349" s="20"/>
      <c r="G349" s="5"/>
      <c r="H349" s="5"/>
      <c r="I349" s="5"/>
      <c r="J349" s="5"/>
      <c r="K349" s="5"/>
      <c r="L349" s="5"/>
      <c r="M349" s="5"/>
      <c r="N349" s="5"/>
      <c r="O349" s="5"/>
      <c r="R349" s="5"/>
      <c r="T349" s="5"/>
      <c r="V349" s="5"/>
      <c r="Z349" s="5"/>
    </row>
    <row r="350" spans="1:28" ht="12">
      <c r="A350" s="27" t="str">
        <f>A298</f>
        <v>Statement of Cash Flows-Part 1</v>
      </c>
      <c r="B350" s="18"/>
      <c r="C350" s="27"/>
      <c r="D350" s="27"/>
      <c r="E350" s="27"/>
      <c r="F350" s="20"/>
      <c r="G350" s="5"/>
      <c r="H350" s="5"/>
      <c r="I350" s="5"/>
      <c r="J350" s="5"/>
      <c r="K350" s="5"/>
      <c r="L350" s="5"/>
      <c r="M350" s="5"/>
      <c r="N350" s="5"/>
      <c r="O350" s="5"/>
      <c r="R350" s="41"/>
      <c r="T350" s="41"/>
      <c r="V350" s="41"/>
      <c r="Z350" s="41"/>
    </row>
    <row r="351" spans="1:28" ht="9.75" customHeight="1">
      <c r="A351" s="29" t="str">
        <f>A299</f>
        <v>For the Year Ended June 30, 2024</v>
      </c>
      <c r="B351" s="39"/>
      <c r="C351" s="29"/>
      <c r="D351" s="29"/>
      <c r="E351" s="29"/>
      <c r="F351" s="579"/>
      <c r="G351" s="593"/>
      <c r="H351" s="593"/>
      <c r="I351" s="593"/>
      <c r="J351" s="593"/>
      <c r="K351" s="593"/>
      <c r="L351" s="593"/>
      <c r="M351" s="593"/>
      <c r="N351" s="593"/>
      <c r="O351" s="593"/>
      <c r="P351" s="23"/>
      <c r="Q351" s="23"/>
      <c r="R351" s="23"/>
      <c r="S351" s="23"/>
    </row>
    <row r="352" spans="1:28" ht="12">
      <c r="A352" s="17"/>
      <c r="B352" s="40"/>
      <c r="C352" s="17"/>
      <c r="D352" s="17"/>
      <c r="E352" s="17"/>
      <c r="F352" s="20"/>
      <c r="G352" s="41"/>
      <c r="H352" s="41"/>
      <c r="I352" s="41"/>
      <c r="J352" s="41"/>
      <c r="K352" s="41"/>
      <c r="L352" s="41"/>
      <c r="M352" s="41"/>
      <c r="N352" s="41"/>
      <c r="O352" s="41"/>
      <c r="R352" s="47"/>
      <c r="T352" s="47"/>
      <c r="V352" s="47"/>
      <c r="X352" s="47"/>
      <c r="Z352" s="571"/>
      <c r="AB352" s="47"/>
    </row>
    <row r="353" spans="1:26" ht="12">
      <c r="A353" s="17"/>
      <c r="B353" s="40"/>
      <c r="C353" s="17"/>
      <c r="D353" s="17"/>
      <c r="E353" s="26"/>
      <c r="F353" s="26"/>
      <c r="R353" s="5"/>
      <c r="T353" s="5"/>
      <c r="V353" s="5"/>
      <c r="Z353" s="5"/>
    </row>
    <row r="354" spans="1:26" ht="35.25" customHeight="1">
      <c r="A354" s="18" t="s">
        <v>496</v>
      </c>
      <c r="B354" s="17"/>
      <c r="C354" s="17"/>
      <c r="D354" s="17"/>
      <c r="E354" s="570" t="s">
        <v>298</v>
      </c>
      <c r="F354" s="16" t="str">
        <f t="shared" ref="F354:O354" si="82">F37</f>
        <v>Reference to Tabs that must be completed</v>
      </c>
      <c r="G354" s="132" t="str">
        <f t="shared" si="82"/>
        <v>Template</v>
      </c>
      <c r="H354" s="132" t="e">
        <f t="shared" si="82"/>
        <v>#N/A</v>
      </c>
      <c r="I354" s="132" t="e">
        <f t="shared" si="82"/>
        <v>#N/A</v>
      </c>
      <c r="J354" s="132" t="e">
        <f t="shared" si="82"/>
        <v>#N/A</v>
      </c>
      <c r="K354" s="132" t="e">
        <f t="shared" si="82"/>
        <v>#N/A</v>
      </c>
      <c r="L354" s="132" t="e">
        <f t="shared" si="82"/>
        <v>#N/A</v>
      </c>
      <c r="M354" s="132" t="e">
        <f t="shared" si="82"/>
        <v>#N/A</v>
      </c>
      <c r="N354" s="132" t="str">
        <f t="shared" si="82"/>
        <v>Intrafund Elimination Entries</v>
      </c>
      <c r="O354" s="132" t="e">
        <f t="shared" si="82"/>
        <v>#N/A</v>
      </c>
      <c r="P354" s="594" t="s">
        <v>532</v>
      </c>
      <c r="Q354" s="594" t="str">
        <f>Q37</f>
        <v>$</v>
      </c>
      <c r="R354" s="594" t="str">
        <f>R37</f>
        <v>%</v>
      </c>
      <c r="S354" s="594" t="s">
        <v>238</v>
      </c>
      <c r="T354" s="132" t="str">
        <f>T37</f>
        <v>Check Figures</v>
      </c>
      <c r="V354" s="5"/>
      <c r="Z354" s="5"/>
    </row>
    <row r="355" spans="1:26" ht="12">
      <c r="A355" s="18"/>
      <c r="B355" s="17"/>
      <c r="C355" s="17"/>
      <c r="D355" s="17"/>
      <c r="E355" s="17"/>
      <c r="F355" s="20"/>
      <c r="G355" s="5"/>
      <c r="H355" s="5"/>
      <c r="I355" s="5"/>
      <c r="J355" s="5"/>
      <c r="K355" s="5"/>
      <c r="L355" s="5"/>
      <c r="M355" s="5"/>
      <c r="N355" s="5"/>
      <c r="O355" s="5"/>
      <c r="R355" s="5"/>
      <c r="T355" s="5"/>
      <c r="V355" s="5"/>
      <c r="Z355" s="5"/>
    </row>
    <row r="356" spans="1:26" ht="12">
      <c r="A356" s="24" t="s">
        <v>424</v>
      </c>
      <c r="B356" s="17"/>
      <c r="C356" s="17"/>
      <c r="D356" s="17"/>
      <c r="E356" s="17"/>
      <c r="F356" s="20"/>
      <c r="G356" s="1"/>
      <c r="H356" s="31"/>
      <c r="I356" s="31"/>
      <c r="J356" s="31"/>
      <c r="K356" s="31"/>
      <c r="L356" s="31"/>
      <c r="M356" s="31"/>
      <c r="N356" s="31"/>
      <c r="O356" s="88">
        <f>SUM(G356:N356)</f>
        <v>0</v>
      </c>
      <c r="P356" s="5" t="str">
        <f>IF(ISNA(HLOOKUP($E$2,'Prior Year FS Balances'!$G$21:$AF$464,317,FALSE)),"",(HLOOKUP($E$2,'Prior Year FS Balances'!$G$21:$AF$464,317,FALSE)))</f>
        <v/>
      </c>
      <c r="Q356" s="5" t="str">
        <f t="shared" ref="Q356:Q362" si="83">IF(ISERR(O356-P356),"",(O356-P356))</f>
        <v/>
      </c>
      <c r="R356" s="201" t="str">
        <f t="shared" ref="R356:R362" si="84">IF($E$7="","",IF(AND(O356=0,P356=0),"",IF(ISERR(Q356/ABS(P356)),100%,Q356/ABS(P356))))</f>
        <v/>
      </c>
      <c r="S356" s="572"/>
      <c r="T356" s="5"/>
      <c r="V356" s="5"/>
      <c r="Z356" s="5"/>
    </row>
    <row r="357" spans="1:26" ht="23.25" customHeight="1">
      <c r="A357" s="1101" t="s">
        <v>3283</v>
      </c>
      <c r="B357" s="1051"/>
      <c r="C357" s="1051"/>
      <c r="D357" s="1051"/>
      <c r="E357" s="1051"/>
      <c r="F357" s="1102"/>
      <c r="G357" s="1"/>
      <c r="H357" s="31"/>
      <c r="I357" s="31"/>
      <c r="J357" s="31"/>
      <c r="K357" s="31"/>
      <c r="L357" s="31"/>
      <c r="M357" s="31"/>
      <c r="N357" s="31"/>
      <c r="O357" s="88">
        <f>SUM(G357:N357)</f>
        <v>0</v>
      </c>
      <c r="P357" s="5" t="str">
        <f>IF(ISNA(HLOOKUP($E$2,'Prior Year FS Balances'!$G$21:$AF$464,318,FALSE)),"",(HLOOKUP($E$2,'Prior Year FS Balances'!$G$21:$AF$464,318,FALSE)))</f>
        <v/>
      </c>
      <c r="Q357" s="5" t="str">
        <f t="shared" si="83"/>
        <v/>
      </c>
      <c r="R357" s="201" t="str">
        <f t="shared" si="84"/>
        <v/>
      </c>
      <c r="S357" s="572"/>
      <c r="T357" s="5"/>
      <c r="V357" s="5"/>
      <c r="Z357" s="5"/>
    </row>
    <row r="358" spans="1:26" ht="12">
      <c r="A358" s="24" t="s">
        <v>24</v>
      </c>
      <c r="B358" s="17"/>
      <c r="C358" s="17"/>
      <c r="D358" s="17"/>
      <c r="E358" s="17"/>
      <c r="F358" s="20"/>
      <c r="G358" s="1"/>
      <c r="H358" s="31"/>
      <c r="I358" s="31"/>
      <c r="J358" s="31"/>
      <c r="K358" s="31"/>
      <c r="L358" s="31"/>
      <c r="M358" s="31"/>
      <c r="N358" s="31"/>
      <c r="O358" s="88">
        <f>SUM(G358:N358)</f>
        <v>0</v>
      </c>
      <c r="P358" s="5" t="str">
        <f>IF(ISNA(HLOOKUP($E$2,'Prior Year FS Balances'!$G$21:$AF$464,319,FALSE)),"",(HLOOKUP($E$2,'Prior Year FS Balances'!$G$21:$AF$464,319,FALSE)))</f>
        <v/>
      </c>
      <c r="Q358" s="5" t="str">
        <f t="shared" si="83"/>
        <v/>
      </c>
      <c r="R358" s="201" t="str">
        <f t="shared" si="84"/>
        <v/>
      </c>
      <c r="S358" s="572"/>
      <c r="T358" s="5"/>
      <c r="V358" s="5"/>
      <c r="Z358" s="5"/>
    </row>
    <row r="359" spans="1:26" ht="12">
      <c r="A359" s="24" t="s">
        <v>531</v>
      </c>
      <c r="B359" s="17"/>
      <c r="C359" s="17"/>
      <c r="D359" s="17"/>
      <c r="E359" s="17"/>
      <c r="F359" s="20"/>
      <c r="G359" s="1"/>
      <c r="H359" s="31"/>
      <c r="I359" s="31"/>
      <c r="J359" s="31"/>
      <c r="K359" s="31"/>
      <c r="L359" s="31"/>
      <c r="M359" s="31"/>
      <c r="N359" s="31"/>
      <c r="O359" s="88">
        <f>SUM(G359:N359)</f>
        <v>0</v>
      </c>
      <c r="P359" s="5" t="str">
        <f>IF(ISNA(HLOOKUP($E$2,'Prior Year FS Balances'!$G$21:$AF$464,320,FALSE)),"",(HLOOKUP($E$2,'Prior Year FS Balances'!$G$21:$AF$464,320,FALSE)))</f>
        <v/>
      </c>
      <c r="Q359" s="5" t="str">
        <f t="shared" si="83"/>
        <v/>
      </c>
      <c r="R359" s="201" t="str">
        <f t="shared" si="84"/>
        <v/>
      </c>
      <c r="S359" s="572"/>
      <c r="T359" s="5"/>
      <c r="V359" s="5"/>
      <c r="Z359" s="5"/>
    </row>
    <row r="360" spans="1:26" ht="12">
      <c r="A360" s="24"/>
      <c r="B360" s="17"/>
      <c r="C360" s="17"/>
      <c r="D360" s="17"/>
      <c r="E360" s="17"/>
      <c r="F360" s="20"/>
      <c r="G360" s="5"/>
      <c r="H360" s="5"/>
      <c r="I360" s="5"/>
      <c r="J360" s="5"/>
      <c r="K360" s="5"/>
      <c r="L360" s="5"/>
      <c r="M360" s="5"/>
      <c r="N360" s="5"/>
      <c r="O360" s="5"/>
      <c r="P360" s="5"/>
      <c r="Q360" s="5"/>
      <c r="R360" s="201" t="str">
        <f t="shared" si="84"/>
        <v/>
      </c>
      <c r="T360" s="5"/>
      <c r="V360" s="5"/>
      <c r="Z360" s="5"/>
    </row>
    <row r="361" spans="1:26" ht="12">
      <c r="A361" s="40" t="s">
        <v>2855</v>
      </c>
      <c r="B361" s="17"/>
      <c r="C361" s="17"/>
      <c r="D361" s="17"/>
      <c r="E361" s="227" t="str">
        <f>IF(O361&gt;0,"Answer Required",IF(O361&lt;0,"Answer Required","N/A"))</f>
        <v>N/A</v>
      </c>
      <c r="F361" s="20"/>
      <c r="G361" s="1"/>
      <c r="H361" s="31"/>
      <c r="I361" s="31"/>
      <c r="J361" s="31"/>
      <c r="K361" s="31"/>
      <c r="L361" s="31"/>
      <c r="M361" s="31"/>
      <c r="N361" s="31"/>
      <c r="O361" s="88">
        <f>SUM(G361:N361)</f>
        <v>0</v>
      </c>
      <c r="P361" s="5" t="str">
        <f>IF(ISNA(HLOOKUP($E$2,'Prior Year FS Balances'!$G$21:$AF$464,322,FALSE)),"",(HLOOKUP($E$2,'Prior Year FS Balances'!$G$21:$AF$464,322,FALSE)))</f>
        <v/>
      </c>
      <c r="Q361" s="5" t="str">
        <f t="shared" si="83"/>
        <v/>
      </c>
      <c r="R361" s="201" t="str">
        <f t="shared" si="84"/>
        <v/>
      </c>
      <c r="S361" s="572"/>
      <c r="T361" s="5"/>
      <c r="V361" s="5"/>
      <c r="Z361" s="5"/>
    </row>
    <row r="362" spans="1:26" ht="12">
      <c r="A362" s="40" t="s">
        <v>2855</v>
      </c>
      <c r="B362" s="17"/>
      <c r="C362" s="17"/>
      <c r="D362" s="17"/>
      <c r="E362" s="227" t="str">
        <f>IF(O362&gt;0,"Answer Required",IF(O362&lt;0,"Answer Required","N/A"))</f>
        <v>N/A</v>
      </c>
      <c r="F362" s="20"/>
      <c r="G362" s="1"/>
      <c r="H362" s="31"/>
      <c r="I362" s="31"/>
      <c r="J362" s="31"/>
      <c r="K362" s="31"/>
      <c r="L362" s="31"/>
      <c r="M362" s="31"/>
      <c r="N362" s="31"/>
      <c r="O362" s="88">
        <f>SUM(G362:N362)</f>
        <v>0</v>
      </c>
      <c r="P362" s="5" t="str">
        <f>IF(ISNA(HLOOKUP($E$2,'Prior Year FS Balances'!$G$21:$AF$464,323,FALSE)),"",(HLOOKUP($E$2,'Prior Year FS Balances'!$G$21:$AF$464,323,FALSE)))</f>
        <v/>
      </c>
      <c r="Q362" s="5" t="str">
        <f t="shared" si="83"/>
        <v/>
      </c>
      <c r="R362" s="201" t="str">
        <f t="shared" si="84"/>
        <v/>
      </c>
      <c r="S362" s="572"/>
      <c r="T362" s="5"/>
      <c r="V362" s="5"/>
      <c r="Z362" s="5"/>
    </row>
    <row r="363" spans="1:26" ht="12">
      <c r="A363" s="24"/>
      <c r="B363" s="33" t="s">
        <v>26</v>
      </c>
      <c r="C363" s="17"/>
      <c r="D363" s="17"/>
      <c r="E363" s="17"/>
      <c r="F363" s="20"/>
      <c r="G363" s="34">
        <f t="shared" ref="G363:Q363" si="85">SUM(G361:G362)</f>
        <v>0</v>
      </c>
      <c r="H363" s="34">
        <f t="shared" si="85"/>
        <v>0</v>
      </c>
      <c r="I363" s="34">
        <f t="shared" si="85"/>
        <v>0</v>
      </c>
      <c r="J363" s="34">
        <f>SUM(J361:J362)</f>
        <v>0</v>
      </c>
      <c r="K363" s="34">
        <f t="shared" si="85"/>
        <v>0</v>
      </c>
      <c r="L363" s="34">
        <f t="shared" si="85"/>
        <v>0</v>
      </c>
      <c r="M363" s="34">
        <f t="shared" si="85"/>
        <v>0</v>
      </c>
      <c r="N363" s="34">
        <f t="shared" si="85"/>
        <v>0</v>
      </c>
      <c r="O363" s="34">
        <f t="shared" si="85"/>
        <v>0</v>
      </c>
      <c r="P363" s="34">
        <f t="shared" si="85"/>
        <v>0</v>
      </c>
      <c r="Q363" s="34">
        <f t="shared" si="85"/>
        <v>0</v>
      </c>
      <c r="R363" s="202" t="str">
        <f>IF(Q363=0,"0%",IF(ISERR(Q363/ABS(P363)),100%,Q363/ABS(P363)))</f>
        <v>0%</v>
      </c>
      <c r="T363" s="5"/>
      <c r="V363" s="5"/>
      <c r="Z363" s="5"/>
    </row>
    <row r="364" spans="1:26" ht="12">
      <c r="A364" s="24"/>
      <c r="B364" s="17"/>
      <c r="C364" s="17"/>
      <c r="D364" s="17"/>
      <c r="E364" s="17"/>
      <c r="F364" s="20"/>
      <c r="G364" s="5"/>
      <c r="H364" s="5"/>
      <c r="I364" s="5"/>
      <c r="J364" s="5"/>
      <c r="K364" s="5"/>
      <c r="L364" s="5"/>
      <c r="M364" s="5"/>
      <c r="N364" s="5"/>
      <c r="O364" s="5"/>
      <c r="P364" s="5"/>
      <c r="Q364" s="5"/>
      <c r="R364" s="201"/>
      <c r="T364" s="5"/>
      <c r="V364" s="5"/>
      <c r="Z364" s="5"/>
    </row>
    <row r="365" spans="1:26" ht="12">
      <c r="A365" s="24"/>
      <c r="B365" s="17"/>
      <c r="C365" s="17"/>
      <c r="D365" s="17"/>
      <c r="E365" s="17"/>
      <c r="F365" s="20"/>
      <c r="G365" s="5"/>
      <c r="H365" s="5"/>
      <c r="I365" s="5"/>
      <c r="J365" s="5"/>
      <c r="K365" s="5"/>
      <c r="L365" s="5"/>
      <c r="M365" s="5"/>
      <c r="N365" s="5"/>
      <c r="O365" s="5"/>
      <c r="P365" s="5"/>
      <c r="Q365" s="5"/>
      <c r="R365" s="201"/>
      <c r="T365" s="5"/>
      <c r="V365" s="5"/>
      <c r="Z365" s="5"/>
    </row>
    <row r="366" spans="1:26" ht="12">
      <c r="A366" s="40" t="s">
        <v>2856</v>
      </c>
      <c r="B366" s="17"/>
      <c r="C366" s="17"/>
      <c r="D366" s="17"/>
      <c r="E366" s="227" t="str">
        <f>IF(O366&gt;0,"Answer Required",IF(O366&lt;0,"Answer Required","N/A"))</f>
        <v>N/A</v>
      </c>
      <c r="F366" s="20"/>
      <c r="G366" s="1"/>
      <c r="H366" s="31"/>
      <c r="I366" s="31"/>
      <c r="J366" s="31"/>
      <c r="K366" s="31"/>
      <c r="L366" s="31"/>
      <c r="M366" s="31"/>
      <c r="N366" s="31"/>
      <c r="O366" s="88">
        <f>SUM(G366:N366)</f>
        <v>0</v>
      </c>
      <c r="P366" s="5" t="str">
        <f>IF(ISNA(HLOOKUP($E$2,'Prior Year FS Balances'!$G$21:$AF$464,327,FALSE)),"",(HLOOKUP($E$2,'Prior Year FS Balances'!$G$21:$AF$464,327,FALSE)))</f>
        <v/>
      </c>
      <c r="Q366" s="5" t="str">
        <f>IF(ISERR(O366-P366),"",(O366-P366))</f>
        <v/>
      </c>
      <c r="R366" s="201" t="str">
        <f>IF($E$7="","",IF(AND(O366=0,P366=0),"",IF(ISERR(Q366/ABS(P366)),100%,Q366/ABS(P366))))</f>
        <v/>
      </c>
      <c r="S366" s="572"/>
      <c r="T366" s="5"/>
      <c r="V366" s="5"/>
      <c r="Z366" s="5"/>
    </row>
    <row r="367" spans="1:26" ht="12">
      <c r="A367" s="40" t="s">
        <v>2856</v>
      </c>
      <c r="B367" s="17"/>
      <c r="C367" s="17"/>
      <c r="D367" s="17"/>
      <c r="E367" s="227" t="str">
        <f>IF(O367&gt;0,"Answer Required",IF(O367&lt;0,"Answer Required","N/A"))</f>
        <v>N/A</v>
      </c>
      <c r="F367" s="20"/>
      <c r="G367" s="1"/>
      <c r="H367" s="31"/>
      <c r="I367" s="31"/>
      <c r="J367" s="31"/>
      <c r="K367" s="31"/>
      <c r="L367" s="31"/>
      <c r="M367" s="31"/>
      <c r="N367" s="31"/>
      <c r="O367" s="88">
        <f>SUM(G367:N367)</f>
        <v>0</v>
      </c>
      <c r="P367" s="5" t="str">
        <f>IF(ISNA(HLOOKUP($E$2,'Prior Year FS Balances'!$G$21:$AF$464,328,FALSE)),"",(HLOOKUP($E$2,'Prior Year FS Balances'!$G$21:$AF$464,328,FALSE)))</f>
        <v/>
      </c>
      <c r="Q367" s="5" t="str">
        <f>IF(ISERR(O367-P367),"",(O367-P367))</f>
        <v/>
      </c>
      <c r="R367" s="201" t="str">
        <f>IF($E$7="","",IF(AND(O367=0,P367=0),"",IF(ISERR(Q367/ABS(P367)),100%,Q367/ABS(P367))))</f>
        <v/>
      </c>
      <c r="S367" s="572"/>
      <c r="T367" s="5"/>
      <c r="V367" s="5"/>
      <c r="Z367" s="5"/>
    </row>
    <row r="368" spans="1:26" ht="12">
      <c r="A368" s="40"/>
      <c r="B368" s="33" t="s">
        <v>27</v>
      </c>
      <c r="C368" s="17"/>
      <c r="D368" s="17"/>
      <c r="E368" s="17"/>
      <c r="F368" s="20"/>
      <c r="G368" s="34">
        <f t="shared" ref="G368:Q368" si="86">SUM(G366:G367)</f>
        <v>0</v>
      </c>
      <c r="H368" s="34">
        <f t="shared" si="86"/>
        <v>0</v>
      </c>
      <c r="I368" s="34">
        <f t="shared" si="86"/>
        <v>0</v>
      </c>
      <c r="J368" s="34">
        <f>SUM(J366:J367)</f>
        <v>0</v>
      </c>
      <c r="K368" s="34">
        <f t="shared" si="86"/>
        <v>0</v>
      </c>
      <c r="L368" s="34">
        <f t="shared" si="86"/>
        <v>0</v>
      </c>
      <c r="M368" s="34">
        <f t="shared" si="86"/>
        <v>0</v>
      </c>
      <c r="N368" s="34">
        <f t="shared" si="86"/>
        <v>0</v>
      </c>
      <c r="O368" s="34">
        <f t="shared" si="86"/>
        <v>0</v>
      </c>
      <c r="P368" s="34">
        <f t="shared" si="86"/>
        <v>0</v>
      </c>
      <c r="Q368" s="34">
        <f t="shared" si="86"/>
        <v>0</v>
      </c>
      <c r="R368" s="202" t="str">
        <f>IF(Q368=0,"0%",IF(ISERR(Q368/ABS(P368)),100%,Q368/ABS(P368)))</f>
        <v>0%</v>
      </c>
      <c r="T368" s="5"/>
      <c r="V368" s="5"/>
      <c r="Z368" s="5"/>
    </row>
    <row r="369" spans="1:26" ht="12">
      <c r="A369" s="40"/>
      <c r="B369" s="33"/>
      <c r="C369" s="17"/>
      <c r="D369" s="17"/>
      <c r="E369" s="17"/>
      <c r="F369" s="20"/>
      <c r="G369" s="5"/>
      <c r="H369" s="5"/>
      <c r="I369" s="5"/>
      <c r="J369" s="5"/>
      <c r="K369" s="5"/>
      <c r="L369" s="5"/>
      <c r="M369" s="5"/>
      <c r="N369" s="5"/>
      <c r="O369" s="5"/>
      <c r="P369" s="5"/>
      <c r="Q369" s="5"/>
      <c r="R369" s="201"/>
      <c r="T369" s="5"/>
      <c r="V369" s="5"/>
      <c r="Z369" s="5"/>
    </row>
    <row r="370" spans="1:26" ht="12">
      <c r="A370" s="17"/>
      <c r="B370" s="24" t="s">
        <v>28</v>
      </c>
      <c r="C370" s="17"/>
      <c r="D370" s="17"/>
      <c r="E370" s="17"/>
      <c r="F370" s="20"/>
      <c r="G370" s="34">
        <f t="shared" ref="G370:Q370" si="87">SUM(G356:G359,G363,G368)</f>
        <v>0</v>
      </c>
      <c r="H370" s="34">
        <f t="shared" si="87"/>
        <v>0</v>
      </c>
      <c r="I370" s="34">
        <f t="shared" si="87"/>
        <v>0</v>
      </c>
      <c r="J370" s="34">
        <f>SUM(J356:J359,J363,J368)</f>
        <v>0</v>
      </c>
      <c r="K370" s="34">
        <f t="shared" si="87"/>
        <v>0</v>
      </c>
      <c r="L370" s="34">
        <f t="shared" si="87"/>
        <v>0</v>
      </c>
      <c r="M370" s="34">
        <f t="shared" si="87"/>
        <v>0</v>
      </c>
      <c r="N370" s="34">
        <f t="shared" si="87"/>
        <v>0</v>
      </c>
      <c r="O370" s="34">
        <f t="shared" si="87"/>
        <v>0</v>
      </c>
      <c r="P370" s="34">
        <f t="shared" si="87"/>
        <v>0</v>
      </c>
      <c r="Q370" s="34">
        <f t="shared" si="87"/>
        <v>0</v>
      </c>
      <c r="R370" s="202" t="str">
        <f>IF(Q370=0,"0%",IF(ISERR(Q370/ABS(P370)),100%,Q370/ABS(P370)))</f>
        <v>0%</v>
      </c>
      <c r="T370" s="5"/>
      <c r="V370" s="5"/>
      <c r="Z370" s="5"/>
    </row>
    <row r="371" spans="1:26" ht="12">
      <c r="A371" s="17"/>
      <c r="B371" s="40"/>
      <c r="C371" s="17"/>
      <c r="D371" s="17"/>
      <c r="E371" s="17"/>
      <c r="F371" s="20"/>
      <c r="G371" s="5"/>
      <c r="H371" s="5"/>
      <c r="I371" s="5"/>
      <c r="J371" s="5"/>
      <c r="K371" s="5"/>
      <c r="L371" s="5"/>
      <c r="M371" s="5"/>
      <c r="N371" s="5"/>
      <c r="O371" s="5"/>
      <c r="P371" s="5"/>
      <c r="Q371" s="5"/>
      <c r="R371" s="201"/>
      <c r="T371" s="5"/>
      <c r="V371" s="5"/>
      <c r="Z371" s="5"/>
    </row>
    <row r="372" spans="1:26" ht="12">
      <c r="A372" s="18" t="s">
        <v>29</v>
      </c>
      <c r="B372" s="17"/>
      <c r="C372" s="17"/>
      <c r="D372" s="17"/>
      <c r="E372" s="17"/>
      <c r="F372" s="20"/>
      <c r="G372" s="5"/>
      <c r="H372" s="5"/>
      <c r="I372" s="5"/>
      <c r="J372" s="5"/>
      <c r="K372" s="5"/>
      <c r="L372" s="5"/>
      <c r="M372" s="5"/>
      <c r="N372" s="5"/>
      <c r="O372" s="5"/>
      <c r="P372" s="5"/>
      <c r="Q372" s="5"/>
      <c r="R372" s="201"/>
      <c r="T372" s="5"/>
      <c r="V372" s="5"/>
      <c r="Z372" s="5"/>
    </row>
    <row r="373" spans="1:26" ht="12">
      <c r="A373" s="24" t="s">
        <v>30</v>
      </c>
      <c r="B373" s="17"/>
      <c r="C373" s="17"/>
      <c r="D373" s="17"/>
      <c r="E373" s="17"/>
      <c r="F373" s="20"/>
      <c r="G373" s="1"/>
      <c r="H373" s="31"/>
      <c r="I373" s="31"/>
      <c r="J373" s="31"/>
      <c r="K373" s="31"/>
      <c r="L373" s="31"/>
      <c r="M373" s="31"/>
      <c r="N373" s="31"/>
      <c r="O373" s="88">
        <f>SUM(G373:N373)</f>
        <v>0</v>
      </c>
      <c r="P373" s="5" t="str">
        <f>IF(ISNA(HLOOKUP($E$2,'Prior Year FS Balances'!$G$21:$AF$464,334,FALSE)),"",(HLOOKUP($E$2,'Prior Year FS Balances'!$G$21:$AF$464,334,FALSE)))</f>
        <v/>
      </c>
      <c r="Q373" s="5" t="str">
        <f>IF(ISERR(O373-P373),"",(O373-P373))</f>
        <v/>
      </c>
      <c r="R373" s="201" t="str">
        <f>IF($E$7="","",IF(AND(O373=0,P373=0),"",IF(ISERR(Q373/ABS(P373)),100%,Q373/ABS(P373))))</f>
        <v/>
      </c>
      <c r="S373" s="572"/>
      <c r="T373" s="5"/>
      <c r="V373" s="5"/>
      <c r="Z373" s="5"/>
    </row>
    <row r="374" spans="1:26" ht="12">
      <c r="A374" s="24" t="s">
        <v>31</v>
      </c>
      <c r="B374" s="17"/>
      <c r="C374" s="17"/>
      <c r="D374" s="17"/>
      <c r="E374" s="17"/>
      <c r="F374" s="20"/>
      <c r="G374" s="1"/>
      <c r="H374" s="31"/>
      <c r="I374" s="31"/>
      <c r="J374" s="31"/>
      <c r="K374" s="31"/>
      <c r="L374" s="31"/>
      <c r="M374" s="31"/>
      <c r="N374" s="31"/>
      <c r="O374" s="88">
        <f>SUM(G374:N374)</f>
        <v>0</v>
      </c>
      <c r="P374" s="5" t="str">
        <f>IF(ISNA(HLOOKUP($E$2,'Prior Year FS Balances'!$G$21:$AF$464,335,FALSE)),"",(HLOOKUP($E$2,'Prior Year FS Balances'!$G$21:$AF$464,335,FALSE)))</f>
        <v/>
      </c>
      <c r="Q374" s="5" t="str">
        <f>IF(ISERR(O374-P374),"",(O374-P374))</f>
        <v/>
      </c>
      <c r="R374" s="201" t="str">
        <f>IF($E$7="","",IF(AND(O374=0,P374=0),"",IF(ISERR(Q374/ABS(P374)),100%,Q374/ABS(P374))))</f>
        <v/>
      </c>
      <c r="S374" s="572"/>
      <c r="T374" s="5"/>
      <c r="V374" s="5"/>
      <c r="Z374" s="5"/>
    </row>
    <row r="375" spans="1:26" ht="12">
      <c r="A375" s="24" t="s">
        <v>32</v>
      </c>
      <c r="B375" s="17"/>
      <c r="C375" s="17"/>
      <c r="D375" s="17"/>
      <c r="E375" s="17"/>
      <c r="F375" s="20"/>
      <c r="G375" s="1"/>
      <c r="H375" s="31"/>
      <c r="I375" s="31"/>
      <c r="J375" s="31"/>
      <c r="K375" s="31"/>
      <c r="L375" s="31"/>
      <c r="M375" s="31"/>
      <c r="N375" s="31"/>
      <c r="O375" s="88">
        <f>SUM(G375:N375)</f>
        <v>0</v>
      </c>
      <c r="P375" s="5" t="str">
        <f>IF(ISNA(HLOOKUP($E$2,'Prior Year FS Balances'!$G$21:$AF$464,336,FALSE)),"",(HLOOKUP($E$2,'Prior Year FS Balances'!$G$21:$AF$464,336,FALSE)))</f>
        <v/>
      </c>
      <c r="Q375" s="5" t="str">
        <f>IF(ISERR(O375-P375),"",(O375-P375))</f>
        <v/>
      </c>
      <c r="R375" s="201" t="str">
        <f>IF($E$7="","",IF(AND(O375=0,P375=0),"",IF(ISERR(Q375/ABS(P375)),100%,Q375/ABS(P375))))</f>
        <v/>
      </c>
      <c r="S375" s="572"/>
      <c r="T375" s="5"/>
      <c r="V375" s="5"/>
      <c r="Z375" s="5"/>
    </row>
    <row r="376" spans="1:26" ht="12">
      <c r="A376" s="17"/>
      <c r="B376" s="24" t="s">
        <v>33</v>
      </c>
      <c r="C376" s="17"/>
      <c r="D376" s="17"/>
      <c r="E376" s="17"/>
      <c r="F376" s="20"/>
      <c r="G376" s="34">
        <f t="shared" ref="G376:Q376" si="88">SUM(G373:G375)</f>
        <v>0</v>
      </c>
      <c r="H376" s="34">
        <f t="shared" si="88"/>
        <v>0</v>
      </c>
      <c r="I376" s="34">
        <f t="shared" si="88"/>
        <v>0</v>
      </c>
      <c r="J376" s="34">
        <f>SUM(J373:J375)</f>
        <v>0</v>
      </c>
      <c r="K376" s="34">
        <f t="shared" si="88"/>
        <v>0</v>
      </c>
      <c r="L376" s="34">
        <f t="shared" si="88"/>
        <v>0</v>
      </c>
      <c r="M376" s="34">
        <f t="shared" si="88"/>
        <v>0</v>
      </c>
      <c r="N376" s="34">
        <f t="shared" si="88"/>
        <v>0</v>
      </c>
      <c r="O376" s="34">
        <f t="shared" si="88"/>
        <v>0</v>
      </c>
      <c r="P376" s="34">
        <f t="shared" si="88"/>
        <v>0</v>
      </c>
      <c r="Q376" s="34">
        <f t="shared" si="88"/>
        <v>0</v>
      </c>
      <c r="R376" s="202" t="str">
        <f>IF(Q376=0,"0%",IF(ISERR(Q376/ABS(P376)),100%,Q376/ABS(P376)))</f>
        <v>0%</v>
      </c>
      <c r="T376" s="5"/>
      <c r="V376" s="5"/>
      <c r="Z376" s="5"/>
    </row>
    <row r="377" spans="1:26" ht="12">
      <c r="A377" s="24"/>
      <c r="B377" s="17"/>
      <c r="C377" s="17"/>
      <c r="D377" s="17"/>
      <c r="E377" s="17"/>
      <c r="F377" s="20"/>
      <c r="G377" s="5"/>
      <c r="H377" s="5"/>
      <c r="I377" s="5"/>
      <c r="J377" s="5"/>
      <c r="K377" s="5"/>
      <c r="L377" s="5"/>
      <c r="M377" s="5"/>
      <c r="N377" s="5"/>
      <c r="O377" s="5"/>
      <c r="P377" s="5"/>
      <c r="Q377" s="5"/>
      <c r="R377" s="201"/>
      <c r="T377" s="5"/>
      <c r="V377" s="5"/>
      <c r="Z377" s="5"/>
    </row>
    <row r="378" spans="1:26" ht="12">
      <c r="A378" s="17"/>
      <c r="B378" s="17"/>
      <c r="C378" s="24" t="s">
        <v>34</v>
      </c>
      <c r="D378" s="17"/>
      <c r="E378" s="17"/>
      <c r="F378" s="20"/>
      <c r="G378" s="34">
        <f t="shared" ref="G378:Q378" si="89">SUM(G327,G345,G370,G376)</f>
        <v>0</v>
      </c>
      <c r="H378" s="34">
        <f t="shared" si="89"/>
        <v>0</v>
      </c>
      <c r="I378" s="34">
        <f t="shared" si="89"/>
        <v>0</v>
      </c>
      <c r="J378" s="34">
        <f>SUM(J327,J345,J370,J376)</f>
        <v>0</v>
      </c>
      <c r="K378" s="34">
        <f t="shared" si="89"/>
        <v>0</v>
      </c>
      <c r="L378" s="34">
        <f t="shared" si="89"/>
        <v>0</v>
      </c>
      <c r="M378" s="34">
        <f t="shared" si="89"/>
        <v>0</v>
      </c>
      <c r="N378" s="34">
        <f t="shared" si="89"/>
        <v>0</v>
      </c>
      <c r="O378" s="595">
        <f t="shared" si="89"/>
        <v>0</v>
      </c>
      <c r="P378" s="34">
        <f t="shared" si="89"/>
        <v>0</v>
      </c>
      <c r="Q378" s="34">
        <f t="shared" si="89"/>
        <v>0</v>
      </c>
      <c r="R378" s="202" t="str">
        <f>IF(Q378=0,"0%",IF(ISERR(Q378/ABS(P378)),100%,Q378/ABS(P378)))</f>
        <v>0%</v>
      </c>
      <c r="T378" s="5"/>
      <c r="V378" s="5"/>
      <c r="Z378" s="5"/>
    </row>
    <row r="379" spans="1:26" ht="12">
      <c r="A379" s="48" t="s">
        <v>451</v>
      </c>
      <c r="B379" s="17"/>
      <c r="C379" s="17"/>
      <c r="D379" s="17"/>
      <c r="E379" s="17"/>
      <c r="F379" s="30" t="s">
        <v>666</v>
      </c>
      <c r="G379" s="1"/>
      <c r="H379" s="591"/>
      <c r="I379" s="591"/>
      <c r="J379" s="591"/>
      <c r="K379" s="591"/>
      <c r="L379" s="591"/>
      <c r="M379" s="591"/>
      <c r="N379" s="591"/>
      <c r="O379" s="88">
        <f>SUM(G379:N379)</f>
        <v>0</v>
      </c>
      <c r="P379" s="5">
        <f>IF(ISNA(HLOOKUP($E$2,'Prior Year FS Balances'!$G$21:$AF$464,340,FALSE)),0,(HLOOKUP($E$2,'Prior Year FS Balances'!$G$21:$AF$464,340,FALSE)))</f>
        <v>0</v>
      </c>
      <c r="Q379" s="5">
        <f>IF(ISNA(O379-P379),"",(O379-P379))</f>
        <v>0</v>
      </c>
      <c r="R379" s="201" t="str">
        <f>IF($E$7="","",IF(AND(O379=0,P379=0),"",IF(ISERR(Q379/ABS(P379)),100%,Q379/ABS(P379))))</f>
        <v/>
      </c>
    </row>
    <row r="380" spans="1:26" ht="12.6" thickBot="1">
      <c r="A380" s="48" t="s">
        <v>8</v>
      </c>
      <c r="B380" s="17"/>
      <c r="C380" s="17"/>
      <c r="D380" s="17"/>
      <c r="E380" s="17"/>
      <c r="F380" s="20"/>
      <c r="G380" s="38">
        <f t="shared" ref="G380:Q380" si="90">SUM(G378:G379)</f>
        <v>0</v>
      </c>
      <c r="H380" s="38">
        <f t="shared" si="90"/>
        <v>0</v>
      </c>
      <c r="I380" s="38">
        <f t="shared" si="90"/>
        <v>0</v>
      </c>
      <c r="J380" s="38">
        <f>SUM(J378:J379)</f>
        <v>0</v>
      </c>
      <c r="K380" s="38">
        <f t="shared" si="90"/>
        <v>0</v>
      </c>
      <c r="L380" s="38">
        <f t="shared" si="90"/>
        <v>0</v>
      </c>
      <c r="M380" s="38">
        <f t="shared" si="90"/>
        <v>0</v>
      </c>
      <c r="N380" s="38">
        <f t="shared" si="90"/>
        <v>0</v>
      </c>
      <c r="O380" s="596">
        <f t="shared" si="90"/>
        <v>0</v>
      </c>
      <c r="P380" s="38">
        <f>SUM(P378:P379)</f>
        <v>0</v>
      </c>
      <c r="Q380" s="38">
        <f t="shared" si="90"/>
        <v>0</v>
      </c>
      <c r="R380" s="202" t="str">
        <f>IF(Q380=0,"0%",IF(ISERR(Q380/ABS(P380)),100%,Q380/ABS(P380)))</f>
        <v>0%</v>
      </c>
      <c r="T380" s="21"/>
      <c r="V380" s="21"/>
      <c r="Z380" s="21"/>
    </row>
    <row r="381" spans="1:26" ht="12.6" thickTop="1">
      <c r="A381" s="18"/>
      <c r="B381" s="17"/>
      <c r="C381" s="17"/>
      <c r="D381" s="17"/>
      <c r="E381" s="17"/>
      <c r="F381" s="20"/>
      <c r="G381" s="5"/>
      <c r="H381" s="5"/>
      <c r="I381" s="5"/>
      <c r="J381" s="5"/>
      <c r="K381" s="5"/>
      <c r="L381" s="5"/>
      <c r="M381" s="5"/>
      <c r="N381" s="5"/>
      <c r="O381" s="5"/>
      <c r="P381" s="5"/>
      <c r="Q381" s="5"/>
      <c r="R381" s="201"/>
    </row>
    <row r="382" spans="1:26" ht="12">
      <c r="A382" s="17"/>
      <c r="B382" s="17"/>
      <c r="C382" s="17"/>
      <c r="D382" s="17"/>
      <c r="E382" s="17"/>
      <c r="F382" s="597"/>
      <c r="G382" s="78"/>
      <c r="H382" s="78"/>
      <c r="I382" s="78"/>
      <c r="J382" s="78"/>
      <c r="K382" s="78"/>
      <c r="L382" s="78"/>
      <c r="M382" s="78"/>
      <c r="N382" s="78"/>
      <c r="O382" s="78"/>
      <c r="P382" s="5"/>
      <c r="Q382" s="5"/>
      <c r="R382" s="201"/>
      <c r="T382" s="5"/>
      <c r="V382" s="5"/>
      <c r="Z382" s="5"/>
    </row>
    <row r="383" spans="1:26" ht="12">
      <c r="A383" s="48" t="s">
        <v>464</v>
      </c>
      <c r="B383" s="17"/>
      <c r="C383" s="17"/>
      <c r="D383" s="17"/>
      <c r="E383" s="17"/>
      <c r="F383" s="20"/>
      <c r="G383" s="5"/>
      <c r="H383" s="5"/>
      <c r="I383" s="5"/>
      <c r="J383" s="5"/>
      <c r="K383" s="5"/>
      <c r="L383" s="5"/>
      <c r="M383" s="5"/>
      <c r="N383" s="5"/>
      <c r="O383" s="5"/>
      <c r="P383" s="5"/>
      <c r="Q383" s="5"/>
      <c r="R383" s="201"/>
      <c r="T383" s="5"/>
      <c r="V383" s="5"/>
      <c r="Z383" s="5"/>
    </row>
    <row r="384" spans="1:26">
      <c r="A384" s="40"/>
      <c r="B384" s="17"/>
      <c r="C384" s="33" t="s">
        <v>3454</v>
      </c>
      <c r="E384" s="17"/>
      <c r="F384" s="20"/>
      <c r="G384" s="5">
        <f t="shared" ref="G384:P384" si="91">G45</f>
        <v>0</v>
      </c>
      <c r="H384" s="5">
        <f t="shared" si="91"/>
        <v>0</v>
      </c>
      <c r="I384" s="5">
        <f t="shared" si="91"/>
        <v>0</v>
      </c>
      <c r="J384" s="5">
        <f t="shared" si="91"/>
        <v>0</v>
      </c>
      <c r="K384" s="5">
        <f t="shared" si="91"/>
        <v>0</v>
      </c>
      <c r="L384" s="5">
        <f t="shared" si="91"/>
        <v>0</v>
      </c>
      <c r="M384" s="5">
        <f t="shared" si="91"/>
        <v>0</v>
      </c>
      <c r="N384" s="5">
        <f t="shared" si="91"/>
        <v>0</v>
      </c>
      <c r="O384" s="5">
        <f t="shared" si="91"/>
        <v>0</v>
      </c>
      <c r="P384" s="5">
        <f t="shared" si="91"/>
        <v>0</v>
      </c>
      <c r="Q384" s="5">
        <f>IF(ISERR(O384-P384),"",(O384-P384))</f>
        <v>0</v>
      </c>
      <c r="R384" s="201" t="str">
        <f>IF($E$7="","",IF(AND(O384=0,P384=0),"",IF(ISERR(Q384/ABS(P384)),100%,Q384/ABS(P384))))</f>
        <v/>
      </c>
      <c r="T384" s="5"/>
      <c r="V384" s="5"/>
      <c r="Z384" s="5"/>
    </row>
    <row r="385" spans="1:28">
      <c r="A385" s="40"/>
      <c r="B385" s="17"/>
      <c r="C385" s="33" t="s">
        <v>3455</v>
      </c>
      <c r="E385" s="17"/>
      <c r="F385" s="20"/>
      <c r="G385" s="5">
        <f t="shared" ref="G385:P385" si="92">G67</f>
        <v>0</v>
      </c>
      <c r="H385" s="5">
        <f t="shared" si="92"/>
        <v>0</v>
      </c>
      <c r="I385" s="5">
        <f t="shared" si="92"/>
        <v>0</v>
      </c>
      <c r="J385" s="5">
        <f t="shared" si="92"/>
        <v>0</v>
      </c>
      <c r="K385" s="5">
        <f t="shared" si="92"/>
        <v>0</v>
      </c>
      <c r="L385" s="5">
        <f t="shared" si="92"/>
        <v>0</v>
      </c>
      <c r="M385" s="5">
        <f t="shared" si="92"/>
        <v>0</v>
      </c>
      <c r="N385" s="5">
        <f t="shared" si="92"/>
        <v>0</v>
      </c>
      <c r="O385" s="5">
        <f t="shared" si="92"/>
        <v>0</v>
      </c>
      <c r="P385" s="5" t="str">
        <f t="shared" si="92"/>
        <v/>
      </c>
      <c r="Q385" s="5" t="str">
        <f>IF(ISERR(O385-P385),"",(O385-P385))</f>
        <v/>
      </c>
      <c r="R385" s="201" t="str">
        <f>IF($E$7="","",IF(AND(O385=0,P385=0),"",IF(ISERR(Q385/ABS(P385)),100%,Q385/ABS(P385))))</f>
        <v/>
      </c>
      <c r="T385" s="5"/>
      <c r="V385" s="5"/>
      <c r="Z385" s="5"/>
    </row>
    <row r="386" spans="1:28" ht="12">
      <c r="A386" s="40"/>
      <c r="B386" s="17"/>
      <c r="C386" s="17" t="s">
        <v>327</v>
      </c>
      <c r="D386" s="33"/>
      <c r="E386" s="17"/>
      <c r="F386" s="20"/>
      <c r="G386" s="5"/>
      <c r="H386" s="5"/>
      <c r="I386" s="5"/>
      <c r="J386" s="5"/>
      <c r="K386" s="5"/>
      <c r="L386" s="5"/>
      <c r="M386" s="5"/>
      <c r="N386" s="5"/>
      <c r="O386" s="5"/>
      <c r="P386" s="5"/>
      <c r="Q386" s="5">
        <f>IF(ISERR(O386-P386),"",(O386-P386))</f>
        <v>0</v>
      </c>
      <c r="R386" s="201" t="str">
        <f>IF($E$7="","",IF(AND(O386=0,P386=0),"",IF(ISERR(Q386/ABS(P386)),100%,Q386/ABS(P386))))</f>
        <v/>
      </c>
      <c r="T386" s="5"/>
      <c r="V386" s="5"/>
      <c r="Z386" s="5"/>
    </row>
    <row r="387" spans="1:28" ht="12">
      <c r="A387" s="40"/>
      <c r="B387" s="17"/>
      <c r="C387" s="17"/>
      <c r="D387" s="33" t="s">
        <v>3456</v>
      </c>
      <c r="E387" s="17"/>
      <c r="F387" s="20"/>
      <c r="G387" s="5">
        <f t="shared" ref="G387:O387" si="93">-G42</f>
        <v>0</v>
      </c>
      <c r="H387" s="5">
        <f t="shared" si="93"/>
        <v>0</v>
      </c>
      <c r="I387" s="5">
        <f t="shared" si="93"/>
        <v>0</v>
      </c>
      <c r="J387" s="5">
        <f t="shared" si="93"/>
        <v>0</v>
      </c>
      <c r="K387" s="5">
        <f t="shared" si="93"/>
        <v>0</v>
      </c>
      <c r="L387" s="5">
        <f t="shared" si="93"/>
        <v>0</v>
      </c>
      <c r="M387" s="5">
        <f t="shared" si="93"/>
        <v>0</v>
      </c>
      <c r="N387" s="5">
        <f t="shared" si="93"/>
        <v>0</v>
      </c>
      <c r="O387" s="5">
        <f t="shared" si="93"/>
        <v>0</v>
      </c>
      <c r="P387" s="5" t="str">
        <f>IF(ISERR(-P42),"",(-P42))</f>
        <v/>
      </c>
      <c r="Q387" s="5" t="str">
        <f>IF(ISERR(O387-P387),"",(O387-P387))</f>
        <v/>
      </c>
      <c r="R387" s="201" t="str">
        <f>IF($E$7="","",IF(AND(O387=0,P387=0),"",IF(ISERR(Q387/ABS(P387)),100%,Q387/ABS(P387))))</f>
        <v/>
      </c>
    </row>
    <row r="388" spans="1:28" ht="39.75" customHeight="1" thickBot="1">
      <c r="A388" s="40"/>
      <c r="B388" s="17"/>
      <c r="C388" s="17"/>
      <c r="D388" s="17"/>
      <c r="E388" s="20" t="s">
        <v>67</v>
      </c>
      <c r="F388" s="30"/>
      <c r="G388" s="592">
        <f>IF(SUM(G384:G385,G387)=G380,SUM(G384:G385,G387),"Must equal end of year balance per Stmt. Of Net Position")</f>
        <v>0</v>
      </c>
      <c r="H388" s="592">
        <f t="shared" ref="H388:O388" si="94">IF(SUM(H384:H385,H387)=H380,SUM(H384:H385,H387),"Must equal end of year balance per Stmt. Of Cash Flows")</f>
        <v>0</v>
      </c>
      <c r="I388" s="592">
        <f t="shared" si="94"/>
        <v>0</v>
      </c>
      <c r="J388" s="592">
        <f>IF(SUM(J384:J385,J387)=J380,SUM(J384:J385,J387),"Must equal end of year balance per Stmt. Of Cash Flows")</f>
        <v>0</v>
      </c>
      <c r="K388" s="592">
        <f t="shared" si="94"/>
        <v>0</v>
      </c>
      <c r="L388" s="592">
        <f t="shared" si="94"/>
        <v>0</v>
      </c>
      <c r="M388" s="592">
        <f t="shared" si="94"/>
        <v>0</v>
      </c>
      <c r="N388" s="592">
        <f t="shared" si="94"/>
        <v>0</v>
      </c>
      <c r="O388" s="592">
        <f t="shared" si="94"/>
        <v>0</v>
      </c>
      <c r="P388" s="592">
        <f>IF(SUM(P384:P387)=P380,SUM(P384:P387),"Must equal end of year balance per Stmt. Of Cash Flows")</f>
        <v>0</v>
      </c>
      <c r="Q388" s="592">
        <f>IF(SUM(Q384:Q387)=Q380,SUM(Q384:Q387),"Must equal end of year balance per Stmt. Of Net Position")</f>
        <v>0</v>
      </c>
      <c r="R388" s="202" t="str">
        <f>IF(Q388=0,"0%",IF(ISERR(Q388/ABS(P388)),100%,Q388/ABS(P388)))</f>
        <v>0%</v>
      </c>
      <c r="T388" s="38">
        <f>(SUM(O384:O385,O387))-O380</f>
        <v>0</v>
      </c>
    </row>
    <row r="389" spans="1:28" ht="12.6" thickTop="1">
      <c r="A389" s="40"/>
      <c r="B389" s="17"/>
      <c r="C389" s="17"/>
      <c r="D389" s="17"/>
      <c r="E389" s="17"/>
      <c r="F389" s="584" t="s">
        <v>146</v>
      </c>
      <c r="G389" s="585">
        <f>(SUM(G384:G385,G387))-G380</f>
        <v>0</v>
      </c>
      <c r="H389" s="585">
        <f t="shared" ref="H389:N389" si="95">(SUM(H384:H385,H387))-H380</f>
        <v>0</v>
      </c>
      <c r="I389" s="585">
        <f t="shared" si="95"/>
        <v>0</v>
      </c>
      <c r="J389" s="585">
        <f>(SUM(J384:J385,J387))-J380</f>
        <v>0</v>
      </c>
      <c r="K389" s="585">
        <f t="shared" si="95"/>
        <v>0</v>
      </c>
      <c r="L389" s="585">
        <f t="shared" si="95"/>
        <v>0</v>
      </c>
      <c r="M389" s="585">
        <f t="shared" si="95"/>
        <v>0</v>
      </c>
      <c r="N389" s="585">
        <f t="shared" si="95"/>
        <v>0</v>
      </c>
      <c r="O389" s="585">
        <f>(SUM(O384:O385,O387))-O380</f>
        <v>0</v>
      </c>
      <c r="P389" s="585">
        <f>(SUM(P384:P385,P387))-P380</f>
        <v>0</v>
      </c>
      <c r="Q389" s="5"/>
    </row>
    <row r="390" spans="1:28" ht="12">
      <c r="A390" s="40"/>
      <c r="B390" s="17"/>
      <c r="C390" s="17"/>
      <c r="D390" s="17"/>
      <c r="E390" s="17"/>
      <c r="F390" s="20"/>
    </row>
    <row r="391" spans="1:28">
      <c r="A391" s="1050" t="str">
        <f>A7</f>
        <v>Fund Number:</v>
      </c>
      <c r="B391" s="1100"/>
      <c r="C391" s="1100"/>
      <c r="D391" s="1100"/>
      <c r="E391" s="18" t="str">
        <f>E7</f>
        <v/>
      </c>
      <c r="F391" s="20"/>
    </row>
    <row r="392" spans="1:28" ht="12">
      <c r="A392" s="18"/>
      <c r="B392" s="27"/>
      <c r="C392" s="27"/>
      <c r="D392" s="27"/>
      <c r="E392" s="17"/>
      <c r="F392" s="20"/>
    </row>
    <row r="393" spans="1:28" ht="15" customHeight="1">
      <c r="A393" s="18" t="s">
        <v>11</v>
      </c>
      <c r="B393" s="27"/>
      <c r="C393" s="27"/>
      <c r="D393" s="27"/>
      <c r="E393" s="27"/>
      <c r="F393" s="20"/>
      <c r="R393" s="21"/>
      <c r="T393" s="21"/>
      <c r="V393" s="21"/>
      <c r="Z393" s="21"/>
    </row>
    <row r="394" spans="1:28" ht="12">
      <c r="A394" s="39" t="str">
        <f>A351</f>
        <v>For the Year Ended June 30, 2024</v>
      </c>
      <c r="B394" s="29"/>
      <c r="C394" s="29"/>
      <c r="D394" s="29"/>
      <c r="E394" s="29"/>
      <c r="F394" s="579"/>
      <c r="G394" s="23"/>
      <c r="H394" s="23"/>
      <c r="I394" s="23"/>
      <c r="J394" s="23"/>
      <c r="K394" s="23"/>
      <c r="L394" s="23"/>
      <c r="M394" s="23"/>
      <c r="N394" s="23"/>
      <c r="O394" s="23"/>
      <c r="P394" s="23"/>
      <c r="Q394" s="23"/>
      <c r="R394" s="23"/>
      <c r="S394" s="23"/>
    </row>
    <row r="395" spans="1:28" ht="12">
      <c r="A395" s="27"/>
      <c r="B395" s="17"/>
      <c r="C395" s="17"/>
      <c r="D395" s="17"/>
      <c r="E395" s="17"/>
      <c r="F395" s="20"/>
      <c r="G395" s="21"/>
      <c r="H395" s="21"/>
      <c r="I395" s="21"/>
      <c r="J395" s="21"/>
      <c r="K395" s="21"/>
      <c r="L395" s="21"/>
      <c r="M395" s="21"/>
      <c r="N395" s="21"/>
      <c r="O395" s="21"/>
      <c r="R395" s="26"/>
      <c r="T395" s="26"/>
      <c r="V395" s="26"/>
      <c r="X395" s="26"/>
      <c r="Z395" s="36"/>
      <c r="AB395" s="26"/>
    </row>
    <row r="396" spans="1:28" ht="12">
      <c r="A396" s="18" t="s">
        <v>35</v>
      </c>
      <c r="B396" s="17"/>
      <c r="C396" s="17"/>
      <c r="D396" s="17"/>
      <c r="E396" s="17"/>
      <c r="F396" s="26"/>
    </row>
    <row r="397" spans="1:28" ht="36.75" customHeight="1">
      <c r="A397" s="18" t="s">
        <v>36</v>
      </c>
      <c r="B397" s="17"/>
      <c r="C397" s="17"/>
      <c r="D397" s="17"/>
      <c r="E397" s="570" t="s">
        <v>298</v>
      </c>
      <c r="F397" s="16" t="str">
        <f t="shared" ref="F397:O397" si="96">F37</f>
        <v>Reference to Tabs that must be completed</v>
      </c>
      <c r="G397" s="16" t="str">
        <f t="shared" si="96"/>
        <v>Template</v>
      </c>
      <c r="H397" s="16" t="e">
        <f t="shared" si="96"/>
        <v>#N/A</v>
      </c>
      <c r="I397" s="16" t="e">
        <f t="shared" si="96"/>
        <v>#N/A</v>
      </c>
      <c r="J397" s="16" t="e">
        <f t="shared" si="96"/>
        <v>#N/A</v>
      </c>
      <c r="K397" s="16" t="e">
        <f t="shared" si="96"/>
        <v>#N/A</v>
      </c>
      <c r="L397" s="16" t="e">
        <f t="shared" si="96"/>
        <v>#N/A</v>
      </c>
      <c r="M397" s="16" t="e">
        <f t="shared" si="96"/>
        <v>#N/A</v>
      </c>
      <c r="N397" s="16" t="str">
        <f t="shared" si="96"/>
        <v>Intrafund Elimination Entries</v>
      </c>
      <c r="O397" s="16" t="e">
        <f t="shared" si="96"/>
        <v>#N/A</v>
      </c>
      <c r="P397" s="570" t="s">
        <v>532</v>
      </c>
      <c r="Q397" s="570" t="str">
        <f>Q37</f>
        <v>$</v>
      </c>
      <c r="R397" s="570" t="str">
        <f>R37</f>
        <v>%</v>
      </c>
      <c r="S397" s="570"/>
      <c r="T397" s="16" t="str">
        <f>T37</f>
        <v>Check Figures</v>
      </c>
      <c r="V397" s="5"/>
      <c r="Z397" s="5"/>
    </row>
    <row r="398" spans="1:28" ht="12">
      <c r="A398" s="18"/>
      <c r="B398" s="17"/>
      <c r="C398" s="17"/>
      <c r="D398" s="17"/>
      <c r="E398" s="17"/>
      <c r="F398" s="20"/>
      <c r="R398" s="5"/>
      <c r="T398" s="5"/>
      <c r="V398" s="5"/>
      <c r="Z398" s="5"/>
    </row>
    <row r="399" spans="1:28" ht="12">
      <c r="A399" s="17"/>
      <c r="B399" s="24" t="s">
        <v>671</v>
      </c>
      <c r="C399" s="17"/>
      <c r="D399" s="17"/>
      <c r="E399" s="17"/>
      <c r="F399" s="20"/>
      <c r="G399" s="5">
        <f t="shared" ref="G399:N399" si="97">G266</f>
        <v>0</v>
      </c>
      <c r="H399" s="5">
        <f t="shared" si="97"/>
        <v>0</v>
      </c>
      <c r="I399" s="5">
        <f t="shared" si="97"/>
        <v>0</v>
      </c>
      <c r="J399" s="5">
        <f>J266</f>
        <v>0</v>
      </c>
      <c r="K399" s="5">
        <f t="shared" si="97"/>
        <v>0</v>
      </c>
      <c r="L399" s="5">
        <f t="shared" si="97"/>
        <v>0</v>
      </c>
      <c r="M399" s="5">
        <f t="shared" si="97"/>
        <v>0</v>
      </c>
      <c r="N399" s="5">
        <f t="shared" si="97"/>
        <v>0</v>
      </c>
      <c r="O399" s="5">
        <f>O266</f>
        <v>0</v>
      </c>
      <c r="P399" s="5" t="str">
        <f>IF(ISNA(HLOOKUP($E$2,'Prior Year FS Balances'!$G$21:$AF$464,360,FALSE)),"",(HLOOKUP($E$2,'Prior Year FS Balances'!$G$21:$AF$464,360,FALSE)))</f>
        <v/>
      </c>
      <c r="Q399" s="5" t="str">
        <f>IF(ISERR(O399-P399),"",(O399-P399))</f>
        <v/>
      </c>
      <c r="R399" s="201" t="str">
        <f>IF($E$7="","",IF(AND(O399=0,P399=0),"",IF(ISERR(Q399/ABS(P399)),100%,Q399/ABS(P399))))</f>
        <v/>
      </c>
      <c r="T399" s="5"/>
      <c r="V399" s="5"/>
      <c r="Z399" s="5"/>
    </row>
    <row r="400" spans="1:28" ht="12">
      <c r="A400" s="17"/>
      <c r="B400" s="17"/>
      <c r="C400" s="18" t="s">
        <v>37</v>
      </c>
      <c r="D400" s="17"/>
      <c r="E400" s="17"/>
      <c r="F400" s="20"/>
      <c r="G400" s="5"/>
      <c r="H400" s="5"/>
      <c r="I400" s="5"/>
      <c r="J400" s="5"/>
      <c r="K400" s="5"/>
      <c r="L400" s="5"/>
      <c r="M400" s="5"/>
      <c r="N400" s="5"/>
      <c r="O400" s="5"/>
      <c r="P400" s="5"/>
      <c r="Q400" s="5"/>
      <c r="R400" s="201"/>
      <c r="T400" s="5"/>
      <c r="V400" s="5"/>
      <c r="Z400" s="5"/>
    </row>
    <row r="401" spans="1:26" ht="12">
      <c r="A401" s="17"/>
      <c r="B401" s="17"/>
      <c r="C401" s="18" t="s">
        <v>354</v>
      </c>
      <c r="D401" s="17"/>
      <c r="E401" s="17"/>
      <c r="F401" s="20"/>
      <c r="G401" s="5"/>
      <c r="H401" s="5"/>
      <c r="I401" s="5"/>
      <c r="J401" s="5"/>
      <c r="K401" s="5"/>
      <c r="L401" s="5"/>
      <c r="M401" s="5"/>
      <c r="N401" s="5"/>
      <c r="O401" s="5"/>
      <c r="P401" s="5"/>
      <c r="Q401" s="5"/>
      <c r="R401" s="201"/>
      <c r="T401" s="5"/>
      <c r="V401" s="5"/>
      <c r="Z401" s="5"/>
    </row>
    <row r="402" spans="1:26" ht="12">
      <c r="A402" s="17"/>
      <c r="B402" s="17"/>
      <c r="C402" s="17"/>
      <c r="D402" s="24" t="s">
        <v>672</v>
      </c>
      <c r="E402" s="17"/>
      <c r="F402" s="20"/>
      <c r="G402" s="5">
        <f t="shared" ref="G402:N402" si="98">G253</f>
        <v>0</v>
      </c>
      <c r="H402" s="5">
        <f t="shared" si="98"/>
        <v>0</v>
      </c>
      <c r="I402" s="5">
        <f t="shared" si="98"/>
        <v>0</v>
      </c>
      <c r="J402" s="5">
        <f>J253</f>
        <v>0</v>
      </c>
      <c r="K402" s="5">
        <f t="shared" si="98"/>
        <v>0</v>
      </c>
      <c r="L402" s="5">
        <f t="shared" si="98"/>
        <v>0</v>
      </c>
      <c r="M402" s="5">
        <f t="shared" si="98"/>
        <v>0</v>
      </c>
      <c r="N402" s="5">
        <f t="shared" si="98"/>
        <v>0</v>
      </c>
      <c r="O402" s="5">
        <f>O253</f>
        <v>0</v>
      </c>
      <c r="P402" s="5" t="str">
        <f>IF(ISNA(HLOOKUP($E$2,'Prior Year FS Balances'!$G$21:$AF$464,363,FALSE)),"",(HLOOKUP($E$2,'Prior Year FS Balances'!$G$21:$AF$464,363,FALSE)))</f>
        <v/>
      </c>
      <c r="Q402" s="5" t="str">
        <f>IF(ISERR(O402-P402),"",(O402-P402))</f>
        <v/>
      </c>
      <c r="R402" s="201" t="str">
        <f>IF($E$7="","",IF(AND(O402=0,P402=0),"",IF(ISERR(Q402/ABS(P402)),100%,Q402/ABS(P402))))</f>
        <v/>
      </c>
      <c r="T402" s="5"/>
      <c r="V402" s="5"/>
      <c r="Z402" s="5"/>
    </row>
    <row r="403" spans="1:26" ht="12">
      <c r="A403" s="17"/>
      <c r="B403" s="17"/>
      <c r="C403" s="17"/>
      <c r="D403" s="24" t="s">
        <v>579</v>
      </c>
      <c r="E403" s="17"/>
      <c r="F403" s="20"/>
      <c r="G403" s="1"/>
      <c r="H403" s="31"/>
      <c r="I403" s="31"/>
      <c r="J403" s="31"/>
      <c r="K403" s="31"/>
      <c r="L403" s="31"/>
      <c r="M403" s="31"/>
      <c r="N403" s="31"/>
      <c r="O403" s="88">
        <f>SUM(G403:N403)</f>
        <v>0</v>
      </c>
      <c r="P403" s="5" t="str">
        <f>IF(ISNA(HLOOKUP($E$2,'Prior Year FS Balances'!$G$21:$AF$464,364,FALSE)),"",(HLOOKUP($E$2,'Prior Year FS Balances'!$G$21:$AF$464,364,FALSE)))</f>
        <v/>
      </c>
      <c r="Q403" s="5" t="str">
        <f>IF(ISERR(O403-P403),"",(O403-P403))</f>
        <v/>
      </c>
      <c r="R403" s="201" t="str">
        <f>IF($E$7="","",IF(AND(O403=0,P403=0),"",IF(ISERR(Q403/ABS(P403)),100%,Q403/ABS(P403))))</f>
        <v/>
      </c>
      <c r="T403" s="5"/>
      <c r="V403" s="5"/>
      <c r="Z403" s="5"/>
    </row>
    <row r="404" spans="1:26" ht="12">
      <c r="A404" s="17"/>
      <c r="B404" s="17"/>
      <c r="C404" s="17"/>
      <c r="D404" s="24" t="s">
        <v>284</v>
      </c>
      <c r="E404" s="17"/>
      <c r="F404" s="20"/>
      <c r="G404" s="1"/>
      <c r="H404" s="31"/>
      <c r="I404" s="31"/>
      <c r="J404" s="31"/>
      <c r="K404" s="31"/>
      <c r="L404" s="31"/>
      <c r="M404" s="31"/>
      <c r="N404" s="31"/>
      <c r="O404" s="88">
        <f>SUM(G404:N404)</f>
        <v>0</v>
      </c>
      <c r="P404" s="5" t="str">
        <f>IF(ISNA(HLOOKUP($E$2,'Prior Year FS Balances'!$G$21:$AF$464,365,FALSE)),"",(HLOOKUP($E$2,'Prior Year FS Balances'!$G$21:$AF$464,365,FALSE)))</f>
        <v/>
      </c>
      <c r="Q404" s="5" t="str">
        <f>IF(ISERR(O404-P404),"",(O404-P404))</f>
        <v/>
      </c>
      <c r="R404" s="201" t="str">
        <f>IF($E$7="","",IF(AND(O404=0,P404=0),"",IF(ISERR(Q404/ABS(P404)),100%,Q404/ABS(P404))))</f>
        <v/>
      </c>
      <c r="T404" s="5"/>
      <c r="V404" s="5"/>
      <c r="Z404" s="5"/>
    </row>
    <row r="405" spans="1:26" ht="12">
      <c r="A405" s="17"/>
      <c r="B405" s="17"/>
      <c r="C405" s="17"/>
      <c r="D405" s="24" t="s">
        <v>355</v>
      </c>
      <c r="E405" s="17"/>
      <c r="F405" s="20"/>
      <c r="G405" s="1"/>
      <c r="H405" s="31"/>
      <c r="I405" s="31"/>
      <c r="J405" s="31"/>
      <c r="K405" s="31"/>
      <c r="L405" s="31"/>
      <c r="M405" s="31"/>
      <c r="N405" s="31"/>
      <c r="O405" s="88">
        <f>SUM(G405:N405)</f>
        <v>0</v>
      </c>
      <c r="P405" s="5" t="str">
        <f>IF(ISNA(HLOOKUP($E$2,'Prior Year FS Balances'!$G$21:$AF$464,366,FALSE)),"",(HLOOKUP($E$2,'Prior Year FS Balances'!$G$21:$AF$464,366,FALSE)))</f>
        <v/>
      </c>
      <c r="Q405" s="5" t="str">
        <f>IF(ISERR(O405-P405),"",(O405-P405))</f>
        <v/>
      </c>
      <c r="R405" s="201" t="str">
        <f>IF($E$7="","",IF(AND(O405=0,P405=0),"",IF(ISERR(Q405/ABS(P405)),100%,Q405/ABS(P405))))</f>
        <v/>
      </c>
      <c r="T405" s="5"/>
      <c r="V405" s="5"/>
      <c r="Z405" s="5"/>
    </row>
    <row r="406" spans="1:26" ht="12">
      <c r="A406" s="17"/>
      <c r="B406" s="17"/>
      <c r="C406" s="17"/>
      <c r="D406" s="24" t="s">
        <v>653</v>
      </c>
      <c r="E406" s="227" t="str">
        <f>IF(O406&gt;0,"Answer Required",IF(O406&lt;0,"Answer Required","N/A"))</f>
        <v>N/A</v>
      </c>
      <c r="F406" s="20"/>
      <c r="G406" s="1"/>
      <c r="H406" s="31"/>
      <c r="I406" s="31"/>
      <c r="J406" s="31"/>
      <c r="K406" s="31"/>
      <c r="L406" s="31"/>
      <c r="M406" s="31"/>
      <c r="N406" s="31"/>
      <c r="O406" s="88">
        <f>SUM(G406:N406)</f>
        <v>0</v>
      </c>
      <c r="P406" s="5" t="str">
        <f>IF(ISNA(HLOOKUP($E$2,'Prior Year FS Balances'!$G$21:$AF$464,367,FALSE)),"",(HLOOKUP($E$2,'Prior Year FS Balances'!$G$21:$AF$464,367,FALSE)))</f>
        <v/>
      </c>
      <c r="Q406" s="5" t="str">
        <f>IF(ISERR(O406-P406),"",(O406-P406))</f>
        <v/>
      </c>
      <c r="R406" s="201" t="str">
        <f>IF($E$7="","",IF(AND(O406=0,P406=0),"",IF(ISERR(Q406/ABS(P406)),100%,Q406/ABS(P406))))</f>
        <v/>
      </c>
      <c r="T406" s="5"/>
      <c r="V406" s="5"/>
      <c r="Z406" s="5"/>
    </row>
    <row r="407" spans="1:26" ht="12">
      <c r="A407" s="17"/>
      <c r="B407" s="17"/>
      <c r="C407" s="17"/>
      <c r="D407" s="40"/>
      <c r="E407" s="17"/>
      <c r="F407" s="20"/>
      <c r="G407" s="5"/>
      <c r="H407" s="5"/>
      <c r="I407" s="5"/>
      <c r="J407" s="5"/>
      <c r="K407" s="5"/>
      <c r="L407" s="5"/>
      <c r="M407" s="5"/>
      <c r="N407" s="5"/>
      <c r="O407" s="5"/>
      <c r="P407" s="5"/>
      <c r="Q407" s="5"/>
      <c r="R407" s="201"/>
      <c r="T407" s="5"/>
      <c r="V407" s="5"/>
      <c r="Z407" s="5"/>
    </row>
    <row r="408" spans="1:26" ht="12">
      <c r="A408" s="17"/>
      <c r="B408" s="17"/>
      <c r="C408" s="40" t="s">
        <v>357</v>
      </c>
      <c r="D408" s="17"/>
      <c r="E408" s="17"/>
      <c r="F408" s="20"/>
      <c r="G408" s="5"/>
      <c r="H408" s="5"/>
      <c r="I408" s="5"/>
      <c r="J408" s="5"/>
      <c r="K408" s="5"/>
      <c r="L408" s="5"/>
      <c r="M408" s="5"/>
      <c r="N408" s="5"/>
      <c r="O408" s="5"/>
      <c r="P408" s="5"/>
      <c r="Q408" s="5"/>
      <c r="R408" s="201"/>
      <c r="T408" s="5"/>
      <c r="V408" s="5"/>
      <c r="Z408" s="5"/>
    </row>
    <row r="409" spans="1:26" ht="12">
      <c r="A409" s="17"/>
      <c r="B409" s="17"/>
      <c r="C409" s="17"/>
      <c r="D409" s="24" t="s">
        <v>477</v>
      </c>
      <c r="E409" s="17"/>
      <c r="F409" s="30" t="s">
        <v>865</v>
      </c>
      <c r="G409" s="1"/>
      <c r="H409" s="31"/>
      <c r="I409" s="31"/>
      <c r="J409" s="31"/>
      <c r="K409" s="31"/>
      <c r="L409" s="31"/>
      <c r="M409" s="31"/>
      <c r="N409" s="31"/>
      <c r="O409" s="88">
        <f t="shared" ref="O409:O424" si="99">SUM(G409:N409)</f>
        <v>0</v>
      </c>
      <c r="P409" s="5" t="str">
        <f>IF(ISNA(HLOOKUP($E$2,'Prior Year FS Balances'!$G$21:$AF$464,370,FALSE)),"",(HLOOKUP($E$2,'Prior Year FS Balances'!$G$21:$AF$464,370,FALSE)))</f>
        <v/>
      </c>
      <c r="Q409" s="5" t="str">
        <f t="shared" ref="Q409:Q424" si="100">IF(ISERR(O409-P409),"",(O409-P409))</f>
        <v/>
      </c>
      <c r="R409" s="201" t="str">
        <f t="shared" ref="R409:R420" si="101">IF($E$7="","",IF(AND(O409=0,P409=0),"",IF(ISERR(Q409/ABS(P409)),100%,Q409/ABS(P409))))</f>
        <v/>
      </c>
      <c r="T409" s="5"/>
      <c r="V409" s="5"/>
      <c r="Z409" s="5"/>
    </row>
    <row r="410" spans="1:26" ht="12">
      <c r="A410" s="17"/>
      <c r="B410" s="17"/>
      <c r="C410" s="17"/>
      <c r="D410" s="24" t="s">
        <v>358</v>
      </c>
      <c r="E410" s="17"/>
      <c r="F410" s="30" t="s">
        <v>865</v>
      </c>
      <c r="G410" s="1"/>
      <c r="H410" s="31"/>
      <c r="I410" s="31"/>
      <c r="J410" s="31"/>
      <c r="K410" s="31"/>
      <c r="L410" s="31"/>
      <c r="M410" s="31"/>
      <c r="N410" s="31"/>
      <c r="O410" s="88">
        <f t="shared" si="99"/>
        <v>0</v>
      </c>
      <c r="P410" s="5" t="str">
        <f>IF(ISNA(HLOOKUP($E$2,'Prior Year FS Balances'!$G$21:$AF$464,371,FALSE)),"",(HLOOKUP($E$2,'Prior Year FS Balances'!$G$21:$AF$464,371,FALSE)))</f>
        <v/>
      </c>
      <c r="Q410" s="5" t="str">
        <f t="shared" si="100"/>
        <v/>
      </c>
      <c r="R410" s="201" t="str">
        <f t="shared" si="101"/>
        <v/>
      </c>
      <c r="T410" s="5"/>
      <c r="V410" s="5"/>
      <c r="Z410" s="5"/>
    </row>
    <row r="411" spans="1:26" ht="12">
      <c r="A411" s="17"/>
      <c r="B411" s="17"/>
      <c r="C411" s="17"/>
      <c r="D411" s="24" t="s">
        <v>571</v>
      </c>
      <c r="E411" s="17"/>
      <c r="F411" s="30" t="s">
        <v>865</v>
      </c>
      <c r="G411" s="1"/>
      <c r="H411" s="31"/>
      <c r="I411" s="31"/>
      <c r="J411" s="31"/>
      <c r="K411" s="31"/>
      <c r="L411" s="31"/>
      <c r="M411" s="31"/>
      <c r="N411" s="31"/>
      <c r="O411" s="88">
        <f t="shared" si="99"/>
        <v>0</v>
      </c>
      <c r="P411" s="5" t="str">
        <f>IF(ISNA(HLOOKUP($E$2,'Prior Year FS Balances'!$G$21:$AF$464,372,FALSE)),"",(HLOOKUP($E$2,'Prior Year FS Balances'!$G$21:$AF$464,372,FALSE)))</f>
        <v/>
      </c>
      <c r="Q411" s="5" t="str">
        <f t="shared" si="100"/>
        <v/>
      </c>
      <c r="R411" s="201" t="str">
        <f t="shared" si="101"/>
        <v/>
      </c>
      <c r="T411" s="5"/>
      <c r="V411" s="5"/>
      <c r="Z411" s="5"/>
    </row>
    <row r="412" spans="1:26" ht="12">
      <c r="A412" s="17"/>
      <c r="B412" s="17"/>
      <c r="C412" s="17"/>
      <c r="D412" s="24" t="s">
        <v>475</v>
      </c>
      <c r="E412" s="17"/>
      <c r="F412" s="30" t="s">
        <v>865</v>
      </c>
      <c r="G412" s="1"/>
      <c r="H412" s="31"/>
      <c r="I412" s="31"/>
      <c r="J412" s="31"/>
      <c r="K412" s="31"/>
      <c r="L412" s="31"/>
      <c r="M412" s="31"/>
      <c r="N412" s="31"/>
      <c r="O412" s="88">
        <f t="shared" si="99"/>
        <v>0</v>
      </c>
      <c r="P412" s="5" t="str">
        <f>IF(ISNA(HLOOKUP($E$2,'Prior Year FS Balances'!$G$21:$AF$464,373,FALSE)),"",(HLOOKUP($E$2,'Prior Year FS Balances'!$G$21:$AF$464,373,FALSE)))</f>
        <v/>
      </c>
      <c r="Q412" s="5" t="str">
        <f t="shared" si="100"/>
        <v/>
      </c>
      <c r="R412" s="201" t="str">
        <f t="shared" si="101"/>
        <v/>
      </c>
      <c r="T412" s="5"/>
      <c r="V412" s="5"/>
      <c r="Z412" s="5"/>
    </row>
    <row r="413" spans="1:26" ht="12">
      <c r="A413" s="17"/>
      <c r="B413" s="17"/>
      <c r="C413" s="17"/>
      <c r="D413" s="24" t="s">
        <v>476</v>
      </c>
      <c r="E413" s="17"/>
      <c r="F413" s="30" t="s">
        <v>865</v>
      </c>
      <c r="G413" s="1"/>
      <c r="H413" s="31"/>
      <c r="I413" s="31"/>
      <c r="J413" s="31"/>
      <c r="K413" s="31"/>
      <c r="L413" s="31"/>
      <c r="M413" s="31"/>
      <c r="N413" s="31"/>
      <c r="O413" s="88">
        <f t="shared" si="99"/>
        <v>0</v>
      </c>
      <c r="P413" s="5" t="str">
        <f>IF(ISNA(HLOOKUP($E$2,'Prior Year FS Balances'!$G$21:$AF$464,374,FALSE)),"",(HLOOKUP($E$2,'Prior Year FS Balances'!$G$21:$AF$464,374,FALSE)))</f>
        <v/>
      </c>
      <c r="Q413" s="5" t="str">
        <f t="shared" si="100"/>
        <v/>
      </c>
      <c r="R413" s="201" t="str">
        <f t="shared" si="101"/>
        <v/>
      </c>
      <c r="T413" s="5"/>
      <c r="V413" s="5"/>
      <c r="Z413" s="5"/>
    </row>
    <row r="414" spans="1:26" ht="12">
      <c r="A414" s="17"/>
      <c r="B414" s="17"/>
      <c r="C414" s="17"/>
      <c r="D414" s="24" t="s">
        <v>206</v>
      </c>
      <c r="E414" s="17"/>
      <c r="F414" s="30" t="s">
        <v>865</v>
      </c>
      <c r="G414" s="1"/>
      <c r="H414" s="31"/>
      <c r="I414" s="31"/>
      <c r="J414" s="31"/>
      <c r="K414" s="31"/>
      <c r="L414" s="31"/>
      <c r="M414" s="31"/>
      <c r="N414" s="31"/>
      <c r="O414" s="88">
        <f t="shared" si="99"/>
        <v>0</v>
      </c>
      <c r="P414" s="5" t="str">
        <f>IF(ISNA(HLOOKUP($E$2,'Prior Year FS Balances'!$G$21:$AF$464,375,FALSE)),"",(HLOOKUP($E$2,'Prior Year FS Balances'!$G$21:$AF$464,375,FALSE)))</f>
        <v/>
      </c>
      <c r="Q414" s="5" t="str">
        <f t="shared" si="100"/>
        <v/>
      </c>
      <c r="R414" s="201" t="str">
        <f t="shared" si="101"/>
        <v/>
      </c>
      <c r="T414" s="5"/>
      <c r="V414" s="5"/>
      <c r="Z414" s="5"/>
    </row>
    <row r="415" spans="1:26" ht="12">
      <c r="A415" s="17"/>
      <c r="B415" s="17"/>
      <c r="C415" s="17"/>
      <c r="D415" s="24" t="s">
        <v>359</v>
      </c>
      <c r="E415" s="17"/>
      <c r="F415" s="30" t="s">
        <v>865</v>
      </c>
      <c r="G415" s="1"/>
      <c r="H415" s="31"/>
      <c r="I415" s="31"/>
      <c r="J415" s="31"/>
      <c r="K415" s="31"/>
      <c r="L415" s="31"/>
      <c r="M415" s="31"/>
      <c r="N415" s="31"/>
      <c r="O415" s="88">
        <f t="shared" si="99"/>
        <v>0</v>
      </c>
      <c r="P415" s="5" t="str">
        <f>IF(ISNA(HLOOKUP($E$2,'Prior Year FS Balances'!$G$21:$AF$464,376,FALSE)),"",(HLOOKUP($E$2,'Prior Year FS Balances'!$G$21:$AF$464,376,FALSE)))</f>
        <v/>
      </c>
      <c r="Q415" s="5" t="str">
        <f t="shared" si="100"/>
        <v/>
      </c>
      <c r="R415" s="201" t="str">
        <f t="shared" si="101"/>
        <v/>
      </c>
      <c r="T415" s="5"/>
      <c r="V415" s="5"/>
      <c r="Z415" s="5"/>
    </row>
    <row r="416" spans="1:26" ht="12">
      <c r="A416" s="17"/>
      <c r="B416" s="17"/>
      <c r="C416" s="17"/>
      <c r="D416" s="24" t="s">
        <v>478</v>
      </c>
      <c r="E416" s="17"/>
      <c r="F416" s="30" t="s">
        <v>865</v>
      </c>
      <c r="G416" s="1"/>
      <c r="H416" s="31"/>
      <c r="I416" s="31"/>
      <c r="J416" s="31"/>
      <c r="K416" s="31"/>
      <c r="L416" s="31"/>
      <c r="M416" s="31"/>
      <c r="N416" s="31"/>
      <c r="O416" s="88">
        <f t="shared" si="99"/>
        <v>0</v>
      </c>
      <c r="P416" s="5" t="str">
        <f>IF(ISNA(HLOOKUP($E$2,'Prior Year FS Balances'!$G$21:$AF$464,377,FALSE)),"",(HLOOKUP($E$2,'Prior Year FS Balances'!$G$21:$AF$464,377,FALSE)))</f>
        <v/>
      </c>
      <c r="Q416" s="5" t="str">
        <f t="shared" si="100"/>
        <v/>
      </c>
      <c r="R416" s="201" t="str">
        <f t="shared" si="101"/>
        <v/>
      </c>
      <c r="T416" s="5"/>
      <c r="V416" s="5"/>
      <c r="Z416" s="5"/>
    </row>
    <row r="417" spans="1:26" ht="12">
      <c r="A417" s="17"/>
      <c r="B417" s="17"/>
      <c r="C417" s="17"/>
      <c r="D417" s="24" t="s">
        <v>367</v>
      </c>
      <c r="E417" s="17"/>
      <c r="F417" s="30" t="s">
        <v>865</v>
      </c>
      <c r="G417" s="1"/>
      <c r="H417" s="31"/>
      <c r="I417" s="31"/>
      <c r="J417" s="31"/>
      <c r="K417" s="31"/>
      <c r="L417" s="31"/>
      <c r="M417" s="31"/>
      <c r="N417" s="31"/>
      <c r="O417" s="88">
        <f t="shared" si="99"/>
        <v>0</v>
      </c>
      <c r="P417" s="5" t="str">
        <f>IF(ISNA(HLOOKUP($E$2,'Prior Year FS Balances'!$G$21:$AF$464,378,FALSE)),"",(HLOOKUP($E$2,'Prior Year FS Balances'!$G$21:$AF$464,378,FALSE)))</f>
        <v/>
      </c>
      <c r="Q417" s="5" t="str">
        <f t="shared" si="100"/>
        <v/>
      </c>
      <c r="R417" s="201" t="str">
        <f t="shared" si="101"/>
        <v/>
      </c>
      <c r="T417" s="5"/>
      <c r="V417" s="5"/>
      <c r="Z417" s="5"/>
    </row>
    <row r="418" spans="1:26" ht="12">
      <c r="A418" s="17"/>
      <c r="B418" s="17"/>
      <c r="C418" s="17"/>
      <c r="D418" s="24" t="s">
        <v>15</v>
      </c>
      <c r="E418" s="17"/>
      <c r="F418" s="30" t="s">
        <v>865</v>
      </c>
      <c r="G418" s="1"/>
      <c r="H418" s="31"/>
      <c r="I418" s="31"/>
      <c r="J418" s="31"/>
      <c r="K418" s="31"/>
      <c r="L418" s="31"/>
      <c r="M418" s="31"/>
      <c r="N418" s="31"/>
      <c r="O418" s="88">
        <f t="shared" si="99"/>
        <v>0</v>
      </c>
      <c r="P418" s="5" t="str">
        <f>IF(ISNA(HLOOKUP($E$2,'Prior Year FS Balances'!$G$21:$AF$464,379,FALSE)),"",(HLOOKUP($E$2,'Prior Year FS Balances'!$G$21:$AF$464,379,FALSE)))</f>
        <v/>
      </c>
      <c r="Q418" s="5" t="str">
        <f>IF(ISERR(O418-P418),"",(O418-P418))</f>
        <v/>
      </c>
      <c r="R418" s="201" t="str">
        <f t="shared" si="101"/>
        <v/>
      </c>
      <c r="T418" s="5"/>
      <c r="V418" s="5"/>
      <c r="Z418" s="5"/>
    </row>
    <row r="419" spans="1:26" ht="12">
      <c r="A419" s="17"/>
      <c r="B419" s="17"/>
      <c r="C419" s="17"/>
      <c r="D419" s="24" t="s">
        <v>546</v>
      </c>
      <c r="E419" s="17"/>
      <c r="F419" s="30" t="s">
        <v>865</v>
      </c>
      <c r="G419" s="1"/>
      <c r="H419" s="31"/>
      <c r="I419" s="31"/>
      <c r="J419" s="31"/>
      <c r="K419" s="31"/>
      <c r="L419" s="31"/>
      <c r="M419" s="31"/>
      <c r="N419" s="31"/>
      <c r="O419" s="88">
        <f t="shared" si="99"/>
        <v>0</v>
      </c>
      <c r="P419" s="5" t="str">
        <f>IF(ISNA(HLOOKUP($E$2,'Prior Year FS Balances'!$G$21:$AF$464,380,FALSE)),"",(HLOOKUP($E$2,'Prior Year FS Balances'!$G$21:$AF$464,380,FALSE)))</f>
        <v/>
      </c>
      <c r="Q419" s="5" t="str">
        <f t="shared" si="100"/>
        <v/>
      </c>
      <c r="R419" s="201" t="str">
        <f t="shared" si="101"/>
        <v/>
      </c>
      <c r="T419" s="5"/>
      <c r="V419" s="5"/>
      <c r="Z419" s="5"/>
    </row>
    <row r="420" spans="1:26" ht="12">
      <c r="A420" s="17"/>
      <c r="B420" s="17"/>
      <c r="C420" s="17"/>
      <c r="D420" s="24" t="s">
        <v>552</v>
      </c>
      <c r="E420" s="17"/>
      <c r="F420" s="30" t="s">
        <v>865</v>
      </c>
      <c r="G420" s="1"/>
      <c r="H420" s="31"/>
      <c r="I420" s="31"/>
      <c r="J420" s="31"/>
      <c r="K420" s="31"/>
      <c r="L420" s="31"/>
      <c r="M420" s="31"/>
      <c r="N420" s="31"/>
      <c r="O420" s="88">
        <f t="shared" si="99"/>
        <v>0</v>
      </c>
      <c r="P420" s="5" t="str">
        <f>IF(ISNA(HLOOKUP($E$2,'Prior Year FS Balances'!$G$21:$AF$464,381,FALSE)),"",(HLOOKUP($E$2,'Prior Year FS Balances'!$G$21:$AF$464,381,FALSE)))</f>
        <v/>
      </c>
      <c r="Q420" s="5" t="str">
        <f t="shared" si="100"/>
        <v/>
      </c>
      <c r="R420" s="201" t="str">
        <f t="shared" si="101"/>
        <v/>
      </c>
      <c r="T420" s="5"/>
      <c r="V420" s="5"/>
      <c r="Z420" s="5"/>
    </row>
    <row r="421" spans="1:26" ht="12" hidden="1">
      <c r="A421" s="17"/>
      <c r="B421" s="17"/>
      <c r="C421" s="17"/>
      <c r="D421" s="24"/>
      <c r="E421" s="17"/>
      <c r="F421" s="30"/>
      <c r="G421" s="1"/>
      <c r="H421" s="31"/>
      <c r="I421" s="31"/>
      <c r="J421" s="31"/>
      <c r="K421" s="31"/>
      <c r="L421" s="31"/>
      <c r="M421" s="31"/>
      <c r="N421" s="31"/>
      <c r="O421" s="88">
        <f t="shared" si="99"/>
        <v>0</v>
      </c>
      <c r="P421" s="5"/>
      <c r="Q421" s="5">
        <f t="shared" si="100"/>
        <v>0</v>
      </c>
      <c r="R421" s="201" t="str">
        <f t="shared" ref="R421" si="102">IF($E$7="","",IF(AND(G421=0,P421=0),"",IF(ISERR(Q421/ABS(P421)),100%,Q421/ABS(P421))))</f>
        <v/>
      </c>
      <c r="T421" s="5"/>
      <c r="V421" s="5"/>
      <c r="Z421" s="5"/>
    </row>
    <row r="422" spans="1:26" ht="12">
      <c r="A422" s="17"/>
      <c r="B422" s="17"/>
      <c r="C422" s="17"/>
      <c r="D422" s="24" t="s">
        <v>547</v>
      </c>
      <c r="E422" s="17"/>
      <c r="F422" s="30" t="s">
        <v>865</v>
      </c>
      <c r="G422" s="1"/>
      <c r="H422" s="31"/>
      <c r="I422" s="31"/>
      <c r="J422" s="31"/>
      <c r="K422" s="31"/>
      <c r="L422" s="31"/>
      <c r="M422" s="31"/>
      <c r="N422" s="31"/>
      <c r="O422" s="88">
        <f t="shared" si="99"/>
        <v>0</v>
      </c>
      <c r="P422" s="5" t="str">
        <f>IF(ISNA(HLOOKUP($E$2,'Prior Year FS Balances'!$G$21:$AF$464,383,FALSE)),"",(HLOOKUP($E$2,'Prior Year FS Balances'!$G$21:$AF$464,383,FALSE)))</f>
        <v/>
      </c>
      <c r="Q422" s="5" t="str">
        <f t="shared" si="100"/>
        <v/>
      </c>
      <c r="R422" s="201" t="str">
        <f>IF($E$7="","",IF(AND(O422=0,P422=0),"",IF(ISERR(Q422/ABS(P422)),100%,Q422/ABS(P422))))</f>
        <v/>
      </c>
      <c r="T422" s="5"/>
      <c r="V422" s="5"/>
      <c r="Z422" s="5"/>
    </row>
    <row r="423" spans="1:26" ht="12">
      <c r="A423" s="17"/>
      <c r="B423" s="17"/>
      <c r="C423" s="17"/>
      <c r="D423" s="24" t="s">
        <v>548</v>
      </c>
      <c r="E423" s="17"/>
      <c r="F423" s="30" t="s">
        <v>865</v>
      </c>
      <c r="G423" s="1"/>
      <c r="H423" s="31"/>
      <c r="I423" s="31"/>
      <c r="J423" s="31"/>
      <c r="K423" s="31"/>
      <c r="L423" s="31"/>
      <c r="M423" s="31"/>
      <c r="N423" s="31"/>
      <c r="O423" s="88">
        <f t="shared" si="99"/>
        <v>0</v>
      </c>
      <c r="P423" s="5" t="str">
        <f>IF(ISNA(HLOOKUP($E$2,'Prior Year FS Balances'!$G$21:$AF$464,384,FALSE)),"",(HLOOKUP($E$2,'Prior Year FS Balances'!$G$21:$AF$464,384,FALSE)))</f>
        <v/>
      </c>
      <c r="Q423" s="5" t="str">
        <f t="shared" si="100"/>
        <v/>
      </c>
      <c r="R423" s="201" t="str">
        <f>IF($E$7="","",IF(AND(O423=0,P423=0),"",IF(ISERR(Q423/ABS(P423)),100%,Q423/ABS(P423))))</f>
        <v/>
      </c>
      <c r="T423" s="5"/>
      <c r="V423" s="5"/>
      <c r="Z423" s="5"/>
    </row>
    <row r="424" spans="1:26" ht="12">
      <c r="A424" s="17"/>
      <c r="B424" s="17"/>
      <c r="C424" s="17"/>
      <c r="D424" s="24" t="s">
        <v>553</v>
      </c>
      <c r="E424" s="17"/>
      <c r="F424" s="30" t="s">
        <v>865</v>
      </c>
      <c r="G424" s="1"/>
      <c r="H424" s="31"/>
      <c r="I424" s="31"/>
      <c r="J424" s="31"/>
      <c r="K424" s="31"/>
      <c r="L424" s="31"/>
      <c r="M424" s="31"/>
      <c r="N424" s="31"/>
      <c r="O424" s="88">
        <f t="shared" si="99"/>
        <v>0</v>
      </c>
      <c r="P424" s="5" t="str">
        <f>IF(ISNA(HLOOKUP($E$2,'Prior Year FS Balances'!$G$21:$AF$464,385,FALSE)),"",(HLOOKUP($E$2,'Prior Year FS Balances'!$G$21:$AF$464,385,FALSE)))</f>
        <v/>
      </c>
      <c r="Q424" s="5" t="str">
        <f t="shared" si="100"/>
        <v/>
      </c>
      <c r="R424" s="201" t="str">
        <f>IF($E$7="","",IF(AND(O424=0,P424=0),"",IF(ISERR(Q424/ABS(P424)),100%,Q424/ABS(P424))))</f>
        <v/>
      </c>
      <c r="T424" s="5"/>
      <c r="V424" s="5"/>
      <c r="Z424" s="5"/>
    </row>
    <row r="425" spans="1:26" ht="12">
      <c r="A425" s="17"/>
      <c r="B425" s="17"/>
      <c r="C425" s="17"/>
      <c r="D425" s="24" t="s">
        <v>2708</v>
      </c>
      <c r="E425" s="17"/>
      <c r="F425" s="30" t="s">
        <v>865</v>
      </c>
      <c r="G425" s="1"/>
      <c r="H425" s="31"/>
      <c r="I425" s="31"/>
      <c r="J425" s="31"/>
      <c r="K425" s="31"/>
      <c r="L425" s="31"/>
      <c r="M425" s="31"/>
      <c r="N425" s="31"/>
      <c r="O425" s="88">
        <f>SUM(G425:N425)</f>
        <v>0</v>
      </c>
      <c r="P425" s="5" t="str">
        <f>IF(ISNA(HLOOKUP($E$2,'Prior Year FS Balances'!$G$21:$AF$464,386,FALSE)),"",(HLOOKUP($E$2,'Prior Year FS Balances'!$G$21:$AF$464,386,FALSE)))</f>
        <v/>
      </c>
      <c r="Q425" s="5" t="str">
        <f>IF(ISERR(O425-P425),"",(O425-P425))</f>
        <v/>
      </c>
      <c r="R425" s="201" t="str">
        <f>IF($E$7="","",IF(AND(O425=0,P425=0),"",IF(ISERR(Q425/ABS(P425)),100%,Q425/ABS(P425))))</f>
        <v/>
      </c>
      <c r="T425" s="5"/>
      <c r="V425" s="5"/>
      <c r="Z425" s="5"/>
    </row>
    <row r="426" spans="1:26" ht="12">
      <c r="A426" s="17"/>
      <c r="B426" s="17"/>
      <c r="C426" s="17"/>
      <c r="D426" s="24" t="s">
        <v>2709</v>
      </c>
      <c r="E426" s="17"/>
      <c r="F426" s="30" t="s">
        <v>865</v>
      </c>
      <c r="G426" s="1"/>
      <c r="H426" s="31"/>
      <c r="I426" s="31"/>
      <c r="J426" s="31"/>
      <c r="K426" s="31"/>
      <c r="L426" s="31"/>
      <c r="M426" s="31"/>
      <c r="N426" s="31"/>
      <c r="O426" s="88">
        <f>SUM(G426:N426)</f>
        <v>0</v>
      </c>
      <c r="P426" s="5" t="str">
        <f>IF(ISNA(HLOOKUP($E$2,'Prior Year FS Balances'!$G$21:$AF$464,387,FALSE)),"",(HLOOKUP($E$2,'Prior Year FS Balances'!$G$21:$AF$464,387,FALSE)))</f>
        <v/>
      </c>
      <c r="Q426" s="5" t="str">
        <f>IF(ISERR(O426-P426),"",(O426-P426))</f>
        <v/>
      </c>
      <c r="R426" s="201" t="str">
        <f>IF($E$7="","",IF(AND(O426=0,P426=0),"",IF(ISERR(Q426/ABS(P426)),100%,Q426/ABS(P426))))</f>
        <v/>
      </c>
      <c r="T426" s="5"/>
      <c r="V426" s="5"/>
      <c r="Z426" s="5"/>
    </row>
    <row r="427" spans="1:26" ht="12">
      <c r="A427" s="17"/>
      <c r="B427" s="17"/>
      <c r="C427" s="17"/>
      <c r="D427" s="24"/>
      <c r="E427" s="17"/>
      <c r="F427" s="20"/>
      <c r="G427" s="5"/>
      <c r="H427" s="5"/>
      <c r="I427" s="5"/>
      <c r="J427" s="5"/>
      <c r="K427" s="5"/>
      <c r="L427" s="5"/>
      <c r="M427" s="5"/>
      <c r="N427" s="5"/>
      <c r="O427" s="5"/>
      <c r="P427" s="5"/>
      <c r="Q427" s="5"/>
      <c r="R427" s="201"/>
      <c r="T427" s="5"/>
      <c r="V427" s="5"/>
      <c r="Z427" s="5"/>
    </row>
    <row r="428" spans="1:26" ht="12">
      <c r="A428" s="17"/>
      <c r="B428" s="17"/>
      <c r="C428" s="17"/>
      <c r="D428" s="40" t="s">
        <v>368</v>
      </c>
      <c r="E428" s="17"/>
      <c r="F428" s="30" t="s">
        <v>865</v>
      </c>
      <c r="G428" s="1"/>
      <c r="H428" s="31"/>
      <c r="I428" s="31"/>
      <c r="J428" s="31"/>
      <c r="K428" s="31"/>
      <c r="L428" s="31"/>
      <c r="M428" s="31"/>
      <c r="N428" s="31"/>
      <c r="O428" s="88">
        <f>SUM(G428:N428)</f>
        <v>0</v>
      </c>
      <c r="P428" s="5" t="str">
        <f>IF(ISNA(HLOOKUP($E$2,'Prior Year FS Balances'!$G$21:$AF$464,389,FALSE)),"",(HLOOKUP($E$2,'Prior Year FS Balances'!$G$21:$AF$464,389,FALSE)))</f>
        <v/>
      </c>
      <c r="Q428" s="5" t="str">
        <f>IF(ISERR(O428-P428),"",(O428-P428))</f>
        <v/>
      </c>
      <c r="R428" s="201" t="str">
        <f>IF($E$7="","",IF(AND(O428=0,P428=0),"",IF(ISERR(Q428/ABS(P428)),100%,Q428/ABS(P428))))</f>
        <v/>
      </c>
      <c r="T428" s="5"/>
      <c r="V428" s="5"/>
      <c r="Z428" s="5"/>
    </row>
    <row r="429" spans="1:26" ht="12">
      <c r="A429" s="17"/>
      <c r="B429" s="17"/>
      <c r="C429" s="17"/>
      <c r="D429" s="40" t="s">
        <v>52</v>
      </c>
      <c r="E429" s="17"/>
      <c r="F429" s="30" t="s">
        <v>865</v>
      </c>
      <c r="G429" s="1"/>
      <c r="H429" s="31"/>
      <c r="I429" s="31"/>
      <c r="J429" s="31"/>
      <c r="K429" s="31"/>
      <c r="L429" s="31"/>
      <c r="M429" s="31"/>
      <c r="N429" s="31"/>
      <c r="O429" s="88">
        <f>SUM(G429:N429)</f>
        <v>0</v>
      </c>
      <c r="P429" s="5" t="str">
        <f>IF(ISNA(HLOOKUP($E$2,'Prior Year FS Balances'!$G$21:$AF$464,390,FALSE)),"",(HLOOKUP($E$2,'Prior Year FS Balances'!$G$21:$AF$464,390,FALSE)))</f>
        <v/>
      </c>
      <c r="Q429" s="5" t="str">
        <f>IF(ISERR(O429-P429),"",(O429-P429))</f>
        <v/>
      </c>
      <c r="R429" s="201" t="str">
        <f>IF($E$7="","",IF(AND(O429=0,P429=0),"",IF(ISERR(Q429/ABS(P429)),100%,Q429/ABS(P429))))</f>
        <v/>
      </c>
      <c r="T429" s="5"/>
      <c r="V429" s="5"/>
      <c r="Z429" s="5"/>
    </row>
    <row r="430" spans="1:26" ht="12">
      <c r="A430" s="17"/>
      <c r="B430" s="17"/>
      <c r="C430" s="17"/>
      <c r="D430" s="40" t="s">
        <v>53</v>
      </c>
      <c r="E430" s="17"/>
      <c r="F430" s="30" t="s">
        <v>865</v>
      </c>
      <c r="G430" s="1"/>
      <c r="H430" s="31"/>
      <c r="I430" s="31"/>
      <c r="J430" s="31"/>
      <c r="K430" s="31"/>
      <c r="L430" s="31"/>
      <c r="M430" s="31"/>
      <c r="N430" s="31"/>
      <c r="O430" s="88">
        <f>SUM(G430:N430)</f>
        <v>0</v>
      </c>
      <c r="P430" s="5" t="str">
        <f>IF(ISNA(HLOOKUP($E$2,'Prior Year FS Balances'!$G$21:$AF$464,391,FALSE)),"",(HLOOKUP($E$2,'Prior Year FS Balances'!$G$21:$AF$464,391,FALSE)))</f>
        <v/>
      </c>
      <c r="Q430" s="5" t="str">
        <f>IF(ISERR(O430-P430),"",(O430-P430))</f>
        <v/>
      </c>
      <c r="R430" s="201" t="str">
        <f>IF($E$7="","",IF(AND(O430=0,P430=0),"",IF(ISERR(Q430/ABS(P430)),100%,Q430/ABS(P430))))</f>
        <v/>
      </c>
      <c r="T430" s="5"/>
      <c r="V430" s="5"/>
      <c r="Z430" s="5"/>
    </row>
    <row r="431" spans="1:26">
      <c r="A431" s="17"/>
      <c r="B431" s="17"/>
      <c r="C431" s="17"/>
      <c r="D431" s="17"/>
      <c r="F431" s="598" t="s">
        <v>549</v>
      </c>
      <c r="G431" s="34">
        <f>SUM(G428:G430)</f>
        <v>0</v>
      </c>
      <c r="H431" s="34">
        <f t="shared" ref="H431:Q431" si="103">SUM(H428:H430)</f>
        <v>0</v>
      </c>
      <c r="I431" s="34">
        <f t="shared" si="103"/>
        <v>0</v>
      </c>
      <c r="J431" s="34">
        <f t="shared" si="103"/>
        <v>0</v>
      </c>
      <c r="K431" s="34">
        <f t="shared" si="103"/>
        <v>0</v>
      </c>
      <c r="L431" s="34">
        <f t="shared" si="103"/>
        <v>0</v>
      </c>
      <c r="M431" s="34">
        <f t="shared" si="103"/>
        <v>0</v>
      </c>
      <c r="N431" s="34">
        <f t="shared" si="103"/>
        <v>0</v>
      </c>
      <c r="O431" s="34">
        <f t="shared" si="103"/>
        <v>0</v>
      </c>
      <c r="P431" s="34">
        <f>SUM(P428:P430)</f>
        <v>0</v>
      </c>
      <c r="Q431" s="34">
        <f t="shared" si="103"/>
        <v>0</v>
      </c>
      <c r="R431" s="202" t="str">
        <f>IF(Q431=0,"0%",IF(ISERR(Q431/ABS(P431)),100%,Q431/ABS(P431)))</f>
        <v>0%</v>
      </c>
      <c r="T431" s="5"/>
      <c r="V431" s="5"/>
      <c r="Z431" s="5"/>
    </row>
    <row r="432" spans="1:26">
      <c r="A432" s="17"/>
      <c r="B432" s="17"/>
      <c r="C432" s="17"/>
      <c r="D432" s="17"/>
      <c r="F432" s="598"/>
      <c r="G432" s="5"/>
      <c r="H432" s="5"/>
      <c r="I432" s="5"/>
      <c r="J432" s="5"/>
      <c r="K432" s="5"/>
      <c r="L432" s="5"/>
      <c r="M432" s="5"/>
      <c r="N432" s="5"/>
      <c r="O432" s="5"/>
      <c r="P432" s="5"/>
      <c r="Q432" s="5"/>
      <c r="R432" s="203"/>
      <c r="T432" s="5"/>
      <c r="V432" s="5"/>
      <c r="Z432" s="5"/>
    </row>
    <row r="433" spans="1:26" ht="12">
      <c r="A433" s="17"/>
      <c r="B433" s="17"/>
      <c r="C433" s="17"/>
      <c r="D433" s="40" t="s">
        <v>368</v>
      </c>
      <c r="E433" s="17"/>
      <c r="F433" s="30" t="s">
        <v>865</v>
      </c>
      <c r="G433" s="1"/>
      <c r="H433" s="31"/>
      <c r="I433" s="31"/>
      <c r="J433" s="31"/>
      <c r="K433" s="31"/>
      <c r="L433" s="31"/>
      <c r="M433" s="31"/>
      <c r="N433" s="31"/>
      <c r="O433" s="88">
        <f>SUM(G433:N433)</f>
        <v>0</v>
      </c>
      <c r="P433" s="5" t="str">
        <f>IF(ISNA(HLOOKUP($E$2,'Prior Year FS Balances'!$G$21:$AF$464,394,FALSE)),"",(HLOOKUP($E$2,'Prior Year FS Balances'!$G$21:$AF$464,394,FALSE)))</f>
        <v/>
      </c>
      <c r="Q433" s="5" t="str">
        <f>IF(ISERR(O433-P433),"",(O433-P433))</f>
        <v/>
      </c>
      <c r="R433" s="201" t="str">
        <f>IF($E$7="","",IF(AND(O433=0,P433=0),"",IF(ISERR(Q433/ABS(P433)),100%,Q433/ABS(P433))))</f>
        <v/>
      </c>
      <c r="T433" s="5"/>
      <c r="V433" s="5"/>
      <c r="Z433" s="5"/>
    </row>
    <row r="434" spans="1:26" ht="12">
      <c r="A434" s="17"/>
      <c r="B434" s="17"/>
      <c r="C434" s="17"/>
      <c r="D434" s="40" t="s">
        <v>52</v>
      </c>
      <c r="E434" s="17"/>
      <c r="F434" s="30" t="s">
        <v>865</v>
      </c>
      <c r="G434" s="1"/>
      <c r="H434" s="31"/>
      <c r="I434" s="31"/>
      <c r="J434" s="31"/>
      <c r="K434" s="31"/>
      <c r="L434" s="31"/>
      <c r="M434" s="31"/>
      <c r="N434" s="31"/>
      <c r="O434" s="88">
        <f>SUM(G434:N434)</f>
        <v>0</v>
      </c>
      <c r="P434" s="5" t="str">
        <f>IF(ISNA(HLOOKUP($E$2,'Prior Year FS Balances'!$G$21:$AF$464,395,FALSE)),"",(HLOOKUP($E$2,'Prior Year FS Balances'!$G$21:$AF$464,395,FALSE)))</f>
        <v/>
      </c>
      <c r="Q434" s="5" t="str">
        <f>IF(ISERR(O434-P434),"",(O434-P434))</f>
        <v/>
      </c>
      <c r="R434" s="201" t="str">
        <f>IF($E$7="","",IF(AND(O434=0,P434=0),"",IF(ISERR(Q434/ABS(P434)),100%,Q434/ABS(P434))))</f>
        <v/>
      </c>
      <c r="T434" s="5"/>
      <c r="V434" s="5"/>
      <c r="Z434" s="5"/>
    </row>
    <row r="435" spans="1:26" ht="12">
      <c r="A435" s="17"/>
      <c r="B435" s="17"/>
      <c r="C435" s="17"/>
      <c r="D435" s="40" t="s">
        <v>53</v>
      </c>
      <c r="E435" s="17"/>
      <c r="F435" s="30" t="s">
        <v>865</v>
      </c>
      <c r="G435" s="1"/>
      <c r="H435" s="31"/>
      <c r="I435" s="31"/>
      <c r="J435" s="31"/>
      <c r="K435" s="31"/>
      <c r="L435" s="31"/>
      <c r="M435" s="31"/>
      <c r="N435" s="31"/>
      <c r="O435" s="88">
        <f>SUM(G435:N435)</f>
        <v>0</v>
      </c>
      <c r="P435" s="5" t="str">
        <f>IF(ISNA(HLOOKUP($E$2,'Prior Year FS Balances'!$G$21:$AF$464,396,FALSE)),"",(HLOOKUP($E$2,'Prior Year FS Balances'!$G$21:$AF$464,396,FALSE)))</f>
        <v/>
      </c>
      <c r="Q435" s="5" t="str">
        <f>IF(ISERR(O435-P435),"",(O435-P435))</f>
        <v/>
      </c>
      <c r="R435" s="201" t="str">
        <f>IF($E$7="","",IF(AND(O435=0,P435=0),"",IF(ISERR(Q435/ABS(P435)),100%,Q435/ABS(P435))))</f>
        <v/>
      </c>
      <c r="T435" s="5"/>
      <c r="V435" s="5"/>
      <c r="Z435" s="5"/>
    </row>
    <row r="436" spans="1:26">
      <c r="A436" s="17"/>
      <c r="B436" s="17"/>
      <c r="C436" s="17"/>
      <c r="D436" s="17"/>
      <c r="F436" s="598" t="s">
        <v>479</v>
      </c>
      <c r="G436" s="34">
        <f>SUM(G433:G435)</f>
        <v>0</v>
      </c>
      <c r="H436" s="34">
        <f t="shared" ref="H436:Q436" si="104">SUM(H433:H435)</f>
        <v>0</v>
      </c>
      <c r="I436" s="34">
        <f t="shared" si="104"/>
        <v>0</v>
      </c>
      <c r="J436" s="34">
        <f t="shared" si="104"/>
        <v>0</v>
      </c>
      <c r="K436" s="34">
        <f t="shared" si="104"/>
        <v>0</v>
      </c>
      <c r="L436" s="34">
        <f t="shared" si="104"/>
        <v>0</v>
      </c>
      <c r="M436" s="34">
        <f t="shared" si="104"/>
        <v>0</v>
      </c>
      <c r="N436" s="34">
        <f t="shared" si="104"/>
        <v>0</v>
      </c>
      <c r="O436" s="34">
        <f t="shared" si="104"/>
        <v>0</v>
      </c>
      <c r="P436" s="34">
        <f t="shared" si="104"/>
        <v>0</v>
      </c>
      <c r="Q436" s="34">
        <f t="shared" si="104"/>
        <v>0</v>
      </c>
      <c r="R436" s="202" t="str">
        <f>IF(Q436=0,"0%",IF(ISERR(Q436/ABS(P436)),100%,Q436/ABS(P436)))</f>
        <v>0%</v>
      </c>
      <c r="T436" s="5"/>
      <c r="V436" s="5"/>
      <c r="Z436" s="5"/>
    </row>
    <row r="437" spans="1:26" ht="12.6" customHeight="1">
      <c r="A437" s="17"/>
      <c r="B437" s="17"/>
      <c r="C437" s="17"/>
      <c r="D437" s="17"/>
      <c r="E437" s="24"/>
      <c r="F437" s="20"/>
      <c r="G437" s="5"/>
      <c r="H437" s="5"/>
      <c r="I437" s="5"/>
      <c r="J437" s="5"/>
      <c r="K437" s="5"/>
      <c r="L437" s="5"/>
      <c r="M437" s="5"/>
      <c r="N437" s="5"/>
      <c r="O437" s="5"/>
      <c r="P437" s="5"/>
      <c r="Q437" s="5"/>
      <c r="R437" s="201"/>
      <c r="T437" s="5"/>
      <c r="V437" s="5"/>
      <c r="Z437" s="5"/>
    </row>
    <row r="438" spans="1:26" ht="12" hidden="1">
      <c r="A438" s="17"/>
      <c r="B438" s="17"/>
      <c r="C438" s="17"/>
      <c r="D438" s="40" t="s">
        <v>626</v>
      </c>
      <c r="E438" s="17"/>
      <c r="F438" s="20"/>
      <c r="G438" s="31"/>
      <c r="H438" s="31"/>
      <c r="I438" s="31"/>
      <c r="J438" s="31"/>
      <c r="K438" s="31"/>
      <c r="L438" s="31"/>
      <c r="M438" s="31"/>
      <c r="N438" s="31"/>
      <c r="O438" s="88"/>
      <c r="P438" s="5">
        <v>0</v>
      </c>
      <c r="Q438" s="5">
        <f>O438-P438</f>
        <v>0</v>
      </c>
      <c r="R438" s="201" t="str">
        <f>IF(Q438=0,"0%",Q438/ABS(P438))</f>
        <v>0%</v>
      </c>
      <c r="T438" s="5"/>
      <c r="V438" s="5"/>
      <c r="Z438" s="5"/>
    </row>
    <row r="439" spans="1:26" ht="12" hidden="1">
      <c r="A439" s="17"/>
      <c r="B439" s="17"/>
      <c r="C439" s="17"/>
      <c r="D439" s="40" t="s">
        <v>340</v>
      </c>
      <c r="E439" s="17"/>
      <c r="F439" s="20"/>
      <c r="G439" s="31"/>
      <c r="H439" s="31"/>
      <c r="I439" s="31"/>
      <c r="J439" s="31"/>
      <c r="K439" s="31"/>
      <c r="L439" s="31"/>
      <c r="M439" s="31"/>
      <c r="N439" s="31"/>
      <c r="O439" s="88"/>
      <c r="P439" s="5">
        <v>0</v>
      </c>
      <c r="Q439" s="5">
        <f>O439-P439</f>
        <v>0</v>
      </c>
      <c r="R439" s="201" t="str">
        <f>IF(Q439=0,"0%",Q439/ABS(P439))</f>
        <v>0%</v>
      </c>
      <c r="T439" s="5"/>
      <c r="V439" s="5"/>
      <c r="Z439" s="5"/>
    </row>
    <row r="440" spans="1:26" ht="12">
      <c r="A440" s="17"/>
      <c r="B440" s="17"/>
      <c r="C440" s="17"/>
      <c r="D440" s="40" t="s">
        <v>51</v>
      </c>
      <c r="E440" s="17"/>
      <c r="F440" s="30" t="s">
        <v>865</v>
      </c>
      <c r="G440" s="1"/>
      <c r="H440" s="31"/>
      <c r="I440" s="31"/>
      <c r="J440" s="31"/>
      <c r="K440" s="31"/>
      <c r="L440" s="31"/>
      <c r="M440" s="31"/>
      <c r="N440" s="31"/>
      <c r="O440" s="88">
        <f t="shared" ref="O440:O446" si="105">SUM(G440:N440)</f>
        <v>0</v>
      </c>
      <c r="P440" s="5" t="str">
        <f>IF(ISNA(HLOOKUP($E$2,'Prior Year FS Balances'!$G$21:$AF$464,401,FALSE)),"",(HLOOKUP($E$2,'Prior Year FS Balances'!$G$21:$AF$464,401,FALSE)))</f>
        <v/>
      </c>
      <c r="Q440" s="5" t="str">
        <f t="shared" ref="Q440:Q446" si="106">IF(ISERR(O440-P440),"",(O440-P440))</f>
        <v/>
      </c>
      <c r="R440" s="201" t="str">
        <f t="shared" ref="R440:R446" si="107">IF($E$7="","",IF(AND(O440=0,P440=0),"",IF(ISERR(Q440/ABS(P440)),100%,Q440/ABS(P440))))</f>
        <v/>
      </c>
      <c r="T440" s="5"/>
      <c r="V440" s="5"/>
      <c r="Z440" s="5"/>
    </row>
    <row r="441" spans="1:26" ht="12">
      <c r="A441" s="17"/>
      <c r="B441" s="17"/>
      <c r="C441" s="17"/>
      <c r="D441" s="40" t="s">
        <v>3222</v>
      </c>
      <c r="E441" s="17"/>
      <c r="F441" s="30" t="s">
        <v>865</v>
      </c>
      <c r="G441" s="1"/>
      <c r="H441" s="31"/>
      <c r="I441" s="31"/>
      <c r="J441" s="31"/>
      <c r="K441" s="31"/>
      <c r="L441" s="31"/>
      <c r="M441" s="31"/>
      <c r="N441" s="31"/>
      <c r="O441" s="88">
        <f t="shared" si="105"/>
        <v>0</v>
      </c>
      <c r="P441" s="5" t="str">
        <f>IF(ISNA(HLOOKUP($E$2,'Prior Year FS Balances'!$G$21:$AF$464,402,FALSE)),"",(HLOOKUP($E$2,'Prior Year FS Balances'!$G$21:$AF$464,402,FALSE)))</f>
        <v/>
      </c>
      <c r="Q441" s="5" t="str">
        <f t="shared" si="106"/>
        <v/>
      </c>
      <c r="R441" s="201" t="str">
        <f t="shared" si="107"/>
        <v/>
      </c>
      <c r="T441" s="5"/>
      <c r="V441" s="5"/>
      <c r="Z441" s="5"/>
    </row>
    <row r="442" spans="1:26" ht="12">
      <c r="A442" s="17"/>
      <c r="B442" s="17"/>
      <c r="C442" s="17"/>
      <c r="D442" s="40" t="s">
        <v>462</v>
      </c>
      <c r="E442" s="17"/>
      <c r="F442" s="30" t="s">
        <v>865</v>
      </c>
      <c r="G442" s="1"/>
      <c r="H442" s="31"/>
      <c r="I442" s="31"/>
      <c r="J442" s="31"/>
      <c r="K442" s="31"/>
      <c r="L442" s="31"/>
      <c r="M442" s="31"/>
      <c r="N442" s="31"/>
      <c r="O442" s="88">
        <f t="shared" si="105"/>
        <v>0</v>
      </c>
      <c r="P442" s="5" t="str">
        <f>IF(ISNA(HLOOKUP($E$2,'Prior Year FS Balances'!$G$21:$AF$464,403,FALSE)),"",(HLOOKUP($E$2,'Prior Year FS Balances'!$G$21:$AF$464,403,FALSE)))</f>
        <v/>
      </c>
      <c r="Q442" s="5" t="str">
        <f t="shared" si="106"/>
        <v/>
      </c>
      <c r="R442" s="201" t="str">
        <f t="shared" si="107"/>
        <v/>
      </c>
      <c r="T442" s="5"/>
      <c r="V442" s="5"/>
      <c r="Z442" s="5"/>
    </row>
    <row r="443" spans="1:26">
      <c r="A443" s="17"/>
      <c r="B443" s="17"/>
      <c r="C443" s="17"/>
      <c r="D443" s="40" t="s">
        <v>3209</v>
      </c>
      <c r="E443" s="17"/>
      <c r="F443" s="30" t="s">
        <v>865</v>
      </c>
      <c r="G443" s="1"/>
      <c r="H443" s="31"/>
      <c r="I443" s="31"/>
      <c r="J443" s="31"/>
      <c r="K443" s="31"/>
      <c r="L443" s="31"/>
      <c r="M443" s="31"/>
      <c r="N443" s="31"/>
      <c r="O443" s="88">
        <f t="shared" si="105"/>
        <v>0</v>
      </c>
      <c r="P443" s="5" t="str">
        <f>IF(ISNA(HLOOKUP($E$2,'Prior Year FS Balances'!$G$21:$AF$464,404,FALSE)),"",(HLOOKUP($E$2,'Prior Year FS Balances'!$G$21:$AF$464,404,FALSE)))</f>
        <v/>
      </c>
      <c r="Q443" s="5" t="str">
        <f t="shared" si="106"/>
        <v/>
      </c>
      <c r="R443" s="201" t="str">
        <f t="shared" si="107"/>
        <v/>
      </c>
      <c r="T443" s="5"/>
      <c r="V443" s="5"/>
      <c r="Z443" s="5"/>
    </row>
    <row r="444" spans="1:26" ht="12">
      <c r="A444" s="17"/>
      <c r="B444" s="17"/>
      <c r="C444" s="17"/>
      <c r="D444" s="17" t="s">
        <v>3448</v>
      </c>
      <c r="E444" s="17"/>
      <c r="F444" s="30" t="s">
        <v>865</v>
      </c>
      <c r="G444" s="1"/>
      <c r="H444" s="31"/>
      <c r="I444" s="31"/>
      <c r="J444" s="31"/>
      <c r="K444" s="31"/>
      <c r="L444" s="31"/>
      <c r="M444" s="31"/>
      <c r="N444" s="31"/>
      <c r="O444" s="88">
        <f t="shared" ref="O444" si="108">SUM(G444:N444)</f>
        <v>0</v>
      </c>
      <c r="P444" s="5" t="str">
        <f>IF(ISNA(HLOOKUP($E$2,'Prior Year FS Balances'!$G$21:$AF$464,405,FALSE)),"",(HLOOKUP($E$2,'Prior Year FS Balances'!$G$21:$AF$464,405,FALSE)))</f>
        <v/>
      </c>
      <c r="Q444" s="5" t="str">
        <f t="shared" ref="Q444" si="109">IF(ISERR(O444-P444),"",(O444-P444))</f>
        <v/>
      </c>
      <c r="R444" s="201" t="str">
        <f t="shared" ref="R444" si="110">IF($E$7="","",IF(AND(O444=0,P444=0),"",IF(ISERR(Q444/ABS(P444)),100%,Q444/ABS(P444))))</f>
        <v/>
      </c>
      <c r="T444" s="5"/>
      <c r="V444" s="5"/>
      <c r="Z444" s="5"/>
    </row>
    <row r="445" spans="1:26" ht="12">
      <c r="A445" s="17"/>
      <c r="B445" s="17"/>
      <c r="C445" s="17"/>
      <c r="D445" s="40" t="s">
        <v>463</v>
      </c>
      <c r="E445" s="17"/>
      <c r="F445" s="30" t="s">
        <v>865</v>
      </c>
      <c r="G445" s="1"/>
      <c r="H445" s="31"/>
      <c r="I445" s="31"/>
      <c r="J445" s="31"/>
      <c r="K445" s="31"/>
      <c r="L445" s="31"/>
      <c r="M445" s="31"/>
      <c r="N445" s="31"/>
      <c r="O445" s="88">
        <f t="shared" si="105"/>
        <v>0</v>
      </c>
      <c r="P445" s="5" t="str">
        <f>IF(ISNA(HLOOKUP($E$2,'Prior Year FS Balances'!$G$21:$AF$464,406,FALSE)),"",(HLOOKUP($E$2,'Prior Year FS Balances'!$G$21:$AF$464,406,FALSE)))</f>
        <v/>
      </c>
      <c r="Q445" s="5" t="str">
        <f t="shared" si="106"/>
        <v/>
      </c>
      <c r="R445" s="201" t="str">
        <f t="shared" si="107"/>
        <v/>
      </c>
      <c r="T445" s="5"/>
      <c r="V445" s="5"/>
      <c r="Z445" s="5"/>
    </row>
    <row r="446" spans="1:26" ht="12">
      <c r="A446" s="17"/>
      <c r="B446" s="17"/>
      <c r="C446" s="17"/>
      <c r="D446" s="40" t="s">
        <v>84</v>
      </c>
      <c r="E446" s="17"/>
      <c r="F446" s="30" t="s">
        <v>865</v>
      </c>
      <c r="G446" s="1"/>
      <c r="H446" s="31"/>
      <c r="I446" s="31"/>
      <c r="J446" s="31"/>
      <c r="K446" s="31"/>
      <c r="L446" s="31"/>
      <c r="M446" s="31"/>
      <c r="N446" s="31"/>
      <c r="O446" s="88">
        <f t="shared" si="105"/>
        <v>0</v>
      </c>
      <c r="P446" s="5" t="str">
        <f>IF(ISNA(HLOOKUP($E$2,'Prior Year FS Balances'!$G$21:$AF$464,407,FALSE)),"",(HLOOKUP($E$2,'Prior Year FS Balances'!$G$21:$AF$464,407,FALSE)))</f>
        <v/>
      </c>
      <c r="Q446" s="5" t="str">
        <f t="shared" si="106"/>
        <v/>
      </c>
      <c r="R446" s="201" t="str">
        <f t="shared" si="107"/>
        <v/>
      </c>
      <c r="T446" s="5"/>
      <c r="V446" s="5"/>
      <c r="Z446" s="5"/>
    </row>
    <row r="447" spans="1:26" ht="12">
      <c r="A447" s="17"/>
      <c r="B447" s="17"/>
      <c r="C447" s="17"/>
      <c r="D447" s="40"/>
      <c r="E447" s="17"/>
      <c r="F447" s="598" t="s">
        <v>550</v>
      </c>
      <c r="G447" s="34">
        <f t="shared" ref="G447:Q447" si="111">SUM(G438:G446)</f>
        <v>0</v>
      </c>
      <c r="H447" s="34">
        <f t="shared" si="111"/>
        <v>0</v>
      </c>
      <c r="I447" s="34">
        <f t="shared" si="111"/>
        <v>0</v>
      </c>
      <c r="J447" s="34">
        <f>SUM(J438:J446)</f>
        <v>0</v>
      </c>
      <c r="K447" s="34">
        <f t="shared" si="111"/>
        <v>0</v>
      </c>
      <c r="L447" s="34">
        <f t="shared" si="111"/>
        <v>0</v>
      </c>
      <c r="M447" s="34">
        <f t="shared" si="111"/>
        <v>0</v>
      </c>
      <c r="N447" s="34">
        <f t="shared" si="111"/>
        <v>0</v>
      </c>
      <c r="O447" s="34">
        <f t="shared" si="111"/>
        <v>0</v>
      </c>
      <c r="P447" s="34">
        <f t="shared" si="111"/>
        <v>0</v>
      </c>
      <c r="Q447" s="34">
        <f t="shared" si="111"/>
        <v>0</v>
      </c>
      <c r="R447" s="202" t="str">
        <f>IF(Q447=0,"0%",IF(ISERR(Q447/ABS(P447)),100%,Q447/ABS(P447)))</f>
        <v>0%</v>
      </c>
      <c r="T447" s="5"/>
      <c r="V447" s="5"/>
      <c r="Z447" s="5"/>
    </row>
    <row r="448" spans="1:26" ht="12">
      <c r="A448" s="17"/>
      <c r="B448" s="17"/>
      <c r="C448" s="17"/>
      <c r="D448" s="40"/>
      <c r="E448" s="17"/>
      <c r="F448" s="20"/>
      <c r="G448" s="5"/>
      <c r="H448" s="5"/>
      <c r="I448" s="5"/>
      <c r="J448" s="5"/>
      <c r="K448" s="5"/>
      <c r="L448" s="5"/>
      <c r="M448" s="5"/>
      <c r="N448" s="5"/>
      <c r="O448" s="5"/>
      <c r="P448" s="5"/>
      <c r="Q448" s="5"/>
      <c r="R448" s="201"/>
      <c r="T448" s="5"/>
      <c r="V448" s="5"/>
      <c r="Z448" s="5"/>
    </row>
    <row r="449" spans="1:26" ht="12" hidden="1">
      <c r="A449" s="17"/>
      <c r="B449" s="17"/>
      <c r="C449" s="17"/>
      <c r="D449" s="40" t="s">
        <v>626</v>
      </c>
      <c r="E449" s="17"/>
      <c r="F449" s="20"/>
      <c r="G449" s="31"/>
      <c r="H449" s="31"/>
      <c r="I449" s="31"/>
      <c r="J449" s="31"/>
      <c r="K449" s="31"/>
      <c r="L449" s="31"/>
      <c r="M449" s="31"/>
      <c r="N449" s="31"/>
      <c r="O449" s="88"/>
      <c r="P449" s="5">
        <v>0</v>
      </c>
      <c r="Q449" s="5">
        <f>O449-P449</f>
        <v>0</v>
      </c>
      <c r="R449" s="201" t="str">
        <f>IF(Q449=0,"0%",Q449/ABS(P449))</f>
        <v>0%</v>
      </c>
      <c r="T449" s="5"/>
      <c r="V449" s="5"/>
      <c r="Z449" s="5"/>
    </row>
    <row r="450" spans="1:26" ht="12" hidden="1">
      <c r="A450" s="17"/>
      <c r="B450" s="17"/>
      <c r="C450" s="17"/>
      <c r="D450" s="40" t="s">
        <v>340</v>
      </c>
      <c r="E450" s="17"/>
      <c r="F450" s="20"/>
      <c r="G450" s="31"/>
      <c r="H450" s="31"/>
      <c r="I450" s="31"/>
      <c r="J450" s="31"/>
      <c r="K450" s="31"/>
      <c r="L450" s="31"/>
      <c r="M450" s="31"/>
      <c r="N450" s="31"/>
      <c r="O450" s="88"/>
      <c r="P450" s="5">
        <v>0</v>
      </c>
      <c r="Q450" s="5">
        <f>O450-P450</f>
        <v>0</v>
      </c>
      <c r="R450" s="201" t="str">
        <f>IF(Q450=0,"0%",Q450/ABS(P450))</f>
        <v>0%</v>
      </c>
      <c r="T450" s="5"/>
      <c r="V450" s="5"/>
      <c r="Z450" s="5"/>
    </row>
    <row r="451" spans="1:26" ht="12">
      <c r="A451" s="17"/>
      <c r="B451" s="17"/>
      <c r="C451" s="17"/>
      <c r="D451" s="40" t="s">
        <v>51</v>
      </c>
      <c r="E451" s="17"/>
      <c r="F451" s="30" t="s">
        <v>865</v>
      </c>
      <c r="G451" s="1"/>
      <c r="H451" s="31"/>
      <c r="I451" s="31"/>
      <c r="J451" s="31"/>
      <c r="K451" s="31"/>
      <c r="L451" s="31"/>
      <c r="M451" s="31"/>
      <c r="N451" s="31"/>
      <c r="O451" s="88">
        <f t="shared" ref="O451:O459" si="112">SUM(G451:N451)</f>
        <v>0</v>
      </c>
      <c r="P451" s="5" t="str">
        <f>IF(ISNA(HLOOKUP($E$2,'Prior Year FS Balances'!$G$21:$AF$464,412,FALSE)),"",(HLOOKUP($E$2,'Prior Year FS Balances'!$G$21:$AF$464,412,FALSE)))</f>
        <v/>
      </c>
      <c r="Q451" s="5" t="str">
        <f t="shared" ref="Q451:Q459" si="113">IF(ISERR(O451-P451),"",(O451-P451))</f>
        <v/>
      </c>
      <c r="R451" s="201" t="str">
        <f t="shared" ref="R451:R459" si="114">IF($E$7="","",IF(AND(O451=0,P451=0),"",IF(ISERR(Q451/ABS(P451)),100%,Q451/ABS(P451))))</f>
        <v/>
      </c>
      <c r="T451" s="5"/>
      <c r="V451" s="5"/>
      <c r="Z451" s="5"/>
    </row>
    <row r="452" spans="1:26" ht="12">
      <c r="A452" s="17"/>
      <c r="B452" s="17"/>
      <c r="C452" s="17"/>
      <c r="D452" s="40" t="s">
        <v>3222</v>
      </c>
      <c r="E452" s="17"/>
      <c r="F452" s="30" t="s">
        <v>865</v>
      </c>
      <c r="G452" s="1"/>
      <c r="H452" s="31"/>
      <c r="I452" s="31"/>
      <c r="J452" s="31"/>
      <c r="K452" s="31"/>
      <c r="L452" s="31"/>
      <c r="M452" s="31"/>
      <c r="N452" s="31"/>
      <c r="O452" s="88">
        <f t="shared" si="112"/>
        <v>0</v>
      </c>
      <c r="P452" s="5" t="str">
        <f>IF(ISNA(HLOOKUP($E$2,'Prior Year FS Balances'!$G$21:$AF$464,413,FALSE)),"",(HLOOKUP($E$2,'Prior Year FS Balances'!$G$21:$AF$464,413,FALSE)))</f>
        <v/>
      </c>
      <c r="Q452" s="5" t="str">
        <f t="shared" si="113"/>
        <v/>
      </c>
      <c r="R452" s="201" t="str">
        <f t="shared" si="114"/>
        <v/>
      </c>
      <c r="T452" s="5"/>
      <c r="V452" s="5"/>
      <c r="Z452" s="5"/>
    </row>
    <row r="453" spans="1:26" ht="12">
      <c r="A453" s="17"/>
      <c r="B453" s="17"/>
      <c r="C453" s="17"/>
      <c r="D453" s="40" t="s">
        <v>462</v>
      </c>
      <c r="E453" s="17"/>
      <c r="F453" s="30" t="s">
        <v>865</v>
      </c>
      <c r="G453" s="1"/>
      <c r="H453" s="31"/>
      <c r="I453" s="31"/>
      <c r="J453" s="31"/>
      <c r="K453" s="31"/>
      <c r="L453" s="31"/>
      <c r="M453" s="31"/>
      <c r="N453" s="31"/>
      <c r="O453" s="88">
        <f t="shared" si="112"/>
        <v>0</v>
      </c>
      <c r="P453" s="5" t="str">
        <f>IF(ISNA(HLOOKUP($E$2,'Prior Year FS Balances'!$G$21:$AF$464,414,FALSE)),"",(HLOOKUP($E$2,'Prior Year FS Balances'!$G$21:$AF$464,414,FALSE)))</f>
        <v/>
      </c>
      <c r="Q453" s="5" t="str">
        <f t="shared" si="113"/>
        <v/>
      </c>
      <c r="R453" s="201" t="str">
        <f t="shared" si="114"/>
        <v/>
      </c>
      <c r="T453" s="5"/>
      <c r="V453" s="5"/>
      <c r="Z453" s="5"/>
    </row>
    <row r="454" spans="1:26">
      <c r="A454" s="17"/>
      <c r="B454" s="17"/>
      <c r="C454" s="17"/>
      <c r="D454" s="40" t="s">
        <v>3209</v>
      </c>
      <c r="E454" s="17"/>
      <c r="F454" s="30" t="s">
        <v>865</v>
      </c>
      <c r="G454" s="1"/>
      <c r="H454" s="31"/>
      <c r="I454" s="31"/>
      <c r="J454" s="31"/>
      <c r="K454" s="31"/>
      <c r="L454" s="31"/>
      <c r="M454" s="31"/>
      <c r="N454" s="31"/>
      <c r="O454" s="88">
        <f t="shared" si="112"/>
        <v>0</v>
      </c>
      <c r="P454" s="5" t="str">
        <f>IF(ISNA(HLOOKUP($E$2,'Prior Year FS Balances'!$G$21:$AF$464,415,FALSE)),"",(HLOOKUP($E$2,'Prior Year FS Balances'!$G$21:$AF$464,415,FALSE)))</f>
        <v/>
      </c>
      <c r="Q454" s="5" t="str">
        <f t="shared" si="113"/>
        <v/>
      </c>
      <c r="R454" s="201" t="str">
        <f t="shared" si="114"/>
        <v/>
      </c>
      <c r="T454" s="5"/>
      <c r="V454" s="5"/>
      <c r="Z454" s="5"/>
    </row>
    <row r="455" spans="1:26" ht="23.25" customHeight="1">
      <c r="A455" s="17"/>
      <c r="B455" s="17"/>
      <c r="C455" s="17"/>
      <c r="D455" s="1068" t="s">
        <v>3448</v>
      </c>
      <c r="E455" s="1051"/>
      <c r="F455" s="30" t="s">
        <v>865</v>
      </c>
      <c r="G455" s="1"/>
      <c r="H455" s="31"/>
      <c r="I455" s="31"/>
      <c r="J455" s="31"/>
      <c r="K455" s="31"/>
      <c r="L455" s="31"/>
      <c r="M455" s="31"/>
      <c r="N455" s="31"/>
      <c r="O455" s="88">
        <f t="shared" si="112"/>
        <v>0</v>
      </c>
      <c r="P455" s="5" t="str">
        <f>IF(ISNA(HLOOKUP($E$2,'Prior Year FS Balances'!$G$21:$AF$464,416,FALSE)),"",(HLOOKUP($E$2,'Prior Year FS Balances'!$G$21:$AF$464,416,FALSE)))</f>
        <v/>
      </c>
      <c r="Q455" s="5" t="str">
        <f t="shared" si="113"/>
        <v/>
      </c>
      <c r="R455" s="201" t="str">
        <f t="shared" si="114"/>
        <v/>
      </c>
      <c r="T455" s="5"/>
      <c r="V455" s="5"/>
      <c r="Z455" s="5"/>
    </row>
    <row r="456" spans="1:26" ht="10.5" customHeight="1">
      <c r="A456" s="17"/>
      <c r="B456" s="17"/>
      <c r="C456" s="17"/>
      <c r="D456" s="40" t="s">
        <v>463</v>
      </c>
      <c r="E456" s="17"/>
      <c r="F456" s="30" t="s">
        <v>865</v>
      </c>
      <c r="G456" s="1"/>
      <c r="H456" s="31"/>
      <c r="I456" s="31"/>
      <c r="J456" s="31"/>
      <c r="K456" s="31"/>
      <c r="L456" s="31"/>
      <c r="M456" s="31"/>
      <c r="N456" s="31"/>
      <c r="O456" s="88">
        <f t="shared" si="112"/>
        <v>0</v>
      </c>
      <c r="P456" s="5" t="str">
        <f>IF(ISNA(HLOOKUP($E$2,'Prior Year FS Balances'!$G$21:$AF$464,417,FALSE)),"",(HLOOKUP($E$2,'Prior Year FS Balances'!$G$21:$AF$464,417,FALSE)))</f>
        <v/>
      </c>
      <c r="Q456" s="5" t="str">
        <f t="shared" si="113"/>
        <v/>
      </c>
      <c r="R456" s="201" t="str">
        <f t="shared" si="114"/>
        <v/>
      </c>
      <c r="T456" s="5"/>
      <c r="V456" s="5"/>
      <c r="Z456" s="5"/>
    </row>
    <row r="457" spans="1:26" ht="12">
      <c r="A457" s="17"/>
      <c r="B457" s="17"/>
      <c r="C457" s="17"/>
      <c r="D457" s="40" t="s">
        <v>84</v>
      </c>
      <c r="E457" s="17"/>
      <c r="F457" s="30" t="s">
        <v>865</v>
      </c>
      <c r="G457" s="1"/>
      <c r="H457" s="31"/>
      <c r="I457" s="31"/>
      <c r="J457" s="31"/>
      <c r="K457" s="31"/>
      <c r="L457" s="31"/>
      <c r="M457" s="31"/>
      <c r="N457" s="31"/>
      <c r="O457" s="88">
        <f t="shared" si="112"/>
        <v>0</v>
      </c>
      <c r="P457" s="5" t="str">
        <f>IF(ISNA(HLOOKUP($E$2,'Prior Year FS Balances'!$G$21:$AF$464,418,FALSE)),"",(HLOOKUP($E$2,'Prior Year FS Balances'!$G$21:$AF$464,418,FALSE)))</f>
        <v/>
      </c>
      <c r="Q457" s="5" t="str">
        <f t="shared" si="113"/>
        <v/>
      </c>
      <c r="R457" s="201" t="str">
        <f t="shared" si="114"/>
        <v/>
      </c>
      <c r="T457" s="5"/>
      <c r="V457" s="5"/>
      <c r="Z457" s="5"/>
    </row>
    <row r="458" spans="1:26" ht="12" hidden="1">
      <c r="A458" s="17"/>
      <c r="B458" s="17"/>
      <c r="C458" s="17"/>
      <c r="D458" s="599" t="s">
        <v>818</v>
      </c>
      <c r="E458" s="17"/>
      <c r="F458" s="30" t="s">
        <v>865</v>
      </c>
      <c r="G458" s="31"/>
      <c r="H458" s="600"/>
      <c r="I458" s="600"/>
      <c r="J458" s="600"/>
      <c r="K458" s="600"/>
      <c r="L458" s="600"/>
      <c r="M458" s="600"/>
      <c r="N458" s="600"/>
      <c r="O458" s="88">
        <f t="shared" si="112"/>
        <v>0</v>
      </c>
      <c r="P458" s="5"/>
      <c r="Q458" s="5">
        <f t="shared" si="113"/>
        <v>0</v>
      </c>
      <c r="R458" s="201" t="str">
        <f t="shared" si="114"/>
        <v/>
      </c>
      <c r="T458" s="5"/>
      <c r="V458" s="5"/>
      <c r="Z458" s="5"/>
    </row>
    <row r="459" spans="1:26" ht="12" hidden="1">
      <c r="A459" s="17"/>
      <c r="B459" s="17"/>
      <c r="C459" s="17"/>
      <c r="D459" s="577" t="s">
        <v>2706</v>
      </c>
      <c r="E459" s="17"/>
      <c r="F459" s="30" t="s">
        <v>865</v>
      </c>
      <c r="G459" s="31"/>
      <c r="H459" s="600"/>
      <c r="I459" s="600"/>
      <c r="J459" s="600"/>
      <c r="K459" s="600"/>
      <c r="L459" s="600"/>
      <c r="M459" s="600"/>
      <c r="N459" s="600"/>
      <c r="O459" s="88">
        <f t="shared" si="112"/>
        <v>0</v>
      </c>
      <c r="P459" s="5"/>
      <c r="Q459" s="5">
        <f t="shared" si="113"/>
        <v>0</v>
      </c>
      <c r="R459" s="201" t="str">
        <f t="shared" si="114"/>
        <v/>
      </c>
      <c r="T459" s="5"/>
      <c r="V459" s="5"/>
      <c r="Z459" s="5"/>
    </row>
    <row r="460" spans="1:26" ht="12">
      <c r="A460" s="17"/>
      <c r="B460" s="17"/>
      <c r="C460" s="17"/>
      <c r="D460" s="40"/>
      <c r="E460" s="17"/>
      <c r="F460" s="598" t="s">
        <v>480</v>
      </c>
      <c r="G460" s="34">
        <f>SUM(G451:G459)</f>
        <v>0</v>
      </c>
      <c r="H460" s="34">
        <f t="shared" ref="H460:Q460" si="115">SUM(H449:H459)</f>
        <v>0</v>
      </c>
      <c r="I460" s="34">
        <f t="shared" si="115"/>
        <v>0</v>
      </c>
      <c r="J460" s="34">
        <f>SUM(J449:J459)</f>
        <v>0</v>
      </c>
      <c r="K460" s="34">
        <f t="shared" si="115"/>
        <v>0</v>
      </c>
      <c r="L460" s="34">
        <f t="shared" si="115"/>
        <v>0</v>
      </c>
      <c r="M460" s="34">
        <f t="shared" si="115"/>
        <v>0</v>
      </c>
      <c r="N460" s="34">
        <f t="shared" si="115"/>
        <v>0</v>
      </c>
      <c r="O460" s="34">
        <f t="shared" si="115"/>
        <v>0</v>
      </c>
      <c r="P460" s="34">
        <f t="shared" si="115"/>
        <v>0</v>
      </c>
      <c r="Q460" s="34">
        <f t="shared" si="115"/>
        <v>0</v>
      </c>
      <c r="R460" s="202" t="str">
        <f>IF(Q460=0,"0%",IF(ISERR(Q460/ABS(P460)),100%,Q460/ABS(P460)))</f>
        <v>0%</v>
      </c>
      <c r="T460" s="5"/>
      <c r="V460" s="5"/>
      <c r="Z460" s="5"/>
    </row>
    <row r="461" spans="1:26" ht="12">
      <c r="A461" s="17"/>
      <c r="B461" s="17"/>
      <c r="C461" s="17"/>
      <c r="D461" s="40"/>
      <c r="E461" s="17"/>
      <c r="F461" s="598"/>
      <c r="G461" s="5"/>
      <c r="H461" s="5"/>
      <c r="I461" s="5"/>
      <c r="J461" s="5"/>
      <c r="K461" s="5"/>
      <c r="L461" s="5"/>
      <c r="M461" s="5"/>
      <c r="N461" s="5"/>
      <c r="O461" s="5"/>
      <c r="P461" s="5"/>
      <c r="Q461" s="5"/>
      <c r="R461" s="201"/>
      <c r="T461" s="5"/>
      <c r="V461" s="5"/>
      <c r="Z461" s="5"/>
    </row>
    <row r="462" spans="1:26">
      <c r="A462" s="17"/>
      <c r="B462" s="17"/>
      <c r="C462" s="40" t="s">
        <v>833</v>
      </c>
      <c r="E462" s="40"/>
      <c r="F462" s="17"/>
      <c r="G462" s="5"/>
      <c r="H462" s="5"/>
      <c r="I462" s="5"/>
      <c r="J462" s="5"/>
      <c r="K462" s="5"/>
      <c r="L462" s="5"/>
      <c r="M462" s="5"/>
      <c r="N462" s="5"/>
      <c r="O462" s="5"/>
      <c r="P462" s="5"/>
      <c r="Q462" s="5"/>
      <c r="R462" s="201"/>
      <c r="T462" s="5"/>
      <c r="V462" s="5"/>
      <c r="Z462" s="5"/>
    </row>
    <row r="463" spans="1:26">
      <c r="A463" s="17"/>
      <c r="B463" s="17"/>
      <c r="C463" s="17"/>
      <c r="D463" s="40" t="s">
        <v>834</v>
      </c>
      <c r="F463" s="30" t="s">
        <v>865</v>
      </c>
      <c r="G463" s="1"/>
      <c r="H463" s="31"/>
      <c r="I463" s="31"/>
      <c r="J463" s="31"/>
      <c r="K463" s="31"/>
      <c r="L463" s="31"/>
      <c r="M463" s="31"/>
      <c r="N463" s="31"/>
      <c r="O463" s="88">
        <f t="shared" ref="O463:O464" si="116">SUM(G463:N463)</f>
        <v>0</v>
      </c>
      <c r="P463" s="5" t="str">
        <f>IF(ISNA(HLOOKUP($E$2,'Prior Year FS Balances'!$G$21:$AF$464,424,FALSE)),"",(HLOOKUP($E$2,'Prior Year FS Balances'!$G$21:$AF$464,424,FALSE)))</f>
        <v/>
      </c>
      <c r="Q463" s="5" t="str">
        <f t="shared" ref="Q463:Q464" si="117">IF(ISERR(O463-P463),"",(O463-P463))</f>
        <v/>
      </c>
      <c r="R463" s="201"/>
      <c r="T463" s="5"/>
      <c r="V463" s="5"/>
      <c r="Z463" s="5"/>
    </row>
    <row r="464" spans="1:26">
      <c r="A464" s="17"/>
      <c r="B464" s="17"/>
      <c r="C464" s="17"/>
      <c r="D464" s="40" t="s">
        <v>836</v>
      </c>
      <c r="F464" s="30" t="s">
        <v>865</v>
      </c>
      <c r="G464" s="1"/>
      <c r="H464" s="31"/>
      <c r="I464" s="31"/>
      <c r="J464" s="31"/>
      <c r="K464" s="31"/>
      <c r="L464" s="31"/>
      <c r="M464" s="31"/>
      <c r="N464" s="31"/>
      <c r="O464" s="88">
        <f t="shared" si="116"/>
        <v>0</v>
      </c>
      <c r="P464" s="5" t="str">
        <f>IF(ISNA(HLOOKUP($E$2,'Prior Year FS Balances'!$G$21:$AF$464,425,FALSE)),"",(HLOOKUP($E$2,'Prior Year FS Balances'!$G$21:$AF$464,425,FALSE)))</f>
        <v/>
      </c>
      <c r="Q464" s="5" t="str">
        <f t="shared" si="117"/>
        <v/>
      </c>
      <c r="R464" s="201"/>
      <c r="T464" s="5"/>
      <c r="V464" s="5"/>
      <c r="Z464" s="5"/>
    </row>
    <row r="465" spans="1:26" hidden="1">
      <c r="A465" s="17"/>
      <c r="B465" s="17"/>
      <c r="C465" s="17"/>
      <c r="D465" s="40"/>
      <c r="F465" s="598"/>
      <c r="G465" s="34"/>
      <c r="H465" s="34">
        <f t="shared" ref="H465:N465" si="118">SUM(H456:H464)</f>
        <v>0</v>
      </c>
      <c r="I465" s="34">
        <f t="shared" si="118"/>
        <v>0</v>
      </c>
      <c r="J465" s="34">
        <f>SUM(J456:J464)</f>
        <v>0</v>
      </c>
      <c r="K465" s="34">
        <f t="shared" si="118"/>
        <v>0</v>
      </c>
      <c r="L465" s="34">
        <f t="shared" si="118"/>
        <v>0</v>
      </c>
      <c r="M465" s="34">
        <f t="shared" si="118"/>
        <v>0</v>
      </c>
      <c r="N465" s="34">
        <f t="shared" si="118"/>
        <v>0</v>
      </c>
      <c r="O465" s="34"/>
      <c r="P465" s="34"/>
      <c r="Q465" s="34"/>
      <c r="R465" s="202"/>
      <c r="T465" s="5"/>
      <c r="V465" s="5"/>
      <c r="Z465" s="5"/>
    </row>
    <row r="466" spans="1:26" ht="12">
      <c r="A466" s="17"/>
      <c r="B466" s="17"/>
      <c r="C466" s="17"/>
      <c r="D466" s="40"/>
      <c r="E466" s="17"/>
      <c r="F466" s="598"/>
      <c r="G466" s="5"/>
      <c r="H466" s="5"/>
      <c r="I466" s="5"/>
      <c r="J466" s="5"/>
      <c r="K466" s="5"/>
      <c r="L466" s="5"/>
      <c r="M466" s="5"/>
      <c r="N466" s="5"/>
      <c r="O466" s="5"/>
      <c r="P466" s="5"/>
      <c r="Q466" s="5"/>
      <c r="R466" s="201"/>
      <c r="T466" s="5"/>
      <c r="V466" s="5"/>
      <c r="Z466" s="5"/>
    </row>
    <row r="467" spans="1:26" ht="12.6" thickBot="1">
      <c r="A467" s="24" t="s">
        <v>598</v>
      </c>
      <c r="B467" s="17"/>
      <c r="C467" s="17"/>
      <c r="D467" s="17"/>
      <c r="E467" s="17"/>
      <c r="F467" s="30"/>
      <c r="G467" s="38">
        <f>IF(SUM(G399,G402:G406,G409:G426,G431,G436,G447,G460,G463,G464)=G327,SUM(G399,G402:G406,G409:G426,G431,G436,G447,G460,G463,G464),"ERROR")</f>
        <v>0</v>
      </c>
      <c r="H467" s="38">
        <f t="shared" ref="H467:Q467" si="119">IF(SUM(H399,H402:H406,H409:H426,H431,H436,H447,H460,H463,H464)=H327,SUM(H399,H402:H406,H409:H426,H431,H436,H447,H460,H463,H464),"ERROR")</f>
        <v>0</v>
      </c>
      <c r="I467" s="38">
        <f t="shared" si="119"/>
        <v>0</v>
      </c>
      <c r="J467" s="38">
        <f t="shared" si="119"/>
        <v>0</v>
      </c>
      <c r="K467" s="38">
        <f t="shared" si="119"/>
        <v>0</v>
      </c>
      <c r="L467" s="38">
        <f t="shared" si="119"/>
        <v>0</v>
      </c>
      <c r="M467" s="38">
        <f t="shared" si="119"/>
        <v>0</v>
      </c>
      <c r="N467" s="38">
        <f t="shared" si="119"/>
        <v>0</v>
      </c>
      <c r="O467" s="38">
        <f t="shared" si="119"/>
        <v>0</v>
      </c>
      <c r="P467" s="38">
        <f t="shared" si="119"/>
        <v>0</v>
      </c>
      <c r="Q467" s="38">
        <f t="shared" si="119"/>
        <v>0</v>
      </c>
      <c r="R467" s="202" t="str">
        <f>IF(Q467=0,"0%",IF(ISERR(Q467/ABS(P467)),100%,Q467/ABS(P467)))</f>
        <v>0%</v>
      </c>
      <c r="T467" s="38">
        <f>(SUM(O399,O402:O406,O409:O422,O423,O424,O431,O436,O447,O460))-O327</f>
        <v>0</v>
      </c>
    </row>
    <row r="468" spans="1:26" ht="12.6" thickTop="1">
      <c r="A468" s="27"/>
      <c r="B468" s="17"/>
      <c r="C468" s="17"/>
      <c r="D468" s="17"/>
      <c r="E468" s="17"/>
      <c r="F468" s="584" t="s">
        <v>146</v>
      </c>
      <c r="G468" s="585">
        <f>(SUM(G399,G402:G406,G409:G426,G431,G436,G447,G460,G463,G464))-G327</f>
        <v>0</v>
      </c>
      <c r="H468" s="585">
        <f t="shared" ref="H468:P468" si="120">(SUM(H399,H402:H406,H409:H426,H431,H436,H447,H460,H463,H464))-H327</f>
        <v>0</v>
      </c>
      <c r="I468" s="585">
        <f t="shared" si="120"/>
        <v>0</v>
      </c>
      <c r="J468" s="585">
        <f t="shared" si="120"/>
        <v>0</v>
      </c>
      <c r="K468" s="585">
        <f t="shared" si="120"/>
        <v>0</v>
      </c>
      <c r="L468" s="585">
        <f t="shared" si="120"/>
        <v>0</v>
      </c>
      <c r="M468" s="585">
        <f t="shared" si="120"/>
        <v>0</v>
      </c>
      <c r="N468" s="585">
        <f t="shared" si="120"/>
        <v>0</v>
      </c>
      <c r="O468" s="585">
        <f t="shared" si="120"/>
        <v>0</v>
      </c>
      <c r="P468" s="585">
        <f t="shared" si="120"/>
        <v>0</v>
      </c>
      <c r="Q468" s="585"/>
      <c r="R468" s="201"/>
    </row>
    <row r="469" spans="1:26" ht="12">
      <c r="A469" s="18" t="s">
        <v>68</v>
      </c>
      <c r="B469" s="17"/>
      <c r="C469" s="17"/>
      <c r="D469" s="17"/>
      <c r="E469" s="17"/>
      <c r="F469" s="20"/>
      <c r="G469" s="47"/>
      <c r="H469" s="47"/>
      <c r="I469" s="47"/>
      <c r="J469" s="47"/>
      <c r="K469" s="47"/>
      <c r="L469" s="47"/>
      <c r="M469" s="47"/>
      <c r="N469" s="47"/>
      <c r="O469" s="47"/>
      <c r="P469" s="5"/>
      <c r="Q469" s="5"/>
      <c r="R469" s="201"/>
    </row>
    <row r="470" spans="1:26" ht="12">
      <c r="A470" s="18"/>
      <c r="B470" s="17"/>
      <c r="C470" s="17"/>
      <c r="D470" s="17"/>
      <c r="E470" s="17"/>
      <c r="F470" s="20"/>
      <c r="G470" s="5"/>
      <c r="H470" s="5"/>
      <c r="I470" s="5"/>
      <c r="J470" s="5"/>
      <c r="K470" s="5"/>
      <c r="L470" s="5"/>
      <c r="M470" s="5"/>
      <c r="N470" s="5"/>
      <c r="O470" s="5"/>
      <c r="P470" s="5"/>
      <c r="Q470" s="5"/>
      <c r="R470" s="201"/>
      <c r="T470" s="26"/>
      <c r="V470" s="26"/>
      <c r="Z470" s="26"/>
    </row>
    <row r="471" spans="1:26" ht="12">
      <c r="A471" s="40" t="s">
        <v>717</v>
      </c>
      <c r="B471" s="17"/>
      <c r="C471" s="17"/>
      <c r="D471" s="17"/>
      <c r="E471" s="17"/>
      <c r="F471" s="20"/>
      <c r="G471" s="5"/>
      <c r="H471" s="5"/>
      <c r="I471" s="5"/>
      <c r="J471" s="5"/>
      <c r="K471" s="5"/>
      <c r="L471" s="5"/>
      <c r="M471" s="5"/>
      <c r="N471" s="5"/>
      <c r="O471" s="5"/>
      <c r="P471" s="5"/>
      <c r="Q471" s="5"/>
      <c r="R471" s="201"/>
      <c r="T471" s="26"/>
      <c r="V471" s="26"/>
      <c r="Z471" s="26"/>
    </row>
    <row r="472" spans="1:26" ht="12">
      <c r="A472" s="27"/>
      <c r="B472" s="17"/>
      <c r="C472" s="17"/>
      <c r="D472" s="17"/>
      <c r="E472" s="17"/>
      <c r="F472" s="20"/>
      <c r="G472" s="5"/>
      <c r="H472" s="5"/>
      <c r="I472" s="5"/>
      <c r="J472" s="5"/>
      <c r="K472" s="5"/>
      <c r="L472" s="5"/>
      <c r="M472" s="5"/>
      <c r="N472" s="5"/>
      <c r="O472" s="5"/>
      <c r="P472" s="5"/>
      <c r="Q472" s="5"/>
      <c r="R472" s="201"/>
      <c r="T472" s="26"/>
      <c r="V472" s="26"/>
      <c r="Z472" s="26"/>
    </row>
    <row r="473" spans="1:26" ht="12">
      <c r="A473" s="17"/>
      <c r="B473" s="24" t="s">
        <v>607</v>
      </c>
      <c r="C473" s="17"/>
      <c r="D473" s="17"/>
      <c r="E473" s="17"/>
      <c r="F473" s="20"/>
      <c r="G473" s="1"/>
      <c r="H473" s="31"/>
      <c r="I473" s="31"/>
      <c r="J473" s="31"/>
      <c r="K473" s="31"/>
      <c r="L473" s="31"/>
      <c r="M473" s="31"/>
      <c r="N473" s="31"/>
      <c r="O473" s="88">
        <f t="shared" ref="O473:O480" si="121">SUM(G473:N473)</f>
        <v>0</v>
      </c>
      <c r="P473" s="5" t="str">
        <f>IF(ISNA(HLOOKUP($E$2,'Prior Year FS Balances'!$G$21:$AF$464,434,FALSE)),"",(HLOOKUP($E$2,'Prior Year FS Balances'!$G$21:$AF$464,434,FALSE)))</f>
        <v/>
      </c>
      <c r="Q473" s="5" t="str">
        <f t="shared" ref="Q473:Q480" si="122">IF(ISERR(O473-P473),"",(O473-P473))</f>
        <v/>
      </c>
      <c r="R473" s="201" t="str">
        <f t="shared" ref="R473:R480" si="123">IF($E$7="","",IF(AND(O473=0,P473=0),"",IF(ISERR(Q473/ABS(P473)),100%,Q473/ABS(P473))))</f>
        <v/>
      </c>
      <c r="T473" s="26"/>
      <c r="V473" s="26"/>
      <c r="Z473" s="26"/>
    </row>
    <row r="474" spans="1:26" ht="12">
      <c r="A474" s="17"/>
      <c r="B474" s="24" t="s">
        <v>3215</v>
      </c>
      <c r="C474" s="17"/>
      <c r="D474" s="17"/>
      <c r="E474" s="17"/>
      <c r="F474" s="20"/>
      <c r="G474" s="1"/>
      <c r="H474" s="31"/>
      <c r="I474" s="31"/>
      <c r="J474" s="31"/>
      <c r="K474" s="31"/>
      <c r="L474" s="31"/>
      <c r="M474" s="31"/>
      <c r="N474" s="31"/>
      <c r="O474" s="88">
        <f t="shared" si="121"/>
        <v>0</v>
      </c>
      <c r="P474" s="5" t="str">
        <f>IF(ISNA(HLOOKUP($E$2,'Prior Year FS Balances'!$G$21:$AF$464,435,FALSE)),"",(HLOOKUP($E$2,'Prior Year FS Balances'!$G$21:$AF$464,435,FALSE)))</f>
        <v/>
      </c>
      <c r="Q474" s="5" t="str">
        <f t="shared" si="122"/>
        <v/>
      </c>
      <c r="R474" s="201" t="str">
        <f t="shared" si="123"/>
        <v/>
      </c>
      <c r="T474" s="26"/>
      <c r="V474" s="26"/>
      <c r="Z474" s="26"/>
    </row>
    <row r="475" spans="1:26" ht="12.75" customHeight="1">
      <c r="A475" s="17"/>
      <c r="B475" s="24" t="s">
        <v>3216</v>
      </c>
      <c r="C475" s="17"/>
      <c r="D475" s="17"/>
      <c r="E475" s="17"/>
      <c r="F475" s="20"/>
      <c r="G475" s="1"/>
      <c r="H475" s="31"/>
      <c r="I475" s="31"/>
      <c r="J475" s="31"/>
      <c r="K475" s="31"/>
      <c r="L475" s="31"/>
      <c r="M475" s="31"/>
      <c r="N475" s="31"/>
      <c r="O475" s="88">
        <f t="shared" si="121"/>
        <v>0</v>
      </c>
      <c r="P475" s="5" t="str">
        <f>IF(ISNA(HLOOKUP($E$2,'Prior Year FS Balances'!$G$21:$AF$464,436,FALSE)),"",(HLOOKUP($E$2,'Prior Year FS Balances'!$G$21:$AF$464,436,FALSE)))</f>
        <v/>
      </c>
      <c r="Q475" s="5" t="str">
        <f t="shared" si="122"/>
        <v/>
      </c>
      <c r="R475" s="201" t="str">
        <f t="shared" si="123"/>
        <v/>
      </c>
      <c r="T475" s="26"/>
      <c r="V475" s="26"/>
      <c r="Z475" s="26"/>
    </row>
    <row r="476" spans="1:26" ht="12.75" customHeight="1">
      <c r="A476" s="17"/>
      <c r="B476" s="24" t="s">
        <v>3290</v>
      </c>
      <c r="C476" s="17"/>
      <c r="D476" s="17"/>
      <c r="E476" s="17"/>
      <c r="F476" s="20"/>
      <c r="G476" s="1"/>
      <c r="H476" s="31"/>
      <c r="I476" s="31"/>
      <c r="J476" s="31"/>
      <c r="K476" s="31"/>
      <c r="L476" s="31"/>
      <c r="M476" s="31"/>
      <c r="N476" s="31"/>
      <c r="O476" s="88">
        <f t="shared" ref="O476" si="124">SUM(G476:N476)</f>
        <v>0</v>
      </c>
      <c r="P476" s="5" t="str">
        <f>IF(ISNA(HLOOKUP($E$2,'Prior Year FS Balances'!$G$21:$AF$464,437,FALSE)),"",(HLOOKUP($E$2,'Prior Year FS Balances'!$G$21:$AF$464,437,FALSE)))</f>
        <v/>
      </c>
      <c r="Q476" s="5" t="str">
        <f t="shared" ref="Q476" si="125">IF(ISERR(O476-P476),"",(O476-P476))</f>
        <v/>
      </c>
      <c r="R476" s="201" t="str">
        <f t="shared" ref="R476" si="126">IF($E$7="","",IF(AND(O476=0,P476=0),"",IF(ISERR(Q476/ABS(P476)),100%,Q476/ABS(P476))))</f>
        <v/>
      </c>
      <c r="T476" s="26"/>
      <c r="V476" s="26"/>
      <c r="Z476" s="26"/>
    </row>
    <row r="477" spans="1:26" ht="12">
      <c r="A477" s="17"/>
      <c r="B477" s="24" t="s">
        <v>276</v>
      </c>
      <c r="C477" s="17"/>
      <c r="D477" s="17"/>
      <c r="E477" s="17"/>
      <c r="F477" s="20"/>
      <c r="G477" s="1"/>
      <c r="H477" s="31"/>
      <c r="I477" s="31"/>
      <c r="J477" s="31"/>
      <c r="K477" s="31"/>
      <c r="L477" s="31"/>
      <c r="M477" s="31"/>
      <c r="N477" s="31"/>
      <c r="O477" s="88">
        <f t="shared" si="121"/>
        <v>0</v>
      </c>
      <c r="P477" s="5" t="str">
        <f>IF(ISNA(HLOOKUP($E$2,'Prior Year FS Balances'!$G$21:$AF$464,439,FALSE)),"",(HLOOKUP($E$2,'Prior Year FS Balances'!$G$21:$AF$464,439,FALSE)))</f>
        <v/>
      </c>
      <c r="Q477" s="5" t="str">
        <f t="shared" si="122"/>
        <v/>
      </c>
      <c r="R477" s="201" t="str">
        <f t="shared" si="123"/>
        <v/>
      </c>
      <c r="T477" s="26"/>
      <c r="V477" s="26"/>
      <c r="Z477" s="26"/>
    </row>
    <row r="478" spans="1:26" ht="12">
      <c r="A478" s="17"/>
      <c r="B478" s="24" t="s">
        <v>850</v>
      </c>
      <c r="C478" s="17"/>
      <c r="D478" s="17"/>
      <c r="E478" s="17"/>
      <c r="F478" s="20"/>
      <c r="G478" s="1"/>
      <c r="H478" s="31"/>
      <c r="I478" s="31"/>
      <c r="J478" s="31"/>
      <c r="K478" s="31"/>
      <c r="L478" s="31"/>
      <c r="M478" s="31"/>
      <c r="N478" s="31"/>
      <c r="O478" s="88">
        <f t="shared" si="121"/>
        <v>0</v>
      </c>
      <c r="P478" s="5" t="str">
        <f>IF(ISNA(HLOOKUP($E$2,'Prior Year FS Balances'!$G$21:$AF$464,440,FALSE)),"",(HLOOKUP($E$2,'Prior Year FS Balances'!$G$21:$AF$464,440,FALSE)))</f>
        <v/>
      </c>
      <c r="Q478" s="5" t="str">
        <f t="shared" si="122"/>
        <v/>
      </c>
      <c r="R478" s="201" t="str">
        <f t="shared" si="123"/>
        <v/>
      </c>
      <c r="T478" s="26"/>
      <c r="V478" s="26"/>
      <c r="Z478" s="26"/>
    </row>
    <row r="479" spans="1:26" ht="12">
      <c r="A479" s="17"/>
      <c r="B479" s="24" t="s">
        <v>2868</v>
      </c>
      <c r="C479" s="17"/>
      <c r="D479" s="17"/>
      <c r="E479" s="17"/>
      <c r="F479" s="20"/>
      <c r="G479" s="1"/>
      <c r="H479" s="31"/>
      <c r="I479" s="31"/>
      <c r="J479" s="31"/>
      <c r="K479" s="31"/>
      <c r="L479" s="31"/>
      <c r="M479" s="31"/>
      <c r="N479" s="31"/>
      <c r="O479" s="88">
        <f t="shared" si="121"/>
        <v>0</v>
      </c>
      <c r="P479" s="5" t="str">
        <f>IF(ISNA(HLOOKUP($E$2,'Prior Year FS Balances'!$G$21:$AF$464,441,FALSE)),"",(HLOOKUP($E$2,'Prior Year FS Balances'!$G$21:$AF$464,441,FALSE)))</f>
        <v/>
      </c>
      <c r="Q479" s="5" t="str">
        <f t="shared" si="122"/>
        <v/>
      </c>
      <c r="R479" s="201" t="str">
        <f t="shared" si="123"/>
        <v/>
      </c>
      <c r="T479" s="26"/>
      <c r="V479" s="26"/>
      <c r="Z479" s="26"/>
    </row>
    <row r="480" spans="1:26" ht="12">
      <c r="A480" s="17"/>
      <c r="B480" s="24" t="s">
        <v>570</v>
      </c>
      <c r="C480" s="17"/>
      <c r="D480" s="17"/>
      <c r="E480" s="227" t="str">
        <f>IF(O480&gt;0,"Answer Required",IF(O480&lt;0,"Answer Required","N/A"))</f>
        <v>N/A</v>
      </c>
      <c r="F480" s="20"/>
      <c r="G480" s="1"/>
      <c r="H480" s="31"/>
      <c r="I480" s="31"/>
      <c r="J480" s="31"/>
      <c r="K480" s="31"/>
      <c r="L480" s="31"/>
      <c r="M480" s="31"/>
      <c r="N480" s="31"/>
      <c r="O480" s="88">
        <f t="shared" si="121"/>
        <v>0</v>
      </c>
      <c r="P480" s="5" t="str">
        <f>IF(ISNA(HLOOKUP($E$2,'Prior Year FS Balances'!$G$21:$AF$464,442,FALSE)),"",(HLOOKUP($E$2,'Prior Year FS Balances'!$G$21:$AF$464,442,FALSE)))</f>
        <v/>
      </c>
      <c r="Q480" s="5" t="str">
        <f t="shared" si="122"/>
        <v/>
      </c>
      <c r="R480" s="201" t="str">
        <f t="shared" si="123"/>
        <v/>
      </c>
      <c r="T480" s="26"/>
      <c r="V480" s="26"/>
      <c r="Z480" s="26"/>
    </row>
    <row r="481" spans="1:26" ht="12">
      <c r="A481" s="27"/>
      <c r="B481" s="17"/>
      <c r="C481" s="17"/>
      <c r="D481" s="17"/>
      <c r="E481" s="17"/>
      <c r="F481" s="20"/>
      <c r="G481" s="5"/>
      <c r="H481" s="5"/>
      <c r="I481" s="5"/>
      <c r="J481" s="5"/>
      <c r="K481" s="5"/>
      <c r="L481" s="5"/>
      <c r="M481" s="5"/>
      <c r="N481" s="5"/>
      <c r="O481" s="5"/>
      <c r="P481" s="5"/>
      <c r="Q481" s="5"/>
      <c r="R481" s="201"/>
      <c r="T481" s="26"/>
      <c r="V481" s="26"/>
      <c r="Z481" s="26"/>
    </row>
    <row r="482" spans="1:26" ht="12.6" thickBot="1">
      <c r="A482" s="24" t="s">
        <v>609</v>
      </c>
      <c r="B482" s="17"/>
      <c r="C482" s="17"/>
      <c r="D482" s="17"/>
      <c r="E482" s="17"/>
      <c r="F482" s="20"/>
      <c r="G482" s="38">
        <f t="shared" ref="G482:Q482" si="127">SUM(G473:G480)</f>
        <v>0</v>
      </c>
      <c r="H482" s="38">
        <f t="shared" si="127"/>
        <v>0</v>
      </c>
      <c r="I482" s="38">
        <f t="shared" si="127"/>
        <v>0</v>
      </c>
      <c r="J482" s="38">
        <f>SUM(J473:J480)</f>
        <v>0</v>
      </c>
      <c r="K482" s="38">
        <f t="shared" si="127"/>
        <v>0</v>
      </c>
      <c r="L482" s="38">
        <f t="shared" si="127"/>
        <v>0</v>
      </c>
      <c r="M482" s="38">
        <f t="shared" si="127"/>
        <v>0</v>
      </c>
      <c r="N482" s="38">
        <f t="shared" si="127"/>
        <v>0</v>
      </c>
      <c r="O482" s="38">
        <f t="shared" si="127"/>
        <v>0</v>
      </c>
      <c r="P482" s="38">
        <f t="shared" si="127"/>
        <v>0</v>
      </c>
      <c r="Q482" s="38">
        <f t="shared" si="127"/>
        <v>0</v>
      </c>
      <c r="R482" s="202" t="str">
        <f>IF(Q482=0,"0%",IF(ISERR(Q482/ABS(P482)),100%,Q482/ABS(P482)))</f>
        <v>0%</v>
      </c>
      <c r="T482" s="26"/>
      <c r="V482" s="26"/>
      <c r="Z482" s="26"/>
    </row>
    <row r="483" spans="1:26" ht="12.6" thickTop="1">
      <c r="A483" s="24"/>
      <c r="B483" s="17"/>
      <c r="C483" s="17"/>
      <c r="D483" s="17"/>
      <c r="E483" s="17"/>
      <c r="F483" s="20"/>
      <c r="G483" s="5"/>
      <c r="H483" s="5"/>
      <c r="I483" s="5"/>
      <c r="J483" s="5"/>
      <c r="K483" s="5"/>
      <c r="L483" s="5"/>
      <c r="M483" s="5"/>
      <c r="N483" s="5"/>
      <c r="O483" s="5"/>
      <c r="R483" s="26"/>
      <c r="T483" s="26"/>
      <c r="V483" s="26"/>
      <c r="Z483" s="26"/>
    </row>
    <row r="484" spans="1:26" hidden="1">
      <c r="A484" s="17"/>
      <c r="B484" s="17"/>
      <c r="C484" s="17"/>
      <c r="D484" s="17"/>
      <c r="E484" s="17"/>
      <c r="G484" s="11"/>
      <c r="H484" s="11"/>
      <c r="I484" s="11"/>
      <c r="J484" s="11"/>
      <c r="K484" s="11"/>
      <c r="L484" s="11"/>
      <c r="M484" s="11"/>
      <c r="N484" s="11"/>
      <c r="O484" s="11"/>
      <c r="R484" s="21"/>
      <c r="T484" s="21"/>
      <c r="V484" s="21"/>
      <c r="Z484" s="21"/>
    </row>
    <row r="485" spans="1:26" hidden="1"/>
    <row r="486" spans="1:26">
      <c r="G486" s="17" t="s">
        <v>247</v>
      </c>
    </row>
    <row r="487" spans="1:26">
      <c r="D487" s="601" t="s">
        <v>730</v>
      </c>
      <c r="E487" s="575"/>
      <c r="F487" s="602"/>
    </row>
    <row r="488" spans="1:26">
      <c r="D488" s="603"/>
      <c r="E488" s="17"/>
      <c r="F488" s="604"/>
    </row>
    <row r="489" spans="1:26">
      <c r="D489" s="603" t="s">
        <v>731</v>
      </c>
      <c r="E489" s="17"/>
      <c r="F489" s="129">
        <f>O44+O49+O78</f>
        <v>0</v>
      </c>
    </row>
    <row r="490" spans="1:26">
      <c r="D490" s="603" t="s">
        <v>732</v>
      </c>
      <c r="E490" s="17"/>
      <c r="F490" s="129">
        <f>O42+O47</f>
        <v>0</v>
      </c>
    </row>
    <row r="491" spans="1:26">
      <c r="D491" s="603" t="s">
        <v>733</v>
      </c>
      <c r="E491" s="17"/>
      <c r="F491" s="129">
        <f>O57+O86</f>
        <v>0</v>
      </c>
    </row>
    <row r="492" spans="1:26" hidden="1">
      <c r="D492" s="603" t="s">
        <v>650</v>
      </c>
      <c r="E492" s="17"/>
      <c r="F492" s="129">
        <f>O150+O174</f>
        <v>0</v>
      </c>
    </row>
    <row r="493" spans="1:26" hidden="1">
      <c r="D493" s="603" t="s">
        <v>616</v>
      </c>
      <c r="E493" s="17"/>
      <c r="F493" s="129">
        <f>O151+O175</f>
        <v>0</v>
      </c>
    </row>
    <row r="494" spans="1:26">
      <c r="D494" s="603" t="s">
        <v>3291</v>
      </c>
      <c r="E494" s="17"/>
      <c r="F494" s="129">
        <f>O153+O177</f>
        <v>0</v>
      </c>
    </row>
    <row r="495" spans="1:26">
      <c r="D495" s="603" t="s">
        <v>3220</v>
      </c>
      <c r="E495" s="17"/>
      <c r="F495" s="129">
        <f>O155+O179</f>
        <v>0</v>
      </c>
    </row>
    <row r="496" spans="1:26">
      <c r="D496" s="605" t="s">
        <v>3804</v>
      </c>
      <c r="E496" s="23"/>
      <c r="F496" s="129">
        <f>O156+O180</f>
        <v>0</v>
      </c>
    </row>
  </sheetData>
  <sheetProtection algorithmName="SHA-512" hashValue="8L7a1g+6PpgdFx3+poLOpk7rd65YWPRD7RIeUkGoV5FZYS5Z7bMLnSVHGcmzF40gKI04y0MZ90ai+9GEjG7x4A==" saltValue="wqMvMwpeI3sW6vfXgBiC4Q==" spinCount="100000" sheet="1" objects="1" scenarios="1"/>
  <customSheetViews>
    <customSheetView guid="{5CCA66B6-9DBD-4F43-8EC0-0C18444D6068}" scale="75" showPageBreaks="1" showGridLines="0" printArea="1" hiddenRows="1" hiddenColumns="1" view="pageBreakPreview" showRuler="0">
      <pane xSplit="7" topLeftCell="O1" activePane="topRight" state="frozen"/>
      <selection pane="topRight" activeCell="F29" sqref="F29"/>
      <rowBreaks count="5" manualBreakCount="5">
        <brk id="86" max="16383" man="1"/>
        <brk id="162" max="18" man="1"/>
        <brk id="237" max="18" man="1"/>
        <brk id="289" max="18" man="1"/>
        <brk id="332" max="18" man="1"/>
      </rowBreaks>
      <pageMargins left="0.75" right="0.75" top="0.56999999999999995" bottom="0.37" header="0.19" footer="0.17"/>
      <pageSetup scale="50" orientation="portrait" cellComments="asDisplayed" r:id="rId1"/>
      <headerFooter alignWithMargins="0">
        <oddHeader>&amp;C&amp;"Times New Roman,Bold"Attachment 11
Internal Service Fund Financial Statement Template
&amp;A</oddHeader>
        <oddFooter>&amp;L&amp;F \ &amp;A&amp;R Page &amp;P</oddFooter>
      </headerFooter>
    </customSheetView>
  </customSheetViews>
  <mergeCells count="24">
    <mergeCell ref="A34:D34"/>
    <mergeCell ref="A348:D348"/>
    <mergeCell ref="A391:D391"/>
    <mergeCell ref="A119:D119"/>
    <mergeCell ref="A221:D221"/>
    <mergeCell ref="A296:D296"/>
    <mergeCell ref="A357:F357"/>
    <mergeCell ref="B252:E252"/>
    <mergeCell ref="D455:E455"/>
    <mergeCell ref="A4:D4"/>
    <mergeCell ref="E4:G4"/>
    <mergeCell ref="A1:D1"/>
    <mergeCell ref="A2:D2"/>
    <mergeCell ref="E2:G2"/>
    <mergeCell ref="A3:D3"/>
    <mergeCell ref="E3:G3"/>
    <mergeCell ref="E1:G1"/>
    <mergeCell ref="E7:G7"/>
    <mergeCell ref="A5:D5"/>
    <mergeCell ref="E5:G5"/>
    <mergeCell ref="A6:D6"/>
    <mergeCell ref="E6:G6"/>
    <mergeCell ref="A7:D7"/>
    <mergeCell ref="A12:F30"/>
  </mergeCells>
  <phoneticPr fontId="46" type="noConversion"/>
  <conditionalFormatting sqref="E56 E70 E130 E158 E170 E182">
    <cfRule type="cellIs" dxfId="173" priority="40" operator="equal">
      <formula>"Answer Required"</formula>
    </cfRule>
  </conditionalFormatting>
  <conditionalFormatting sqref="E85">
    <cfRule type="cellIs" dxfId="172" priority="26" operator="equal">
      <formula>"Answer Required"</formula>
    </cfRule>
  </conditionalFormatting>
  <conditionalFormatting sqref="E89">
    <cfRule type="cellIs" dxfId="171" priority="25" operator="equal">
      <formula>"Answer Required"</formula>
    </cfRule>
  </conditionalFormatting>
  <conditionalFormatting sqref="E138">
    <cfRule type="cellIs" dxfId="170" priority="24" operator="equal">
      <formula>"Answer Required"</formula>
    </cfRule>
  </conditionalFormatting>
  <conditionalFormatting sqref="E146">
    <cfRule type="cellIs" dxfId="169" priority="38" operator="equal">
      <formula>"Answer Required"</formula>
    </cfRule>
  </conditionalFormatting>
  <conditionalFormatting sqref="E213:E216">
    <cfRule type="cellIs" dxfId="168" priority="20" operator="equal">
      <formula>"Answer Required"</formula>
    </cfRule>
  </conditionalFormatting>
  <conditionalFormatting sqref="E234">
    <cfRule type="cellIs" dxfId="167" priority="19" operator="equal">
      <formula>"Answer Required"</formula>
    </cfRule>
  </conditionalFormatting>
  <conditionalFormatting sqref="E261">
    <cfRule type="cellIs" dxfId="166" priority="18" operator="equal">
      <formula>"Answer Required"</formula>
    </cfRule>
  </conditionalFormatting>
  <conditionalFormatting sqref="E279">
    <cfRule type="cellIs" dxfId="165" priority="17" operator="equal">
      <formula>"Answer Required"</formula>
    </cfRule>
  </conditionalFormatting>
  <conditionalFormatting sqref="E287:E288">
    <cfRule type="cellIs" dxfId="164" priority="15" operator="equal">
      <formula>"Answer Required"</formula>
    </cfRule>
  </conditionalFormatting>
  <conditionalFormatting sqref="E319:E320">
    <cfRule type="cellIs" dxfId="163" priority="13" operator="equal">
      <formula>"Answer Required"</formula>
    </cfRule>
  </conditionalFormatting>
  <conditionalFormatting sqref="E323:E324">
    <cfRule type="cellIs" dxfId="162" priority="11" operator="equal">
      <formula>"Answer Required"</formula>
    </cfRule>
  </conditionalFormatting>
  <conditionalFormatting sqref="E336:E337">
    <cfRule type="cellIs" dxfId="161" priority="9" operator="equal">
      <formula>"Answer Required"</formula>
    </cfRule>
  </conditionalFormatting>
  <conditionalFormatting sqref="E341:E342">
    <cfRule type="cellIs" dxfId="160" priority="7" operator="equal">
      <formula>"Answer Required"</formula>
    </cfRule>
  </conditionalFormatting>
  <conditionalFormatting sqref="E361:E362">
    <cfRule type="cellIs" dxfId="159" priority="5" operator="equal">
      <formula>"Answer Required"</formula>
    </cfRule>
  </conditionalFormatting>
  <conditionalFormatting sqref="E366:E367">
    <cfRule type="cellIs" dxfId="158" priority="3" operator="equal">
      <formula>"Answer Required"</formula>
    </cfRule>
  </conditionalFormatting>
  <conditionalFormatting sqref="E406">
    <cfRule type="cellIs" dxfId="157" priority="2" operator="equal">
      <formula>"Answer Required"</formula>
    </cfRule>
  </conditionalFormatting>
  <conditionalFormatting sqref="E480">
    <cfRule type="cellIs" dxfId="156" priority="1" operator="equal">
      <formula>"Answer Required"</formula>
    </cfRule>
  </conditionalFormatting>
  <dataValidations xWindow="555" yWindow="446" count="45">
    <dataValidation allowBlank="1" showErrorMessage="1" sqref="F483:O483 G481:O481 P389 H294:Q294 T389:T400 P460:Q460 R389:R398 P345:Q345 P397:Q397 P338:Q338 P343:Q343 V458:V460 V379:V383 V341:V344 V336:V337 S397 T458:T460 T379:T383 T341:T344 T336:T337 AB395 Z458:Z460 X395 Z379:Z383 Z341:Z344 Z336:Z337 Z387:Z400 V387:V400 P384:P387 T292 T294:T301 Z277:Z283 Z260:Z266 X299 Z319:Z320 R294:R300 P266:Q266 P280:Q280 P282:Q282 AB299 P321:Q321 T277:T283 T260:T266 T319:T320 V277:V283 V260:V266 V319:V320 P301:S301 P262:Q262 P264:Q264 P284:Q284 V292:V300 Z292:Z300 P124:S125 AB122 R96 X122 O32:O36 O39 AG41:AG42 E1 E7 N32:N39 O262:O268 O280:O285 O321:O322 O343:O346 O338:O339 O381:O387 G37:G38 O389:O402 G294:G302 H295:O302 G390:N398 G344:N344 G283:N283 G281:N281 G265:N265 G263:N263 G346:N346 H381:N383 G322:N322 G339:N339 G400:N401 G285:N285 G267:N268 T387 G32:M36 G39:M39 H386:N386 R192 G102:O126 R194:R209 Z192:Z209 V192:V209 G194:O209 R102:R123 G98:O98 V96:V98 Z96:Z98 R98 T96:T98 T100:T125 G100:O100 V100:V123 Z100:Z123 R100 T192:T209 G192:O192 G461:N462 O460:O462 G466:O466 O465:Q465" xr:uid="{00000000-0002-0000-0200-000000000000}"/>
    <dataValidation allowBlank="1" showErrorMessage="1" prompt="_x000a__x000a_" sqref="R483:R484 P219 G219:O227 V345:V353 X352 T345:T354 R346:R353 P354:S354 AB352 Z345:Z353 T217 AB224 T219:T226 X224 V217:V225 Z217:Z225 P226:S226 R219:R225 E32 G469:O472 G347:O355 Z467:Z484 T468:T484 V467:V484" xr:uid="{00000000-0002-0000-0200-000001000000}"/>
    <dataValidation type="whole" allowBlank="1" showErrorMessage="1" prompt="_x000a__x000a_" sqref="O482:Q482" xr:uid="{00000000-0002-0000-0200-000002000000}">
      <formula1>-9999999999999990</formula1>
      <formula2>9.99999999999999E+23</formula2>
    </dataValidation>
    <dataValidation type="whole" allowBlank="1" showInputMessage="1" showErrorMessage="1" sqref="G482:N482 G293:N293 G291:N291 G378:N378 G148:Q148 G431:Q431 H380:N380 G460:N460 G447:N447 G467:Q468 G436:Q436 G402:N402 G399:N399 H387:N389 H384:N385 G376:N376 G370:N370 G368:N368 G363:N363 G345:N345 G338:N338 G343:N343 G327:N327 G325:N325 G321:N321 G313:N313 G183:N185 G284:N284 G282:N282 G280:N280 G272:N272 G266:N266 G264:N264 G262:N262 G244:N244 G237:N237 G235:N235 G131:N131 G172:Q172 O40:O45 G465:N465 G159:N159 G187:Q187 G135:N135 G189:N189 G161:Q161" xr:uid="{00000000-0002-0000-0200-000003000000}">
      <formula1>-9999999999999</formula1>
      <formula2>9999999999999</formula2>
    </dataValidation>
    <dataValidation type="whole" allowBlank="1" showErrorMessage="1" prompt="_x000a__x000a_" sqref="V47:V48 P90:Q90 Z92:Z95 R94 V92:V95 T92:T95 T191 Z87:Z89 Z84:Z85 Z77:Z78 Z69:Z73 Z64 V191 Z191 R87 P45:Q45 T43:T44 T87:T89 T84:T85 T77:T78 T69:T73 T64 T55:T56 T48:T49 V87:V89 V84:V85 V77:V78 V69:V73 V64 V55:V56 P97:Q97 R72 P50:Q50 P57:Q57 P71:Q71 P79:Q79 P86:Q86 P73:Q73 O57:O58 O96:O97 O95:Q95 G94:O94 G58:N58 G46:O46 G79:O80 G90:O91 G86:O87 G66:O66 G71:O75 G50:O51 G96:N96 Z99 V99 T99 Z48:Z49 Z56" xr:uid="{00000000-0002-0000-0200-000004000000}">
      <formula1>0</formula1>
      <formula2>9999999999999990</formula2>
    </dataValidation>
    <dataValidation type="whole" allowBlank="1" showErrorMessage="1" error="Amount must be rounded to the nearest dollar._x000a_" prompt="_x000a__x000a_" sqref="V49:V51 V42:V46 V331:V335 V338:V340 V354:V357 V359:V360 V364:V365 V371:V373 T327:T328 T331:T335 T338:T340 T359:T360 T364:T365 T371:T373 R355 Z327:Z328 Z331:Z335 Z338:Z340 Z354:Z357 Z359:Z360 Z364:Z365 T355:T357 Z322 Z317:Z318 Z312:Z315 Z309:Z310 Z304:Z305 Z301:Z302 Z238 Z240:Z241 Z244:Z247 Z249:Z250 Z253:Z255 Z257:Z259 Z267:Z269 Z272:Z276 Z226:Z227 Z229:Z232 Z210:Z215 Z162:Z164 R302 R227 Z284 V148:V156 R210:R211 T302 T322 T317:T318 T312:T315 T309:T310 T304:T305 T227 T238 T240:T241 T244:T247 T249:T250 T253:T255 T257:T259 T267:T269 T272:T276 T229:T232 T210:T215 T162:T164 T284 V322 V317:V318 V312:V315 V309:V310 V304:V305 V301:V302 V238 V240:V241 V244:V247 V249:V250 V253:V255 V257:V259 V267:V269 V272:V276 V226:V227 V229:V232 V210:V215 V162:V164 Z55 V284 T148:T156 V142:V145 Z124:Z140 T126:T140 R126 Z90:Z91 V90:V91 V124:V140 T90:T91 R91 R74:R75 R66 R51 R46 R39 G312:O312 T39:T42 T86 T79:T83 T74:T76 T65:T68 T57:T63 T50:T54 T45:T47 V86 V79:V83 V74:V76 V65:V68 V57:V63 V327:V328 Z86 R58 Z371:Z373 V54 Z57:Z63 Z74:Z76 R80 Z65:Z68 Z79:Z83 G329:O329 G243:O243 G246:O246 G257:O257 G174:O175 G150:O151 G314:O314 Z50:Z52 Z43:Z47 Z148:Z156 Z142:Z145 T142:T145 V166:V181 Z166:Z181 T166:T181" xr:uid="{00000000-0002-0000-0200-000005000000}">
      <formula1>-999999999999999</formula1>
      <formula2>99999999999999900000</formula2>
    </dataValidation>
    <dataValidation type="whole" allowBlank="1" showErrorMessage="1" error="Please enter a whole number._x000a_" prompt="_x000a__x000a_" sqref="O191 O403:O406 O451:O459 O176:O184 O164:O171 O373:O375 O356:O359 O366:O367 O361:O362 O340:O342 O333:O337 O330:O331 O47:O49 P61:Q61 O286:O290 P131:Q131 O269:O271 O67:O70 O81:O85 O440:O446 O88:O89 O52:O56 O303:O308 O92:O93 O274:O279 O315:O317 O311 O152:O158 O228:O229 O212:O217 O259:O261 O255:O256 O251:O252 O240 O247:O249 O242 O231:O234 O463:O464 O145:O147 O433:O435 O76:O78 O59:O65 O319:O320 G136:N136 G168:N168 G62:N62 G132:N132 O292 O379 O99 O127:O143 O428:O430 O409:O426 O473:O480" xr:uid="{00000000-0002-0000-0200-000006000000}">
      <formula1>-999999999999999</formula1>
      <formula2>99999999999999900000</formula2>
    </dataValidation>
    <dataValidation type="whole" allowBlank="1" showErrorMessage="1" prompt="_x000a__x000a_" sqref="G97:N97 G193:Q193 G95:N95 G101:Q101" xr:uid="{00000000-0002-0000-0200-000007000000}">
      <formula1>0</formula1>
      <formula2>9999999999999</formula2>
    </dataValidation>
    <dataValidation type="whole" allowBlank="1" showErrorMessage="1" error="Please enter a whole number._x000a_" prompt="_x000a__x000a_" sqref="G191:N191 G373:N375 G145:N147 H366:N367 G356:N359 G259:N261 G255:N256 G251:N252 G247:N249 G242:N242 G240:N240 G231:N234 G228:N229 G212:N217 G152:N158 G99:N99 G137:N143 G47:N49 G133:N134 G127:N130 G92:N93 G88:N89 G81:N85 G76:N78 G67:N70 G63:N65 G59:N60 G52:N56 G164:N167 G169:N171 H361:N362 G176:N182 G379" xr:uid="{00000000-0002-0000-0200-000008000000}">
      <formula1>-9999999999999</formula1>
      <formula2>9999999999999</formula2>
    </dataValidation>
    <dataValidation type="whole" allowBlank="1" showErrorMessage="1" prompt="_x000a__x000a__x000a_" sqref="Z384:Z386 T384:T386 V384:V386 O388:Q388" xr:uid="{00000000-0002-0000-0200-000009000000}">
      <formula1>-9999999999999990</formula1>
      <formula2>999999999999999000000</formula2>
    </dataValidation>
    <dataValidation type="whole" allowBlank="1" showErrorMessage="1" prompt="_x000a__x000a__x000a_" sqref="Z461:Z466 T461:T466 V461:V466" xr:uid="{00000000-0002-0000-0200-00000A000000}">
      <formula1>-99999999999999900</formula1>
      <formula2>9999999999999990000</formula2>
    </dataValidation>
    <dataValidation type="whole" allowBlank="1" showErrorMessage="1" prompt="_x000a__x000a_" sqref="Z374:Z376 P370:Q370 P368:Q368 P363:Q363 P376:Q376 P378:Q378 V378 V366:V370 V361:V363 V358 V374:V376 T378 T366:T370 T361:T363 T358 T374:T376 Z358 Z378 Z366:Z370 Z361:Z363 O363:O365 O368:O372 O380:Q380 O376:O378 G369:N369 G377:N377 G360:O360 G364:N365 G371:N372" xr:uid="{00000000-0002-0000-0200-00000B000000}">
      <formula1>-99999999999999900</formula1>
      <formula2>999999999999999000000</formula2>
    </dataValidation>
    <dataValidation type="whole" allowBlank="1" showErrorMessage="1" prompt="_x000a__x000a_" sqref="Z323:Z326 P325:Q325 V329:V330 V323:V326 T329:T330 T323:T326 Z329:Z330 P327:Q327 O325:O328 G328:N328 G326:N326 G332:O332" xr:uid="{00000000-0002-0000-0200-00000C000000}">
      <formula1>-9999999999999990</formula1>
      <formula2>99999999999999900000</formula2>
    </dataValidation>
    <dataValidation type="whole" allowBlank="1" showErrorMessage="1" error="Amount must be rounded to the nearest dollar._x000a_" prompt="_x000a__x000a_" sqref="Z377 T377 V377" xr:uid="{00000000-0002-0000-0200-00000D000000}">
      <formula1>-99999999999999900</formula1>
      <formula2>999999999999999000000</formula2>
    </dataValidation>
    <dataValidation type="whole" allowBlank="1" showErrorMessage="1" error="Amount must be rounded to nearest dollar._x000a_" prompt="_x000a__x000a_" sqref="V401:V404 T408:T423 T401:T404 V408:V423 T437:T445 Z427:Z429 Z408:Z423 Z401:Z404 G438:O439 G449:O450 V427:V429 T427:T429 T425 V425 Z425 Z437:Z445 V437:V445 V448:V457 T448:T457 Z448:Z457" xr:uid="{00000000-0002-0000-0200-00000E000000}">
      <formula1>-999999999999999000</formula1>
      <formula2>9999999999999990000</formula2>
    </dataValidation>
    <dataValidation type="whole" allowBlank="1" showErrorMessage="1" prompt="_x000a__x000a_" sqref="Z446:Z447 V405:V407 T424 V446:V447 T405:T407 Z424 T446:T447 Z405:Z407 G427:O427 P447:Q447 Z430:Z436 O447:O448 G448:N448 G407:O408 G437:O437 V424 T426 T430:T436 V426 V430:V436 Z426 G432:Q432" xr:uid="{00000000-0002-0000-0200-00000F000000}">
      <formula1>-999999999999999000</formula1>
      <formula2>9999999999999990000</formula2>
    </dataValidation>
    <dataValidation type="whole" allowBlank="1" showErrorMessage="1" error="Please enter a whole number." prompt="_x000a__x000a__x000a_" sqref="O323:O324" xr:uid="{00000000-0002-0000-0200-000010000000}">
      <formula1>-9999999999999990</formula1>
      <formula2>99999999999999900</formula2>
    </dataValidation>
    <dataValidation type="whole" allowBlank="1" showErrorMessage="1" prompt="_x000a__x000a_" sqref="Z289 V289 T289 O291:Q291" xr:uid="{00000000-0002-0000-0200-000011000000}">
      <formula1>0</formula1>
      <formula2>9.99999999999999E+27</formula2>
    </dataValidation>
    <dataValidation type="whole" allowBlank="1" showErrorMessage="1" prompt="_x000a__x000a_" sqref="Z216 P218:Q218 T216 V216" xr:uid="{00000000-0002-0000-0200-000012000000}">
      <formula1>-99999999999999900</formula1>
      <formula2>9999999999999990000</formula2>
    </dataValidation>
    <dataValidation type="whole" allowBlank="1" showErrorMessage="1" sqref="Z291 V291 T291 O293:Q293" xr:uid="{00000000-0002-0000-0200-000013000000}">
      <formula1>-9999999999999990000</formula1>
      <formula2>99999999999999900</formula2>
    </dataValidation>
    <dataValidation type="whole" allowBlank="1" showErrorMessage="1" error="Amount must be rounded to the nearest dollar._x000a_" prompt="_x000a__x000a__x000a_" sqref="Z290 V290 T290" xr:uid="{00000000-0002-0000-0200-000014000000}">
      <formula1>-99999999999999900</formula1>
      <formula2>99999999999999900</formula2>
    </dataValidation>
    <dataValidation type="whole" allowBlank="1" showErrorMessage="1" error="Amount must be rounded to the nearest dollar." prompt="_x000a__x000a__x000a_" sqref="Z321 V321 T321" xr:uid="{00000000-0002-0000-0200-000015000000}">
      <formula1>-99999999999999</formula1>
      <formula2>99999999999999900000</formula2>
    </dataValidation>
    <dataValidation type="whole" allowBlank="1" showErrorMessage="1" prompt="_x000a__x000a_" sqref="Z270:Z271 P272:Q272 T270:T271 V270:V271 O272:O273 G273:N273" xr:uid="{00000000-0002-0000-0200-000016000000}">
      <formula1>-99999999999999900000</formula1>
      <formula2>999999999999999000000</formula2>
    </dataValidation>
    <dataValidation type="whole" allowBlank="1" showErrorMessage="1" error="Amount must be rounded to the nearest dollar._x000a_" prompt="_x000a__x000a__x000a_" sqref="Z303 V303 T303" xr:uid="{00000000-0002-0000-0200-000017000000}">
      <formula1>-999999999999999</formula1>
      <formula2>99999999999999900000</formula2>
    </dataValidation>
    <dataValidation type="whole" allowBlank="1" prompt="_x000a__x000a_" sqref="V188:V189 T188:T189 G210:O211 Z188:Z189" xr:uid="{00000000-0002-0000-0200-000018000000}">
      <formula1>0</formula1>
      <formula2>9999999999999990000</formula2>
    </dataValidation>
    <dataValidation type="whole" allowBlank="1" showErrorMessage="1" prompt="_x000a__x000a_" sqref="Z182:Z187 O188:O189 T157:T161 V182:V187 V157:V161 T182:T187 Z141 P159:Q159 G162:O163 V146:V147 V141 T146:T147 T141 Z146:Z147 Z157:Z161 P189:Q189 O185:O186 O159:O160 G149:O149 G188:N188 G160:N160 G144:O144 G186:N186" xr:uid="{00000000-0002-0000-0200-000019000000}">
      <formula1>0</formula1>
      <formula2>9999999999999990000</formula2>
    </dataValidation>
    <dataValidation type="whole" allowBlank="1" showErrorMessage="1" prompt="_x000a__x000a_" sqref="Z256 P237:Q237 Z248 Z242:Z243 Z239 Z233:Z237 Z228 Z251:Z252 T256 T251:T252 T248 T242:T243 T239 T233:T237 T228 V256 V251:V252 V248 V242:V243 V239 V233:V237 V228 P253:Q253 P244:Q244 P235:Q235 O235:O239 O244:O245 G245:N245 G236:N236 G258:O258 G238:N239 G250:O250 G230:O230 G241:O241 G253:O254" xr:uid="{00000000-0002-0000-0200-00001A000000}">
      <formula1>0</formula1>
      <formula2>999999999999999000000</formula2>
    </dataValidation>
    <dataValidation type="whole" allowBlank="1" prompt="_x000a__x000a_" sqref="Z306:Z308 Z311 V311 T306:T308 T316 T311 V306:V308 V316 Z316 O313:Q313 G309:O310 G318:O318" xr:uid="{00000000-0002-0000-0200-00001B000000}">
      <formula1>-999999999999999</formula1>
      <formula2>99999999999999900000</formula2>
    </dataValidation>
    <dataValidation allowBlank="1" showErrorMessage="1" error="Amount must be rounded to the nearest dollar._x000a_" prompt="_x000a__x000a_" sqref="T37:T38" xr:uid="{00000000-0002-0000-0200-00001C000000}"/>
    <dataValidation allowBlank="1" sqref="E3:O5" xr:uid="{00000000-0002-0000-0200-00001D000000}"/>
    <dataValidation type="date" allowBlank="1" showErrorMessage="1" error="Please enter a date between 05/02/06 and 12/15/06_x000a_" sqref="H6:O6" xr:uid="{00000000-0002-0000-0200-00001E000000}">
      <formula1>38839</formula1>
      <formula2>39066</formula2>
    </dataValidation>
    <dataValidation allowBlank="1" showErrorMessage="1" error="Please enter a date between 05/02/07 and 12/15/07_x000a_" sqref="E6:G6" xr:uid="{00000000-0002-0000-0200-00001F000000}"/>
    <dataValidation type="whole" allowBlank="1" showInputMessage="1" showErrorMessage="1" error="Please enter a whole number." sqref="G40:N44 H333:N337 G330:N331 G323:N324 G319:N320 G315:N317 G311:N311 G303:N308 G286:N290 G274:N279 G269:N271 H340:N342 G334 G292" xr:uid="{00000000-0002-0000-0200-000020000000}">
      <formula1>-9999999999999</formula1>
      <formula2>9999999999999</formula2>
    </dataValidation>
    <dataValidation type="whole" allowBlank="1" showInputMessage="1" showErrorMessage="1" sqref="G57:N57 G45:N45" xr:uid="{00000000-0002-0000-0200-000021000000}">
      <formula1>0</formula1>
      <formula2>9999999999999</formula2>
    </dataValidation>
    <dataValidation type="whole" allowBlank="1" showErrorMessage="1" prompt="_x000a__x000a_" sqref="G61:N61 G218:O218" xr:uid="{00000000-0002-0000-0200-000022000000}">
      <formula1>-9999999999999</formula1>
      <formula2>9999999999999</formula2>
    </dataValidation>
    <dataValidation type="whole" allowBlank="1" showErrorMessage="1" error="Please enter a whole number." prompt="_x000a__x000a_" sqref="G440:N446 G463:N464 G433:N435 G403:N406 G451:N459 G428:N430 G409:N426 G473:N480" xr:uid="{00000000-0002-0000-0200-000023000000}">
      <formula1>-9999999999999</formula1>
      <formula2>9999999999999</formula2>
    </dataValidation>
    <dataValidation type="whole" allowBlank="1" prompt="_x000a__x000a_" sqref="P185:Q185" xr:uid="{00000000-0002-0000-0200-000024000000}">
      <formula1>-9999999999999</formula1>
      <formula2>9999999999999</formula2>
    </dataValidation>
    <dataValidation type="whole" allowBlank="1" showInputMessage="1" showErrorMessage="1" error="Please enter a whole number" sqref="H379:N379 H292:N292" xr:uid="{00000000-0002-0000-0200-000025000000}">
      <formula1>-9999999999999</formula1>
      <formula2>9999999999999</formula2>
    </dataValidation>
    <dataValidation type="whole" allowBlank="1" showErrorMessage="1" error="Please enter a negative whole number._x000a_" prompt="_x000a__x000a_" sqref="G366:G367" xr:uid="{00000000-0002-0000-0200-000026000000}">
      <formula1>-9999999999999</formula1>
      <formula2>0</formula2>
    </dataValidation>
    <dataValidation type="whole" allowBlank="1" showErrorMessage="1" error="Please enter a positive whole_x000a_number._x000a_" prompt="_x000a__x000a_" sqref="G362" xr:uid="{00000000-0002-0000-0200-000027000000}">
      <formula1>0</formula1>
      <formula2>9999999999999</formula2>
    </dataValidation>
    <dataValidation type="whole" allowBlank="1" showErrorMessage="1" error="Please enter a positive whole number._x000a_" prompt="_x000a__x000a_" sqref="G361" xr:uid="{00000000-0002-0000-0200-000028000000}">
      <formula1>0</formula1>
      <formula2>9999999999999</formula2>
    </dataValidation>
    <dataValidation type="whole" allowBlank="1" showInputMessage="1" showErrorMessage="1" error="Please enter a positive _x000a_whole number." sqref="G335:G336 G333" xr:uid="{00000000-0002-0000-0200-000029000000}">
      <formula1>0</formula1>
      <formula2>9999999999999</formula2>
    </dataValidation>
    <dataValidation type="whole" allowBlank="1" showInputMessage="1" showErrorMessage="1" error="Please enter a positive whole number." sqref="G337" xr:uid="{00000000-0002-0000-0200-00002A000000}">
      <formula1>0</formula1>
      <formula2>9999999999999</formula2>
    </dataValidation>
    <dataValidation type="whole" allowBlank="1" showInputMessage="1" showErrorMessage="1" error="Please enter a negative whole number." sqref="G340:G342" xr:uid="{00000000-0002-0000-0200-00002B000000}">
      <formula1>-9999999999999</formula1>
      <formula2>0</formula2>
    </dataValidation>
    <dataValidation type="list" allowBlank="1" showInputMessage="1" showErrorMessage="1" error="Use the drop-down to enter an Agency-Fund Name" sqref="E2:G2" xr:uid="{00000000-0002-0000-0200-00002C000000}">
      <formula1>$AF$3:$AF$15</formula1>
    </dataValidation>
  </dataValidations>
  <pageMargins left="0.68" right="0.25" top="0.56999999999999995" bottom="0.37" header="0.19" footer="0.17"/>
  <pageSetup scale="52" orientation="portrait" cellComments="asDisplayed" r:id="rId2"/>
  <headerFooter alignWithMargins="0">
    <oddHeader>&amp;C&amp;"Times New Roman,Bold"Attachment 11
Internal Service Fund Financial Statement Template
&amp;A</oddHeader>
    <oddFooter>&amp;L&amp;"Times New Roman,Regular"&amp;F \ &amp;A&amp;R&amp;"Times New Roman,Regular" Page &amp;P of &amp;N</oddFooter>
  </headerFooter>
  <rowBreaks count="4" manualBreakCount="4">
    <brk id="118" max="17" man="1"/>
    <brk id="220" max="17" man="1"/>
    <brk id="295" max="17" man="1"/>
    <brk id="389" max="1638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W390"/>
  <sheetViews>
    <sheetView showGridLines="0" zoomScaleNormal="100" zoomScaleSheetLayoutView="85" workbookViewId="0">
      <selection activeCell="E3" sqref="E3:G3"/>
    </sheetView>
  </sheetViews>
  <sheetFormatPr defaultColWidth="9.109375" defaultRowHeight="13.2"/>
  <cols>
    <col min="1" max="3" width="1.88671875" style="11" customWidth="1"/>
    <col min="4" max="4" width="48.6640625" style="11" customWidth="1"/>
    <col min="5" max="5" width="17.5546875" style="11" customWidth="1"/>
    <col min="6" max="6" width="18.109375" style="11" customWidth="1"/>
    <col min="7" max="7" width="98.33203125" style="19" customWidth="1"/>
    <col min="8" max="8" width="2.6640625" style="17" customWidth="1"/>
    <col min="9" max="9" width="18.109375" style="552" customWidth="1"/>
    <col min="10" max="10" width="18.109375" style="542" hidden="1" customWidth="1"/>
    <col min="11" max="11" width="18.109375" style="17" hidden="1" customWidth="1"/>
    <col min="12" max="12" width="19.6640625" style="17" customWidth="1"/>
    <col min="13" max="15" width="18.109375" style="17" customWidth="1"/>
    <col min="16" max="16" width="16.44140625" style="17" customWidth="1"/>
    <col min="17" max="17" width="17.44140625" style="17" customWidth="1"/>
    <col min="18" max="18" width="14.44140625" style="17" customWidth="1"/>
    <col min="19" max="19" width="7.5546875" style="17" customWidth="1"/>
  </cols>
  <sheetData>
    <row r="1" spans="1:16" ht="15.6">
      <c r="A1" s="1069" t="s">
        <v>562</v>
      </c>
      <c r="B1" s="1107"/>
      <c r="C1" s="1107"/>
      <c r="D1" s="1108"/>
      <c r="E1" s="1111" t="str">
        <f>IF('Internal Service Template'!E1="","",'Internal Service Template'!E1)</f>
        <v/>
      </c>
      <c r="F1" s="1111"/>
      <c r="G1" s="1111"/>
      <c r="H1" s="92"/>
      <c r="I1" s="544"/>
      <c r="J1" s="533"/>
      <c r="K1" s="92"/>
      <c r="L1" s="92"/>
      <c r="M1" s="92"/>
      <c r="N1" s="92"/>
      <c r="O1" s="92"/>
    </row>
    <row r="2" spans="1:16" ht="15.6">
      <c r="A2" s="1069" t="s">
        <v>177</v>
      </c>
      <c r="B2" s="1107"/>
      <c r="C2" s="1107"/>
      <c r="D2" s="1108"/>
      <c r="E2" s="1111" t="str">
        <f>IF('Internal Service Template'!E2="","",'Internal Service Template'!E2)</f>
        <v/>
      </c>
      <c r="F2" s="1111"/>
      <c r="G2" s="1111"/>
      <c r="H2" s="13"/>
      <c r="I2" s="545"/>
      <c r="J2" s="534"/>
      <c r="K2" s="13"/>
      <c r="L2" s="13"/>
      <c r="M2" s="13"/>
      <c r="N2" s="13"/>
      <c r="O2" s="13"/>
    </row>
    <row r="3" spans="1:16" ht="15.6">
      <c r="A3" s="1069" t="s">
        <v>586</v>
      </c>
      <c r="B3" s="1107"/>
      <c r="C3" s="1107"/>
      <c r="D3" s="1108"/>
      <c r="E3" s="1112" t="str">
        <f>IF('Internal Service Template'!E3="","",'Internal Service Template'!E3)</f>
        <v/>
      </c>
      <c r="F3" s="1112"/>
      <c r="G3" s="1112"/>
      <c r="H3" s="11"/>
      <c r="I3" s="239"/>
      <c r="J3" s="535"/>
      <c r="K3" s="11"/>
      <c r="L3" s="11"/>
      <c r="M3" s="11"/>
      <c r="N3" s="11"/>
      <c r="O3" s="11"/>
    </row>
    <row r="4" spans="1:16" ht="15.6">
      <c r="A4" s="1069" t="s">
        <v>587</v>
      </c>
      <c r="B4" s="1107"/>
      <c r="C4" s="1107"/>
      <c r="D4" s="1108"/>
      <c r="E4" s="1106" t="str">
        <f>IF('Internal Service Template'!E4="","",'Internal Service Template'!E4)</f>
        <v/>
      </c>
      <c r="F4" s="1106"/>
      <c r="G4" s="1106"/>
      <c r="H4" s="11"/>
      <c r="I4" s="239"/>
      <c r="J4" s="535"/>
      <c r="K4" s="11"/>
      <c r="L4" s="11"/>
      <c r="M4" s="11"/>
      <c r="N4" s="11"/>
      <c r="O4" s="11"/>
    </row>
    <row r="5" spans="1:16" ht="15.6">
      <c r="A5" s="1069" t="s">
        <v>2770</v>
      </c>
      <c r="B5" s="1107"/>
      <c r="C5" s="1107"/>
      <c r="D5" s="1108"/>
      <c r="E5" s="1109" t="str">
        <f>IF('Internal Service Template'!E5="","",'Internal Service Template'!E5)</f>
        <v/>
      </c>
      <c r="F5" s="1109"/>
      <c r="G5" s="1109"/>
      <c r="H5" s="13"/>
      <c r="I5" s="545"/>
      <c r="J5" s="554" t="s">
        <v>3461</v>
      </c>
      <c r="K5" s="606">
        <f>IF('Internal Service Template'!$O$101&lt;'Internal Service Template'!$O$237,'Internal Service Template'!$O$237,'Internal Service Template'!$O$101)</f>
        <v>0</v>
      </c>
      <c r="L5" s="13"/>
      <c r="M5" s="13"/>
      <c r="N5" s="13"/>
      <c r="O5" s="13"/>
    </row>
    <row r="6" spans="1:16" ht="15.6">
      <c r="A6" s="1069" t="s">
        <v>588</v>
      </c>
      <c r="B6" s="1107"/>
      <c r="C6" s="1107"/>
      <c r="D6" s="1108"/>
      <c r="E6" s="1110" t="str">
        <f>IF('Internal Service Template'!E6="","",'Internal Service Template'!E6)</f>
        <v/>
      </c>
      <c r="F6" s="1110"/>
      <c r="G6" s="1110"/>
      <c r="H6" s="565"/>
      <c r="I6" s="239"/>
      <c r="J6" s="536"/>
      <c r="K6" s="5">
        <f>IF(K5&lt;J8,K8,IF(K5&lt;J9,K9,IF(K5&lt;J10,K10,IF(K5&lt;J11,K11,IF(K5&lt;J12,K12,IF(K5&lt;J13,K13,IF(K5&lt;J14,K14,IF(K5&lt;J15,K15,IF(K5&lt;J16,K16,IF(K5&lt;J17,K17,IF(K5&lt;J18,K18,IF(K5&lt;J19,K19,IF(K5&lt;J54,K54,IF(K5&lt;J55,K55))))))))))))))</f>
        <v>1000</v>
      </c>
      <c r="L6" s="565"/>
      <c r="M6" s="565"/>
      <c r="N6" s="565"/>
      <c r="O6" s="565"/>
    </row>
    <row r="7" spans="1:16" ht="15.6">
      <c r="A7" s="1069" t="s">
        <v>557</v>
      </c>
      <c r="B7" s="1107"/>
      <c r="C7" s="1107"/>
      <c r="D7" s="1108"/>
      <c r="E7" s="1111" t="str">
        <f>IF('Internal Service Template'!E7="","",'Internal Service Template'!E7)</f>
        <v/>
      </c>
      <c r="F7" s="1111"/>
      <c r="G7" s="1111"/>
      <c r="H7" s="566"/>
      <c r="I7" s="546"/>
      <c r="J7" s="536"/>
      <c r="L7" s="566"/>
      <c r="M7" s="566"/>
      <c r="N7" s="566"/>
      <c r="O7" s="566"/>
    </row>
    <row r="8" spans="1:16">
      <c r="A8"/>
      <c r="B8"/>
      <c r="C8"/>
      <c r="D8"/>
      <c r="E8"/>
      <c r="F8"/>
      <c r="G8" s="607"/>
      <c r="H8" s="561"/>
      <c r="I8" s="547"/>
      <c r="J8" s="208">
        <v>50001</v>
      </c>
      <c r="K8" s="5">
        <v>1000</v>
      </c>
      <c r="L8" s="561"/>
      <c r="M8" s="561"/>
      <c r="N8" s="561"/>
      <c r="O8" s="561"/>
      <c r="P8" s="561"/>
    </row>
    <row r="9" spans="1:16" hidden="1">
      <c r="A9"/>
      <c r="B9"/>
      <c r="C9"/>
      <c r="D9"/>
      <c r="E9"/>
      <c r="F9"/>
      <c r="G9" s="607"/>
      <c r="H9" s="561"/>
      <c r="I9" s="547"/>
      <c r="J9" s="208">
        <v>100001</v>
      </c>
      <c r="K9" s="5">
        <v>3000</v>
      </c>
      <c r="L9" s="561"/>
      <c r="M9" s="561"/>
      <c r="N9" s="561"/>
      <c r="O9" s="561"/>
      <c r="P9" s="561"/>
    </row>
    <row r="10" spans="1:16" hidden="1">
      <c r="A10"/>
      <c r="B10"/>
      <c r="C10"/>
      <c r="D10"/>
      <c r="E10"/>
      <c r="F10"/>
      <c r="G10" s="607"/>
      <c r="H10" s="561"/>
      <c r="I10" s="547"/>
      <c r="J10" s="208">
        <v>500001</v>
      </c>
      <c r="K10" s="5">
        <v>4000</v>
      </c>
      <c r="L10" s="561"/>
      <c r="M10" s="561"/>
      <c r="N10" s="561"/>
      <c r="O10" s="561"/>
      <c r="P10" s="561"/>
    </row>
    <row r="11" spans="1:16" hidden="1">
      <c r="A11"/>
      <c r="B11"/>
      <c r="C11"/>
      <c r="D11"/>
      <c r="E11"/>
      <c r="F11"/>
      <c r="G11" s="607"/>
      <c r="H11" s="561"/>
      <c r="I11" s="547"/>
      <c r="J11" s="208">
        <v>1000001</v>
      </c>
      <c r="K11" s="5">
        <v>13000</v>
      </c>
      <c r="L11" s="561"/>
      <c r="M11" s="561"/>
      <c r="N11" s="561"/>
      <c r="O11" s="561"/>
      <c r="P11" s="561"/>
    </row>
    <row r="12" spans="1:16" hidden="1">
      <c r="A12"/>
      <c r="B12"/>
      <c r="C12"/>
      <c r="D12"/>
      <c r="E12"/>
      <c r="F12"/>
      <c r="G12" s="607"/>
      <c r="H12" s="561"/>
      <c r="I12" s="547"/>
      <c r="J12" s="208">
        <v>5000001</v>
      </c>
      <c r="K12" s="5">
        <v>18000</v>
      </c>
      <c r="L12" s="561"/>
      <c r="M12" s="561"/>
      <c r="N12" s="561"/>
      <c r="O12" s="561"/>
      <c r="P12" s="561"/>
    </row>
    <row r="13" spans="1:16">
      <c r="A13"/>
      <c r="B13"/>
      <c r="C13"/>
      <c r="D13"/>
      <c r="E13"/>
      <c r="F13"/>
      <c r="G13" s="607"/>
      <c r="H13" s="561"/>
      <c r="I13" s="547"/>
      <c r="J13" s="208">
        <v>10000001</v>
      </c>
      <c r="K13" s="5">
        <v>50000</v>
      </c>
      <c r="L13" s="561"/>
      <c r="M13" s="561"/>
      <c r="N13" s="561"/>
      <c r="O13" s="561"/>
      <c r="P13" s="561"/>
    </row>
    <row r="14" spans="1:16" hidden="1">
      <c r="A14"/>
      <c r="B14"/>
      <c r="C14"/>
      <c r="D14"/>
      <c r="E14"/>
      <c r="F14"/>
      <c r="G14" s="607"/>
      <c r="H14" s="561"/>
      <c r="I14" s="547"/>
      <c r="J14" s="208">
        <v>50000001</v>
      </c>
      <c r="K14" s="5">
        <v>80000</v>
      </c>
      <c r="L14" s="561"/>
      <c r="M14" s="561"/>
      <c r="N14" s="561"/>
      <c r="O14" s="561"/>
      <c r="P14" s="561"/>
    </row>
    <row r="15" spans="1:16" hidden="1">
      <c r="A15"/>
      <c r="B15"/>
      <c r="C15"/>
      <c r="D15"/>
      <c r="E15"/>
      <c r="F15"/>
      <c r="G15" s="607"/>
      <c r="H15" s="561"/>
      <c r="I15" s="547"/>
      <c r="J15" s="208">
        <v>100000001</v>
      </c>
      <c r="K15" s="5">
        <v>240000</v>
      </c>
      <c r="L15" s="561"/>
      <c r="M15" s="561"/>
      <c r="N15" s="561"/>
      <c r="O15" s="561"/>
      <c r="P15" s="561"/>
    </row>
    <row r="16" spans="1:16" hidden="1">
      <c r="A16"/>
      <c r="B16"/>
      <c r="C16"/>
      <c r="D16"/>
      <c r="E16"/>
      <c r="F16"/>
      <c r="G16" s="607"/>
      <c r="H16" s="561"/>
      <c r="I16" s="547"/>
      <c r="J16" s="208">
        <v>300000001</v>
      </c>
      <c r="K16" s="5">
        <v>365000</v>
      </c>
      <c r="L16" s="561"/>
      <c r="M16" s="561"/>
      <c r="N16" s="561"/>
      <c r="O16" s="561"/>
      <c r="P16" s="561"/>
    </row>
    <row r="17" spans="1:23" hidden="1">
      <c r="A17"/>
      <c r="B17"/>
      <c r="C17"/>
      <c r="D17"/>
      <c r="E17"/>
      <c r="F17"/>
      <c r="G17" s="607"/>
      <c r="H17" s="561"/>
      <c r="I17" s="547"/>
      <c r="J17" s="208">
        <v>1000000001</v>
      </c>
      <c r="K17" s="5">
        <v>725000</v>
      </c>
      <c r="L17" s="561"/>
      <c r="M17" s="561"/>
      <c r="N17" s="561"/>
      <c r="O17" s="561"/>
      <c r="P17" s="561"/>
    </row>
    <row r="18" spans="1:23" hidden="1">
      <c r="A18"/>
      <c r="B18"/>
      <c r="C18"/>
      <c r="D18"/>
      <c r="E18"/>
      <c r="F18"/>
      <c r="G18" s="607"/>
      <c r="H18" s="561"/>
      <c r="I18" s="547"/>
      <c r="J18" s="208">
        <v>3000000001</v>
      </c>
      <c r="K18" s="5">
        <v>1775000</v>
      </c>
      <c r="L18" s="561"/>
      <c r="M18" s="561"/>
      <c r="N18" s="561"/>
      <c r="O18" s="561"/>
      <c r="P18" s="561"/>
    </row>
    <row r="19" spans="1:23" hidden="1">
      <c r="A19"/>
      <c r="B19"/>
      <c r="C19"/>
      <c r="D19"/>
      <c r="E19"/>
      <c r="F19"/>
      <c r="G19" s="607"/>
      <c r="H19" s="561"/>
      <c r="I19" s="547"/>
      <c r="J19" s="208">
        <v>10000000001</v>
      </c>
      <c r="K19" s="5">
        <v>4175000</v>
      </c>
      <c r="L19" s="561"/>
      <c r="M19" s="561"/>
      <c r="N19" s="561"/>
      <c r="O19" s="561"/>
      <c r="P19" s="561"/>
    </row>
    <row r="20" spans="1:23" hidden="1">
      <c r="A20"/>
      <c r="B20"/>
      <c r="C20"/>
      <c r="D20"/>
      <c r="E20"/>
      <c r="F20"/>
      <c r="G20" s="607"/>
      <c r="H20" s="561"/>
      <c r="I20" s="547"/>
      <c r="J20" s="537"/>
      <c r="K20" s="561"/>
      <c r="L20" s="561"/>
      <c r="M20" s="561"/>
      <c r="N20" s="561"/>
      <c r="O20" s="561"/>
      <c r="P20" s="561"/>
    </row>
    <row r="21" spans="1:23" hidden="1">
      <c r="A21"/>
      <c r="B21"/>
      <c r="C21"/>
      <c r="D21"/>
      <c r="E21"/>
      <c r="F21"/>
      <c r="G21" s="607"/>
      <c r="H21" s="561"/>
      <c r="I21" s="547"/>
      <c r="J21" s="537"/>
      <c r="K21" s="561"/>
      <c r="L21" s="561"/>
      <c r="M21" s="561"/>
      <c r="N21" s="561"/>
      <c r="O21" s="561"/>
      <c r="P21" s="561"/>
    </row>
    <row r="22" spans="1:23" hidden="1">
      <c r="A22"/>
      <c r="B22"/>
      <c r="C22"/>
      <c r="D22"/>
      <c r="E22"/>
      <c r="F22"/>
      <c r="G22" s="607"/>
      <c r="H22" s="561"/>
      <c r="I22" s="547"/>
      <c r="J22" s="537"/>
      <c r="K22" s="561"/>
      <c r="L22" s="561"/>
      <c r="M22" s="561"/>
      <c r="N22" s="561"/>
      <c r="O22" s="561"/>
      <c r="P22" s="561"/>
    </row>
    <row r="23" spans="1:23" hidden="1">
      <c r="A23"/>
      <c r="B23"/>
      <c r="C23"/>
      <c r="G23" s="607"/>
      <c r="H23" s="561"/>
      <c r="I23" s="547"/>
      <c r="J23" s="537"/>
      <c r="K23" s="561"/>
      <c r="L23" s="561"/>
      <c r="M23" s="561"/>
      <c r="N23" s="561"/>
      <c r="O23" s="561"/>
      <c r="P23" s="561"/>
    </row>
    <row r="24" spans="1:23" s="11" customFormat="1">
      <c r="A24" s="13" t="s">
        <v>784</v>
      </c>
      <c r="G24" s="608"/>
      <c r="H24" s="561"/>
      <c r="I24" s="547"/>
      <c r="J24" s="537"/>
      <c r="K24" s="561"/>
      <c r="L24" s="561"/>
      <c r="M24" s="561"/>
      <c r="N24" s="561"/>
      <c r="O24" s="561"/>
      <c r="P24" s="561"/>
      <c r="Q24" s="17"/>
      <c r="R24" s="17"/>
      <c r="S24" s="17"/>
    </row>
    <row r="25" spans="1:23" s="11" customFormat="1">
      <c r="G25" s="19"/>
      <c r="H25" s="561"/>
      <c r="I25" s="547"/>
      <c r="J25" s="537"/>
      <c r="K25" s="561"/>
      <c r="L25" s="561"/>
      <c r="M25" s="561"/>
      <c r="N25" s="561"/>
      <c r="O25" s="561"/>
      <c r="P25" s="561"/>
      <c r="Q25" s="17"/>
      <c r="R25" s="17"/>
      <c r="S25" s="17"/>
    </row>
    <row r="26" spans="1:23" s="11" customFormat="1">
      <c r="E26" s="94" t="s">
        <v>781</v>
      </c>
      <c r="F26" s="609">
        <f>K5</f>
        <v>0</v>
      </c>
      <c r="G26" s="19"/>
      <c r="H26" s="561"/>
      <c r="I26" s="547"/>
      <c r="J26" s="537"/>
      <c r="K26" s="561"/>
      <c r="L26" s="561"/>
      <c r="M26" s="561"/>
      <c r="N26" s="561"/>
      <c r="O26" s="561"/>
      <c r="P26" s="561"/>
      <c r="Q26" s="17"/>
      <c r="R26" s="17"/>
      <c r="S26" s="17"/>
    </row>
    <row r="27" spans="1:23" s="11" customFormat="1">
      <c r="E27" s="94" t="s">
        <v>782</v>
      </c>
      <c r="F27" s="610">
        <f>K6</f>
        <v>1000</v>
      </c>
      <c r="G27" s="19"/>
      <c r="H27" s="561"/>
      <c r="I27" s="547"/>
      <c r="J27" s="537"/>
      <c r="K27" s="561"/>
      <c r="L27" s="561"/>
      <c r="M27" s="561"/>
      <c r="N27" s="561"/>
      <c r="O27" s="561"/>
      <c r="P27" s="561"/>
      <c r="Q27" s="17"/>
      <c r="R27" s="17"/>
      <c r="S27" s="17"/>
    </row>
    <row r="28" spans="1:23">
      <c r="A28"/>
      <c r="B28"/>
      <c r="C28"/>
      <c r="D28"/>
      <c r="H28"/>
      <c r="I28" s="548"/>
      <c r="J28" s="538"/>
      <c r="K28"/>
      <c r="L28"/>
      <c r="M28"/>
      <c r="N28"/>
      <c r="O28"/>
      <c r="P28"/>
      <c r="Q28"/>
      <c r="R28"/>
      <c r="S28"/>
    </row>
    <row r="29" spans="1:23">
      <c r="A29" s="27"/>
      <c r="B29" s="17"/>
      <c r="C29" s="17"/>
      <c r="D29" s="17"/>
      <c r="E29" s="15" t="s">
        <v>780</v>
      </c>
      <c r="F29" s="16" t="s">
        <v>866</v>
      </c>
      <c r="G29" s="611" t="s">
        <v>783</v>
      </c>
      <c r="H29" s="21"/>
      <c r="I29" s="549"/>
      <c r="J29" s="539"/>
      <c r="K29" s="21"/>
      <c r="L29" s="21"/>
      <c r="M29" s="21"/>
      <c r="N29" s="21"/>
      <c r="O29" s="21"/>
    </row>
    <row r="30" spans="1:23" ht="13.8" thickBot="1">
      <c r="A30" s="612" t="s">
        <v>712</v>
      </c>
      <c r="B30" s="612"/>
      <c r="C30" s="612"/>
      <c r="D30" s="612"/>
      <c r="F30" s="22"/>
      <c r="G30" s="608"/>
      <c r="H30" s="11"/>
      <c r="I30" s="550"/>
      <c r="J30" s="540"/>
      <c r="K30" s="11"/>
      <c r="L30" s="11"/>
      <c r="M30" s="11"/>
      <c r="N30" s="11"/>
      <c r="O30" s="11"/>
      <c r="P30" s="11"/>
      <c r="Q30" s="13"/>
      <c r="R30" s="11"/>
      <c r="S30" s="11"/>
    </row>
    <row r="31" spans="1:23">
      <c r="A31" s="1064" t="str">
        <f>'Internal Service Template'!A34:D34</f>
        <v>For the Year Ended June 30, 2024</v>
      </c>
      <c r="B31" s="1064"/>
      <c r="C31" s="1064"/>
      <c r="D31" s="1064"/>
      <c r="E31" s="23"/>
      <c r="F31" s="569"/>
      <c r="G31" s="613"/>
      <c r="H31" s="23"/>
      <c r="I31" s="551"/>
      <c r="J31" s="541"/>
      <c r="K31" s="23"/>
      <c r="L31" s="23"/>
      <c r="M31" s="23"/>
      <c r="N31" s="23"/>
      <c r="O31" s="23"/>
      <c r="P31" s="23"/>
      <c r="Q31" s="211"/>
      <c r="R31" s="23"/>
      <c r="S31" s="23"/>
      <c r="V31" s="17"/>
      <c r="W31" s="5"/>
    </row>
    <row r="32" spans="1:23" hidden="1">
      <c r="A32" s="25"/>
      <c r="B32" s="25"/>
      <c r="C32" s="25"/>
      <c r="D32" s="25"/>
      <c r="E32" s="17"/>
      <c r="F32" s="26"/>
      <c r="P32" s="27"/>
      <c r="V32" s="17"/>
      <c r="W32" s="5" t="e">
        <f>IF(W31&lt;J34,K34,IF(W31&lt;J35,K35,IF(W31&lt;J36,K36,IF(W31&lt;J37,K5,IF(W31&lt;J38,K38,IF(W31&lt;J5,#REF!,IF(W31&lt;J6,K6,IF(W31&lt;J7,K7,IF(W31&lt;J8,K8,IF(W31&lt;J9,K9,IF(W31&lt;J10,K10,IF(W31&lt;J11,K11,IF(W31&lt;J12,K12,IF(W31&lt;J13,K13))))))))))))))</f>
        <v>#REF!</v>
      </c>
    </row>
    <row r="33" spans="1:19" hidden="1">
      <c r="A33" s="25"/>
      <c r="B33" s="25"/>
      <c r="C33" s="25"/>
      <c r="D33" s="25"/>
      <c r="E33" s="17"/>
      <c r="F33" s="17"/>
      <c r="H33"/>
      <c r="I33" s="548"/>
      <c r="J33" s="536"/>
      <c r="L33"/>
      <c r="M33"/>
      <c r="N33"/>
      <c r="O33"/>
      <c r="P33"/>
      <c r="Q33"/>
      <c r="R33"/>
      <c r="S33"/>
    </row>
    <row r="34" spans="1:19">
      <c r="A34" s="27" t="s">
        <v>734</v>
      </c>
      <c r="B34" s="17"/>
      <c r="C34" s="17"/>
      <c r="D34" s="17"/>
      <c r="H34"/>
      <c r="I34" s="548"/>
      <c r="J34" s="536"/>
      <c r="K34" s="5"/>
      <c r="L34"/>
      <c r="M34"/>
      <c r="N34"/>
      <c r="O34"/>
      <c r="P34"/>
      <c r="Q34"/>
      <c r="R34"/>
      <c r="S34"/>
    </row>
    <row r="35" spans="1:19">
      <c r="A35" s="27" t="s">
        <v>615</v>
      </c>
      <c r="B35" s="17"/>
      <c r="C35" s="17"/>
      <c r="D35" s="17"/>
      <c r="H35"/>
      <c r="I35" s="548"/>
      <c r="J35" s="536"/>
      <c r="K35" s="5"/>
      <c r="L35"/>
      <c r="M35"/>
      <c r="N35"/>
      <c r="O35"/>
      <c r="P35"/>
      <c r="Q35"/>
      <c r="R35"/>
      <c r="S35"/>
    </row>
    <row r="36" spans="1:19">
      <c r="A36" s="17" t="s">
        <v>537</v>
      </c>
      <c r="B36" s="17"/>
      <c r="C36" s="17"/>
      <c r="D36" s="17"/>
      <c r="H36"/>
      <c r="I36" s="548"/>
      <c r="J36" s="536"/>
      <c r="K36" s="5"/>
      <c r="L36"/>
      <c r="M36"/>
      <c r="N36"/>
      <c r="O36"/>
      <c r="P36"/>
      <c r="Q36"/>
      <c r="R36"/>
      <c r="S36"/>
    </row>
    <row r="37" spans="1:19">
      <c r="A37" s="17"/>
      <c r="B37" s="17" t="s">
        <v>2593</v>
      </c>
      <c r="C37" s="17"/>
      <c r="D37" s="17"/>
      <c r="E37" s="614" t="str">
        <f>'Internal Service Template'!Q40</f>
        <v/>
      </c>
      <c r="F37" s="267" t="str">
        <f>'Internal Service Template'!R40</f>
        <v/>
      </c>
      <c r="G37" s="263"/>
      <c r="H37"/>
      <c r="I37" s="548"/>
      <c r="J37" s="536"/>
      <c r="L37" s="615"/>
      <c r="M37"/>
      <c r="N37"/>
      <c r="O37"/>
      <c r="P37"/>
      <c r="Q37"/>
      <c r="R37"/>
      <c r="S37"/>
    </row>
    <row r="38" spans="1:19">
      <c r="A38" s="17"/>
      <c r="B38" s="17" t="s">
        <v>487</v>
      </c>
      <c r="C38" s="17"/>
      <c r="D38" s="17"/>
      <c r="E38" s="614" t="str">
        <f>'Internal Service Template'!Q41</f>
        <v/>
      </c>
      <c r="F38" s="267" t="str">
        <f>'Internal Service Template'!R41</f>
        <v/>
      </c>
      <c r="G38" s="263"/>
      <c r="H38"/>
      <c r="I38" s="548"/>
      <c r="J38" s="536"/>
      <c r="L38" s="615"/>
      <c r="M38"/>
      <c r="N38"/>
      <c r="O38"/>
      <c r="P38"/>
      <c r="Q38"/>
      <c r="R38"/>
      <c r="S38"/>
    </row>
    <row r="39" spans="1:19">
      <c r="A39" s="17"/>
      <c r="B39" s="17" t="s">
        <v>272</v>
      </c>
      <c r="C39" s="17"/>
      <c r="D39" s="17"/>
      <c r="E39" s="614" t="str">
        <f>'Internal Service Template'!Q42</f>
        <v/>
      </c>
      <c r="F39" s="267" t="str">
        <f>'Internal Service Template'!R42</f>
        <v/>
      </c>
      <c r="G39" s="263"/>
      <c r="H39"/>
      <c r="I39" s="548"/>
      <c r="L39" s="615"/>
      <c r="M39"/>
      <c r="N39"/>
      <c r="O39"/>
      <c r="P39"/>
      <c r="Q39"/>
      <c r="R39"/>
      <c r="S39"/>
    </row>
    <row r="40" spans="1:19">
      <c r="A40" s="17"/>
      <c r="B40" s="17" t="s">
        <v>88</v>
      </c>
      <c r="C40" s="17"/>
      <c r="D40" s="17"/>
      <c r="E40" s="614" t="str">
        <f>'Internal Service Template'!Q43</f>
        <v/>
      </c>
      <c r="F40" s="267" t="str">
        <f>'Internal Service Template'!R43</f>
        <v/>
      </c>
      <c r="G40" s="263"/>
      <c r="H40"/>
      <c r="I40" s="548"/>
      <c r="L40" s="615"/>
      <c r="M40"/>
      <c r="N40"/>
      <c r="O40"/>
      <c r="P40"/>
      <c r="Q40"/>
      <c r="R40"/>
      <c r="S40"/>
    </row>
    <row r="41" spans="1:19">
      <c r="A41" s="17"/>
      <c r="B41" s="17" t="s">
        <v>612</v>
      </c>
      <c r="C41" s="17"/>
      <c r="D41" s="17"/>
      <c r="E41" s="614" t="str">
        <f>'Internal Service Template'!Q44</f>
        <v/>
      </c>
      <c r="F41" s="267" t="str">
        <f>'Internal Service Template'!R44</f>
        <v/>
      </c>
      <c r="G41" s="263"/>
      <c r="H41"/>
      <c r="I41" s="548"/>
      <c r="L41" s="615"/>
      <c r="M41"/>
      <c r="N41"/>
      <c r="O41"/>
      <c r="P41"/>
      <c r="Q41"/>
      <c r="R41"/>
      <c r="S41"/>
    </row>
    <row r="42" spans="1:19" hidden="1">
      <c r="A42" s="17"/>
      <c r="B42" s="17"/>
      <c r="C42" s="33"/>
      <c r="D42" s="17"/>
      <c r="E42" s="616"/>
      <c r="F42" s="616"/>
      <c r="G42" s="264"/>
      <c r="H42"/>
      <c r="I42" s="548"/>
      <c r="L42" s="615"/>
      <c r="M42"/>
      <c r="N42"/>
      <c r="O42"/>
      <c r="P42"/>
      <c r="Q42"/>
      <c r="R42"/>
      <c r="S42"/>
    </row>
    <row r="43" spans="1:19" hidden="1">
      <c r="A43" s="17"/>
      <c r="B43" s="17"/>
      <c r="C43" s="17"/>
      <c r="D43" s="17"/>
      <c r="E43" s="617"/>
      <c r="F43" s="617"/>
      <c r="G43" s="264"/>
      <c r="H43"/>
      <c r="I43" s="548"/>
      <c r="L43" s="615"/>
      <c r="M43"/>
      <c r="N43"/>
      <c r="O43"/>
      <c r="P43"/>
      <c r="Q43"/>
      <c r="R43"/>
      <c r="S43"/>
    </row>
    <row r="44" spans="1:19">
      <c r="A44" s="17"/>
      <c r="B44" s="17" t="s">
        <v>273</v>
      </c>
      <c r="C44" s="17"/>
      <c r="D44" s="17"/>
      <c r="E44" s="614" t="str">
        <f>'Internal Service Template'!Q47</f>
        <v/>
      </c>
      <c r="F44" s="267" t="str">
        <f>'Internal Service Template'!R47</f>
        <v/>
      </c>
      <c r="G44" s="263"/>
      <c r="H44"/>
      <c r="I44" s="548"/>
      <c r="L44" s="615"/>
      <c r="M44"/>
      <c r="N44"/>
      <c r="O44"/>
      <c r="P44"/>
      <c r="Q44"/>
      <c r="R44"/>
      <c r="S44"/>
    </row>
    <row r="45" spans="1:19">
      <c r="A45" s="17"/>
      <c r="B45" s="17" t="s">
        <v>628</v>
      </c>
      <c r="C45" s="17"/>
      <c r="D45" s="17"/>
      <c r="E45" s="614" t="str">
        <f>'Internal Service Template'!Q48</f>
        <v/>
      </c>
      <c r="F45" s="267" t="str">
        <f>'Internal Service Template'!R48</f>
        <v/>
      </c>
      <c r="G45" s="263"/>
      <c r="H45"/>
      <c r="I45" s="548"/>
      <c r="L45" s="615"/>
      <c r="M45"/>
      <c r="N45"/>
      <c r="O45"/>
      <c r="P45"/>
      <c r="Q45"/>
      <c r="R45"/>
      <c r="S45"/>
    </row>
    <row r="46" spans="1:19">
      <c r="A46" s="17"/>
      <c r="B46" s="17" t="s">
        <v>613</v>
      </c>
      <c r="C46" s="17"/>
      <c r="D46" s="17"/>
      <c r="E46" s="614" t="str">
        <f>'Internal Service Template'!Q49</f>
        <v/>
      </c>
      <c r="F46" s="267" t="str">
        <f>'Internal Service Template'!R49</f>
        <v/>
      </c>
      <c r="G46" s="263"/>
      <c r="H46"/>
      <c r="I46" s="548"/>
      <c r="L46" s="615"/>
      <c r="M46"/>
      <c r="N46"/>
      <c r="O46"/>
      <c r="P46"/>
      <c r="Q46"/>
      <c r="R46"/>
      <c r="S46"/>
    </row>
    <row r="47" spans="1:19" hidden="1">
      <c r="A47" s="17"/>
      <c r="B47" s="17"/>
      <c r="C47" s="33"/>
      <c r="D47" s="17"/>
      <c r="E47" s="616"/>
      <c r="F47" s="616"/>
      <c r="G47" s="264"/>
      <c r="H47"/>
      <c r="I47" s="548"/>
      <c r="L47" s="615"/>
      <c r="M47"/>
      <c r="N47"/>
      <c r="O47"/>
      <c r="P47"/>
      <c r="Q47"/>
      <c r="R47"/>
      <c r="S47"/>
    </row>
    <row r="48" spans="1:19" hidden="1">
      <c r="A48" s="17"/>
      <c r="B48" s="17"/>
      <c r="C48" s="17"/>
      <c r="D48" s="17"/>
      <c r="E48" s="617"/>
      <c r="F48" s="617"/>
      <c r="G48" s="264"/>
      <c r="H48"/>
      <c r="I48" s="548"/>
      <c r="L48" s="615"/>
      <c r="M48"/>
      <c r="N48"/>
      <c r="O48"/>
      <c r="P48"/>
      <c r="Q48"/>
      <c r="R48"/>
      <c r="S48"/>
    </row>
    <row r="49" spans="1:19">
      <c r="A49" s="17"/>
      <c r="B49" s="17" t="s">
        <v>325</v>
      </c>
      <c r="C49" s="17"/>
      <c r="D49" s="17"/>
      <c r="E49" s="614" t="str">
        <f>'Internal Service Template'!Q52</f>
        <v/>
      </c>
      <c r="F49" s="267" t="str">
        <f>'Internal Service Template'!R52</f>
        <v/>
      </c>
      <c r="G49" s="263"/>
      <c r="H49"/>
      <c r="I49" s="548"/>
      <c r="L49" s="615"/>
      <c r="M49"/>
      <c r="N49"/>
      <c r="O49"/>
      <c r="P49"/>
      <c r="Q49"/>
      <c r="R49"/>
      <c r="S49"/>
    </row>
    <row r="50" spans="1:19">
      <c r="A50" s="17"/>
      <c r="B50" s="17" t="s">
        <v>324</v>
      </c>
      <c r="C50" s="17"/>
      <c r="D50" s="17"/>
      <c r="E50" s="614" t="str">
        <f>'Internal Service Template'!Q53</f>
        <v/>
      </c>
      <c r="F50" s="267" t="str">
        <f>'Internal Service Template'!R53</f>
        <v/>
      </c>
      <c r="G50" s="263"/>
      <c r="H50"/>
      <c r="I50" s="548"/>
      <c r="L50" s="615"/>
      <c r="M50"/>
      <c r="N50"/>
      <c r="O50"/>
      <c r="P50"/>
      <c r="Q50"/>
      <c r="R50"/>
      <c r="S50"/>
    </row>
    <row r="51" spans="1:19">
      <c r="A51" s="17"/>
      <c r="B51" s="17" t="s">
        <v>543</v>
      </c>
      <c r="C51" s="17"/>
      <c r="D51" s="17"/>
      <c r="E51" s="614" t="str">
        <f>'Internal Service Template'!Q54</f>
        <v/>
      </c>
      <c r="F51" s="267" t="str">
        <f>'Internal Service Template'!R54</f>
        <v/>
      </c>
      <c r="G51" s="263"/>
      <c r="H51"/>
      <c r="I51" s="548"/>
      <c r="L51" s="615"/>
      <c r="M51"/>
      <c r="N51"/>
      <c r="O51"/>
      <c r="P51"/>
      <c r="Q51"/>
      <c r="R51"/>
      <c r="S51"/>
    </row>
    <row r="52" spans="1:19">
      <c r="A52" s="17"/>
      <c r="B52" s="17" t="s">
        <v>610</v>
      </c>
      <c r="C52" s="17"/>
      <c r="D52" s="17"/>
      <c r="E52" s="614" t="str">
        <f>'Internal Service Template'!Q55</f>
        <v/>
      </c>
      <c r="F52" s="267" t="str">
        <f>'Internal Service Template'!R55</f>
        <v/>
      </c>
      <c r="G52" s="263"/>
      <c r="H52"/>
      <c r="I52" s="548"/>
      <c r="L52" s="615"/>
      <c r="M52"/>
      <c r="N52"/>
      <c r="O52"/>
      <c r="P52"/>
      <c r="Q52"/>
      <c r="R52"/>
      <c r="S52"/>
    </row>
    <row r="53" spans="1:19">
      <c r="A53" s="17"/>
      <c r="B53" s="17" t="s">
        <v>611</v>
      </c>
      <c r="C53" s="17"/>
      <c r="D53" s="17"/>
      <c r="E53" s="614" t="str">
        <f>'Internal Service Template'!Q56</f>
        <v/>
      </c>
      <c r="F53" s="267" t="str">
        <f>'Internal Service Template'!R56</f>
        <v/>
      </c>
      <c r="G53" s="263"/>
      <c r="H53"/>
      <c r="I53" s="548"/>
      <c r="L53" s="615"/>
      <c r="M53"/>
      <c r="N53"/>
      <c r="O53"/>
      <c r="P53"/>
      <c r="Q53"/>
      <c r="R53"/>
      <c r="S53"/>
    </row>
    <row r="54" spans="1:19" hidden="1">
      <c r="A54" s="17"/>
      <c r="B54" s="17"/>
      <c r="C54" s="33"/>
      <c r="D54" s="17"/>
      <c r="E54" s="616"/>
      <c r="F54" s="616"/>
      <c r="G54" s="264"/>
      <c r="H54"/>
      <c r="I54" s="548"/>
      <c r="J54" s="536"/>
      <c r="K54" s="5">
        <v>10475000</v>
      </c>
      <c r="L54" s="615"/>
      <c r="M54"/>
      <c r="N54"/>
      <c r="O54"/>
      <c r="P54"/>
      <c r="Q54"/>
      <c r="R54"/>
      <c r="S54"/>
    </row>
    <row r="55" spans="1:19" hidden="1">
      <c r="A55" s="17"/>
      <c r="B55" s="17"/>
      <c r="C55" s="17"/>
      <c r="D55" s="17"/>
      <c r="E55" s="617"/>
      <c r="F55" s="617"/>
      <c r="G55" s="264"/>
      <c r="H55"/>
      <c r="I55" s="548"/>
      <c r="J55" s="536"/>
      <c r="K55" s="5">
        <v>22475000</v>
      </c>
      <c r="L55" s="615"/>
      <c r="M55"/>
      <c r="N55"/>
      <c r="O55"/>
      <c r="P55"/>
      <c r="Q55"/>
      <c r="R55"/>
      <c r="S55"/>
    </row>
    <row r="56" spans="1:19">
      <c r="A56" s="17"/>
      <c r="B56" s="17" t="s">
        <v>488</v>
      </c>
      <c r="C56" s="17"/>
      <c r="D56" s="17"/>
      <c r="E56" s="614" t="str">
        <f>'Internal Service Template'!Q59</f>
        <v/>
      </c>
      <c r="F56" s="267" t="str">
        <f>'Internal Service Template'!R59</f>
        <v/>
      </c>
      <c r="G56" s="263"/>
      <c r="H56"/>
      <c r="I56" s="548"/>
      <c r="J56" s="538"/>
      <c r="K56"/>
      <c r="L56" s="615"/>
      <c r="M56"/>
      <c r="N56"/>
      <c r="O56"/>
      <c r="P56"/>
      <c r="Q56"/>
      <c r="R56"/>
      <c r="S56"/>
    </row>
    <row r="57" spans="1:19">
      <c r="A57" s="17"/>
      <c r="B57" s="17" t="s">
        <v>322</v>
      </c>
      <c r="C57" s="17"/>
      <c r="D57" s="17"/>
      <c r="E57" s="614" t="str">
        <f>'Internal Service Template'!Q60</f>
        <v/>
      </c>
      <c r="F57" s="267" t="str">
        <f>'Internal Service Template'!R60</f>
        <v/>
      </c>
      <c r="G57" s="263"/>
      <c r="H57" s="87"/>
      <c r="I57" s="548"/>
      <c r="J57" s="538"/>
      <c r="K57"/>
      <c r="L57" s="615"/>
      <c r="M57"/>
      <c r="N57"/>
      <c r="O57"/>
      <c r="P57"/>
      <c r="Q57"/>
      <c r="R57"/>
      <c r="S57"/>
    </row>
    <row r="58" spans="1:19" hidden="1">
      <c r="A58" s="17"/>
      <c r="B58" s="17"/>
      <c r="C58" s="33"/>
      <c r="D58" s="17"/>
      <c r="E58" s="616"/>
      <c r="F58" s="616"/>
      <c r="G58" s="265"/>
      <c r="H58"/>
      <c r="I58" s="548"/>
      <c r="J58" s="538"/>
      <c r="K58"/>
      <c r="L58" s="615"/>
      <c r="M58"/>
      <c r="N58"/>
      <c r="O58"/>
      <c r="P58"/>
      <c r="Q58"/>
      <c r="R58"/>
      <c r="S58"/>
    </row>
    <row r="59" spans="1:19" hidden="1">
      <c r="A59" s="17"/>
      <c r="B59" s="17"/>
      <c r="C59" s="17"/>
      <c r="D59" s="17"/>
      <c r="E59" s="617"/>
      <c r="F59" s="617"/>
      <c r="G59" s="266"/>
      <c r="H59"/>
      <c r="I59" s="548"/>
      <c r="J59" s="538"/>
      <c r="K59"/>
      <c r="L59" s="615"/>
      <c r="M59"/>
      <c r="N59"/>
      <c r="O59"/>
      <c r="P59"/>
      <c r="Q59"/>
      <c r="R59"/>
      <c r="S59"/>
    </row>
    <row r="60" spans="1:19">
      <c r="A60" s="17"/>
      <c r="B60" s="33" t="s">
        <v>489</v>
      </c>
      <c r="C60" s="17"/>
      <c r="D60" s="17"/>
      <c r="E60" s="614" t="str">
        <f>'Internal Service Template'!Q63</f>
        <v/>
      </c>
      <c r="F60" s="267" t="str">
        <f>'Internal Service Template'!R63</f>
        <v/>
      </c>
      <c r="G60" s="263"/>
      <c r="H60"/>
      <c r="I60" s="548"/>
      <c r="J60" s="538"/>
      <c r="K60"/>
      <c r="L60" s="615"/>
      <c r="M60"/>
      <c r="N60"/>
      <c r="O60"/>
      <c r="P60"/>
      <c r="Q60"/>
      <c r="R60"/>
      <c r="S60"/>
    </row>
    <row r="61" spans="1:19">
      <c r="A61" s="17"/>
      <c r="B61" s="33" t="s">
        <v>490</v>
      </c>
      <c r="C61" s="17"/>
      <c r="D61" s="17"/>
      <c r="E61" s="614" t="str">
        <f>'Internal Service Template'!Q64</f>
        <v/>
      </c>
      <c r="F61" s="267" t="str">
        <f>'Internal Service Template'!R64</f>
        <v/>
      </c>
      <c r="G61" s="263"/>
      <c r="H61"/>
      <c r="I61" s="548"/>
      <c r="J61" s="538"/>
      <c r="K61"/>
      <c r="L61" s="615"/>
      <c r="M61"/>
      <c r="N61"/>
      <c r="O61"/>
      <c r="P61"/>
      <c r="Q61"/>
      <c r="R61"/>
      <c r="S61"/>
    </row>
    <row r="62" spans="1:19">
      <c r="A62" s="17"/>
      <c r="B62" s="33" t="s">
        <v>491</v>
      </c>
      <c r="C62" s="17"/>
      <c r="D62" s="17"/>
      <c r="E62" s="614" t="str">
        <f>'Internal Service Template'!Q65</f>
        <v/>
      </c>
      <c r="F62" s="267" t="str">
        <f>'Internal Service Template'!R65</f>
        <v/>
      </c>
      <c r="G62" s="263"/>
      <c r="H62"/>
      <c r="I62" s="548"/>
      <c r="J62" s="538"/>
      <c r="K62"/>
      <c r="L62" s="615"/>
      <c r="M62"/>
      <c r="N62"/>
      <c r="O62"/>
      <c r="P62"/>
      <c r="Q62"/>
      <c r="R62"/>
      <c r="S62"/>
    </row>
    <row r="63" spans="1:19" hidden="1">
      <c r="A63" s="17"/>
      <c r="B63" s="17"/>
      <c r="C63" s="17"/>
      <c r="D63" s="17"/>
      <c r="E63" s="618"/>
      <c r="F63" s="618"/>
      <c r="G63" s="264"/>
      <c r="H63"/>
      <c r="I63" s="548"/>
      <c r="J63" s="538"/>
      <c r="K63"/>
      <c r="L63" s="615"/>
      <c r="M63"/>
      <c r="N63"/>
      <c r="O63"/>
      <c r="P63"/>
      <c r="Q63"/>
      <c r="R63"/>
      <c r="S63"/>
    </row>
    <row r="64" spans="1:19">
      <c r="A64" s="17"/>
      <c r="B64" s="17" t="s">
        <v>492</v>
      </c>
      <c r="C64" s="33"/>
      <c r="D64" s="17"/>
      <c r="E64" s="614" t="str">
        <f>'Internal Service Template'!Q67</f>
        <v/>
      </c>
      <c r="F64" s="267" t="str">
        <f>'Internal Service Template'!R67</f>
        <v/>
      </c>
      <c r="G64" s="263"/>
      <c r="H64"/>
      <c r="I64" s="548"/>
      <c r="J64" s="538"/>
      <c r="K64"/>
      <c r="L64" s="615"/>
      <c r="M64"/>
      <c r="N64"/>
      <c r="O64"/>
      <c r="P64"/>
      <c r="Q64"/>
      <c r="R64"/>
      <c r="S64"/>
    </row>
    <row r="65" spans="1:19">
      <c r="A65" s="17"/>
      <c r="B65" s="17" t="s">
        <v>629</v>
      </c>
      <c r="C65" s="33"/>
      <c r="D65" s="17"/>
      <c r="E65" s="614" t="str">
        <f>'Internal Service Template'!Q68</f>
        <v/>
      </c>
      <c r="F65" s="267" t="str">
        <f>'Internal Service Template'!R68</f>
        <v/>
      </c>
      <c r="G65" s="263"/>
      <c r="H65"/>
      <c r="I65" s="548"/>
      <c r="J65" s="538"/>
      <c r="K65"/>
      <c r="L65" s="615"/>
      <c r="M65"/>
      <c r="N65"/>
      <c r="O65"/>
      <c r="P65"/>
      <c r="Q65"/>
      <c r="R65"/>
      <c r="S65"/>
    </row>
    <row r="66" spans="1:19" hidden="1">
      <c r="A66" s="17"/>
      <c r="B66" s="577" t="s">
        <v>46</v>
      </c>
      <c r="C66" s="17"/>
      <c r="D66" s="17"/>
      <c r="E66" s="614" t="str">
        <f>'Internal Service Template'!Q69</f>
        <v/>
      </c>
      <c r="F66" s="267" t="str">
        <f>'Internal Service Template'!R69</f>
        <v/>
      </c>
      <c r="G66" s="263"/>
      <c r="H66"/>
      <c r="I66" s="548"/>
      <c r="J66" s="538"/>
      <c r="K66"/>
      <c r="L66" s="615"/>
      <c r="M66"/>
      <c r="N66"/>
      <c r="O66"/>
      <c r="P66"/>
      <c r="Q66"/>
      <c r="R66"/>
      <c r="S66"/>
    </row>
    <row r="67" spans="1:19">
      <c r="A67" s="17"/>
      <c r="B67" s="17" t="s">
        <v>2897</v>
      </c>
      <c r="C67" s="17"/>
      <c r="D67" s="17"/>
      <c r="E67" s="614" t="str">
        <f>'Internal Service Template'!Q70</f>
        <v/>
      </c>
      <c r="F67" s="267" t="str">
        <f>'Internal Service Template'!R70</f>
        <v/>
      </c>
      <c r="G67" s="263"/>
      <c r="H67"/>
      <c r="I67" s="548"/>
      <c r="J67" s="538"/>
      <c r="K67"/>
      <c r="L67" s="615"/>
      <c r="M67"/>
      <c r="N67"/>
      <c r="O67"/>
      <c r="P67"/>
      <c r="Q67"/>
      <c r="R67"/>
      <c r="S67"/>
    </row>
    <row r="68" spans="1:19" hidden="1">
      <c r="A68" s="17"/>
      <c r="B68" s="17"/>
      <c r="C68" s="33"/>
      <c r="D68" s="17"/>
      <c r="E68" s="616"/>
      <c r="F68" s="616"/>
      <c r="H68"/>
      <c r="I68" s="548"/>
      <c r="J68" s="538"/>
      <c r="K68"/>
      <c r="L68" s="615"/>
      <c r="M68"/>
      <c r="N68"/>
      <c r="O68"/>
      <c r="P68"/>
      <c r="Q68"/>
      <c r="R68"/>
      <c r="S68"/>
    </row>
    <row r="69" spans="1:19" hidden="1">
      <c r="A69" s="17"/>
      <c r="B69" s="17"/>
      <c r="C69" s="33"/>
      <c r="D69" s="17"/>
      <c r="E69" s="169"/>
      <c r="F69" s="169"/>
      <c r="H69"/>
      <c r="I69" s="548"/>
      <c r="J69" s="538"/>
      <c r="K69"/>
      <c r="L69" s="615"/>
      <c r="M69"/>
      <c r="N69"/>
      <c r="O69"/>
      <c r="P69"/>
      <c r="Q69"/>
      <c r="R69"/>
      <c r="S69"/>
    </row>
    <row r="70" spans="1:19" hidden="1">
      <c r="A70" s="17"/>
      <c r="B70" s="17"/>
      <c r="C70" s="17"/>
      <c r="D70" s="33"/>
      <c r="E70" s="169"/>
      <c r="F70" s="169"/>
      <c r="H70"/>
      <c r="I70" s="548"/>
      <c r="J70" s="538"/>
      <c r="K70"/>
      <c r="L70" s="615"/>
      <c r="M70"/>
      <c r="N70"/>
      <c r="O70"/>
      <c r="P70"/>
      <c r="Q70"/>
      <c r="R70"/>
      <c r="S70"/>
    </row>
    <row r="71" spans="1:19" hidden="1">
      <c r="A71" s="17"/>
      <c r="B71" s="17"/>
      <c r="C71" s="17"/>
      <c r="D71" s="17"/>
      <c r="E71" s="169"/>
      <c r="F71" s="169"/>
      <c r="G71" s="607"/>
      <c r="H71"/>
      <c r="I71" s="548"/>
      <c r="J71" s="538"/>
      <c r="K71"/>
      <c r="L71" s="615"/>
      <c r="M71"/>
      <c r="N71"/>
      <c r="O71"/>
      <c r="P71"/>
      <c r="Q71"/>
      <c r="R71"/>
      <c r="S71"/>
    </row>
    <row r="72" spans="1:19">
      <c r="A72" s="17" t="s">
        <v>538</v>
      </c>
      <c r="B72" s="17"/>
      <c r="C72" s="17"/>
      <c r="D72" s="17"/>
      <c r="E72" s="169"/>
      <c r="F72" s="169"/>
      <c r="G72" s="607"/>
      <c r="H72"/>
      <c r="I72" s="548"/>
      <c r="J72" s="538"/>
      <c r="K72"/>
      <c r="L72" s="615"/>
      <c r="M72"/>
      <c r="N72"/>
      <c r="O72"/>
      <c r="P72"/>
      <c r="Q72"/>
      <c r="R72"/>
      <c r="S72"/>
    </row>
    <row r="73" spans="1:19" hidden="1">
      <c r="A73" s="17"/>
      <c r="B73" s="17"/>
      <c r="C73" s="17"/>
      <c r="D73" s="17"/>
      <c r="E73" s="617"/>
      <c r="F73" s="617"/>
      <c r="G73" s="619"/>
      <c r="H73"/>
      <c r="I73" s="548"/>
      <c r="J73" s="538"/>
      <c r="K73"/>
      <c r="L73" s="615"/>
      <c r="M73"/>
      <c r="N73"/>
      <c r="O73"/>
      <c r="P73"/>
      <c r="Q73"/>
      <c r="R73"/>
      <c r="S73"/>
    </row>
    <row r="74" spans="1:19">
      <c r="A74" s="17"/>
      <c r="B74" s="17" t="s">
        <v>628</v>
      </c>
      <c r="C74" s="17"/>
      <c r="D74" s="17"/>
      <c r="E74" s="614" t="str">
        <f>'Internal Service Template'!Q77</f>
        <v/>
      </c>
      <c r="F74" s="267" t="str">
        <f>'Internal Service Template'!R77</f>
        <v/>
      </c>
      <c r="G74" s="263"/>
      <c r="H74"/>
      <c r="I74" s="548"/>
      <c r="J74" s="538"/>
      <c r="K74"/>
      <c r="L74" s="615"/>
      <c r="M74"/>
      <c r="N74"/>
      <c r="O74"/>
      <c r="P74"/>
      <c r="Q74"/>
      <c r="R74"/>
      <c r="S74"/>
    </row>
    <row r="75" spans="1:19">
      <c r="A75" s="17"/>
      <c r="B75" s="17" t="s">
        <v>613</v>
      </c>
      <c r="C75" s="17"/>
      <c r="D75" s="17"/>
      <c r="E75" s="614" t="str">
        <f>'Internal Service Template'!Q78</f>
        <v/>
      </c>
      <c r="F75" s="267" t="str">
        <f>'Internal Service Template'!R78</f>
        <v/>
      </c>
      <c r="G75" s="263"/>
      <c r="H75"/>
      <c r="I75" s="548"/>
      <c r="J75" s="538"/>
      <c r="K75"/>
      <c r="L75" s="615"/>
      <c r="M75"/>
      <c r="N75"/>
      <c r="O75"/>
      <c r="P75"/>
      <c r="Q75"/>
      <c r="R75"/>
      <c r="S75"/>
    </row>
    <row r="76" spans="1:19" hidden="1">
      <c r="A76" s="17"/>
      <c r="B76" s="17"/>
      <c r="C76" s="33"/>
      <c r="D76" s="17"/>
      <c r="E76" s="616"/>
      <c r="F76" s="616"/>
      <c r="G76" s="264"/>
      <c r="H76"/>
      <c r="I76" s="548"/>
      <c r="J76" s="538"/>
      <c r="K76"/>
      <c r="L76" s="615"/>
      <c r="M76"/>
      <c r="N76"/>
      <c r="O76"/>
      <c r="P76"/>
      <c r="Q76"/>
      <c r="R76"/>
      <c r="S76"/>
    </row>
    <row r="77" spans="1:19" hidden="1">
      <c r="A77" s="17"/>
      <c r="B77" s="33"/>
      <c r="C77" s="17"/>
      <c r="D77" s="17"/>
      <c r="E77" s="617"/>
      <c r="F77" s="617"/>
      <c r="G77" s="264"/>
      <c r="H77"/>
      <c r="I77" s="548"/>
      <c r="J77" s="538"/>
      <c r="K77"/>
      <c r="L77" s="615"/>
      <c r="M77"/>
      <c r="N77"/>
      <c r="O77"/>
      <c r="P77"/>
      <c r="Q77"/>
      <c r="R77"/>
      <c r="S77"/>
    </row>
    <row r="78" spans="1:19">
      <c r="A78" s="17"/>
      <c r="B78" s="17" t="s">
        <v>325</v>
      </c>
      <c r="C78" s="17"/>
      <c r="D78" s="17"/>
      <c r="E78" s="614" t="str">
        <f>'Internal Service Template'!Q81</f>
        <v/>
      </c>
      <c r="F78" s="267" t="str">
        <f>'Internal Service Template'!R81</f>
        <v/>
      </c>
      <c r="G78" s="263"/>
      <c r="H78"/>
      <c r="I78" s="548"/>
      <c r="J78" s="538"/>
      <c r="K78"/>
      <c r="L78" s="615"/>
      <c r="M78"/>
      <c r="N78"/>
      <c r="O78"/>
      <c r="P78"/>
      <c r="Q78"/>
      <c r="R78"/>
      <c r="S78"/>
    </row>
    <row r="79" spans="1:19">
      <c r="A79" s="17"/>
      <c r="B79" s="17" t="s">
        <v>324</v>
      </c>
      <c r="C79" s="17"/>
      <c r="D79" s="17"/>
      <c r="E79" s="614" t="str">
        <f>'Internal Service Template'!Q82</f>
        <v/>
      </c>
      <c r="F79" s="267" t="str">
        <f>'Internal Service Template'!R82</f>
        <v/>
      </c>
      <c r="G79" s="263"/>
      <c r="H79"/>
      <c r="I79" s="548"/>
      <c r="J79" s="538"/>
      <c r="K79"/>
      <c r="L79" s="615"/>
      <c r="M79"/>
      <c r="N79"/>
      <c r="O79"/>
      <c r="P79"/>
      <c r="Q79"/>
      <c r="R79"/>
      <c r="S79"/>
    </row>
    <row r="80" spans="1:19">
      <c r="A80" s="17"/>
      <c r="B80" s="17" t="s">
        <v>543</v>
      </c>
      <c r="C80" s="17"/>
      <c r="D80" s="17"/>
      <c r="E80" s="614" t="str">
        <f>'Internal Service Template'!Q83</f>
        <v/>
      </c>
      <c r="F80" s="267" t="str">
        <f>'Internal Service Template'!R83</f>
        <v/>
      </c>
      <c r="G80" s="263"/>
      <c r="H80"/>
      <c r="I80" s="548"/>
      <c r="J80" s="538"/>
      <c r="K80"/>
      <c r="L80" s="615"/>
      <c r="M80"/>
      <c r="N80"/>
      <c r="O80"/>
      <c r="P80"/>
      <c r="Q80"/>
      <c r="R80"/>
      <c r="S80"/>
    </row>
    <row r="81" spans="1:19">
      <c r="A81" s="17"/>
      <c r="B81" s="17" t="s">
        <v>610</v>
      </c>
      <c r="C81" s="17"/>
      <c r="D81" s="17"/>
      <c r="E81" s="614" t="str">
        <f>'Internal Service Template'!Q84</f>
        <v/>
      </c>
      <c r="F81" s="267" t="str">
        <f>'Internal Service Template'!R84</f>
        <v/>
      </c>
      <c r="G81" s="263"/>
      <c r="H81"/>
      <c r="I81" s="548"/>
      <c r="J81" s="538"/>
      <c r="K81"/>
      <c r="L81" s="615"/>
      <c r="M81"/>
      <c r="N81"/>
      <c r="O81"/>
      <c r="P81"/>
      <c r="Q81"/>
      <c r="R81"/>
      <c r="S81"/>
    </row>
    <row r="82" spans="1:19">
      <c r="A82" s="17"/>
      <c r="B82" s="17" t="s">
        <v>2898</v>
      </c>
      <c r="C82" s="17"/>
      <c r="D82" s="17"/>
      <c r="E82" s="614" t="str">
        <f>'Internal Service Template'!Q85</f>
        <v/>
      </c>
      <c r="F82" s="267" t="str">
        <f>'Internal Service Template'!R85</f>
        <v/>
      </c>
      <c r="G82" s="263"/>
      <c r="H82"/>
      <c r="I82" s="548"/>
      <c r="J82" s="538"/>
      <c r="K82"/>
      <c r="L82" s="615"/>
      <c r="M82"/>
      <c r="N82"/>
      <c r="O82"/>
      <c r="P82"/>
      <c r="Q82"/>
      <c r="R82"/>
      <c r="S82"/>
    </row>
    <row r="83" spans="1:19" hidden="1">
      <c r="A83" s="17"/>
      <c r="B83" s="17"/>
      <c r="C83" s="33"/>
      <c r="D83" s="17"/>
      <c r="E83" s="616"/>
      <c r="F83" s="616"/>
      <c r="G83" s="264"/>
      <c r="H83"/>
      <c r="I83" s="548"/>
      <c r="J83" s="538"/>
      <c r="K83"/>
      <c r="L83" s="615"/>
      <c r="M83"/>
      <c r="N83"/>
      <c r="O83"/>
      <c r="P83"/>
      <c r="Q83"/>
      <c r="R83"/>
      <c r="S83"/>
    </row>
    <row r="84" spans="1:19" hidden="1">
      <c r="A84" s="17"/>
      <c r="B84" s="33"/>
      <c r="C84" s="17"/>
      <c r="D84" s="17"/>
      <c r="E84" s="169"/>
      <c r="F84" s="169"/>
      <c r="G84" s="264"/>
      <c r="H84"/>
      <c r="I84" s="548"/>
      <c r="J84" s="538"/>
      <c r="K84"/>
      <c r="L84" s="615"/>
      <c r="M84"/>
      <c r="N84"/>
      <c r="O84"/>
      <c r="P84"/>
      <c r="Q84"/>
      <c r="R84"/>
      <c r="S84"/>
    </row>
    <row r="85" spans="1:19" hidden="1">
      <c r="A85" s="17"/>
      <c r="B85" s="17"/>
      <c r="C85" s="33"/>
      <c r="D85" s="17"/>
      <c r="E85" s="617"/>
      <c r="F85" s="617"/>
      <c r="G85" s="269"/>
      <c r="H85"/>
      <c r="I85" s="548"/>
      <c r="J85" s="538"/>
      <c r="K85"/>
      <c r="L85" s="615"/>
      <c r="M85"/>
      <c r="N85"/>
      <c r="O85"/>
      <c r="P85"/>
      <c r="Q85"/>
      <c r="R85"/>
      <c r="S85"/>
    </row>
    <row r="86" spans="1:19">
      <c r="A86" s="17"/>
      <c r="B86" s="17" t="s">
        <v>493</v>
      </c>
      <c r="C86" s="33"/>
      <c r="D86" s="17"/>
      <c r="E86" s="614" t="str">
        <f>'Internal Service Template'!Q89</f>
        <v/>
      </c>
      <c r="F86" s="267" t="str">
        <f>'Internal Service Template'!R89</f>
        <v/>
      </c>
      <c r="G86" s="263"/>
      <c r="H86"/>
      <c r="I86" s="548"/>
      <c r="J86" s="538"/>
      <c r="K86"/>
      <c r="L86" s="615"/>
      <c r="M86"/>
      <c r="N86"/>
      <c r="O86"/>
      <c r="P86"/>
      <c r="Q86"/>
      <c r="R86"/>
      <c r="S86"/>
    </row>
    <row r="87" spans="1:19" hidden="1">
      <c r="A87" s="17"/>
      <c r="B87" s="17"/>
      <c r="C87" s="17"/>
      <c r="D87" s="33"/>
      <c r="E87" s="616"/>
      <c r="F87" s="616"/>
      <c r="G87" s="264"/>
      <c r="H87"/>
      <c r="I87" s="548"/>
      <c r="J87" s="538"/>
      <c r="K87"/>
      <c r="L87" s="615"/>
      <c r="M87"/>
      <c r="N87"/>
      <c r="O87"/>
      <c r="P87"/>
      <c r="Q87"/>
      <c r="R87"/>
      <c r="S87"/>
    </row>
    <row r="88" spans="1:19" hidden="1">
      <c r="A88" s="17"/>
      <c r="B88" s="33"/>
      <c r="C88" s="17"/>
      <c r="D88" s="17"/>
      <c r="E88" s="617"/>
      <c r="F88" s="617"/>
      <c r="G88" s="264"/>
      <c r="H88"/>
      <c r="I88" s="548"/>
      <c r="J88" s="538"/>
      <c r="K88"/>
      <c r="L88" s="615"/>
      <c r="M88"/>
      <c r="N88"/>
      <c r="O88"/>
      <c r="P88"/>
      <c r="Q88"/>
      <c r="R88"/>
      <c r="S88"/>
    </row>
    <row r="89" spans="1:19">
      <c r="A89" s="17"/>
      <c r="B89" s="33" t="s">
        <v>614</v>
      </c>
      <c r="C89" s="17"/>
      <c r="D89" s="17"/>
      <c r="E89" s="614" t="str">
        <f>'Internal Service Template'!Q92</f>
        <v/>
      </c>
      <c r="F89" s="267" t="str">
        <f>'Internal Service Template'!R92</f>
        <v/>
      </c>
      <c r="G89" s="263"/>
      <c r="H89"/>
      <c r="I89" s="548"/>
      <c r="J89" s="538"/>
      <c r="K89"/>
      <c r="L89" s="615"/>
      <c r="M89"/>
      <c r="N89"/>
      <c r="O89"/>
      <c r="P89"/>
      <c r="Q89"/>
      <c r="R89"/>
      <c r="S89"/>
    </row>
    <row r="90" spans="1:19">
      <c r="A90" s="17"/>
      <c r="B90" s="33" t="s">
        <v>3221</v>
      </c>
      <c r="C90" s="17"/>
      <c r="D90" s="17"/>
      <c r="E90" s="614" t="str">
        <f>'Internal Service Template'!Q93</f>
        <v/>
      </c>
      <c r="F90" s="267" t="str">
        <f>'Internal Service Template'!R93</f>
        <v/>
      </c>
      <c r="G90" s="263"/>
      <c r="H90"/>
      <c r="I90" s="548"/>
      <c r="J90" s="538"/>
      <c r="K90"/>
      <c r="L90" s="615"/>
      <c r="M90"/>
      <c r="N90"/>
      <c r="O90"/>
      <c r="P90"/>
      <c r="Q90"/>
      <c r="R90"/>
      <c r="S90"/>
    </row>
    <row r="91" spans="1:19" hidden="1">
      <c r="A91" s="17"/>
      <c r="B91" s="17"/>
      <c r="C91" s="33"/>
      <c r="D91" s="17"/>
      <c r="E91" s="616"/>
      <c r="F91" s="616"/>
      <c r="G91" s="264"/>
      <c r="H91"/>
      <c r="I91" s="548"/>
      <c r="J91" s="538"/>
      <c r="K91"/>
      <c r="L91" s="615"/>
      <c r="M91"/>
      <c r="N91"/>
      <c r="O91"/>
      <c r="P91"/>
      <c r="Q91"/>
      <c r="R91"/>
      <c r="S91"/>
    </row>
    <row r="92" spans="1:19" hidden="1">
      <c r="A92" s="17"/>
      <c r="B92" s="17"/>
      <c r="C92" s="33"/>
      <c r="D92" s="33"/>
      <c r="E92" s="169"/>
      <c r="F92" s="169"/>
      <c r="G92" s="264"/>
      <c r="H92"/>
      <c r="I92" s="548"/>
      <c r="J92" s="538"/>
      <c r="K92"/>
      <c r="L92" s="615"/>
      <c r="M92"/>
      <c r="N92"/>
      <c r="O92"/>
      <c r="P92"/>
      <c r="Q92"/>
      <c r="R92"/>
      <c r="S92"/>
    </row>
    <row r="93" spans="1:19" hidden="1">
      <c r="A93" s="17"/>
      <c r="B93" s="17"/>
      <c r="C93" s="33"/>
      <c r="D93" s="17"/>
      <c r="E93" s="169"/>
      <c r="F93" s="169"/>
      <c r="G93" s="264"/>
      <c r="H93"/>
      <c r="I93" s="548"/>
      <c r="J93" s="538"/>
      <c r="K93"/>
      <c r="L93" s="615"/>
      <c r="M93"/>
      <c r="N93"/>
      <c r="O93"/>
      <c r="P93"/>
      <c r="Q93"/>
      <c r="R93"/>
      <c r="S93"/>
    </row>
    <row r="94" spans="1:19" hidden="1">
      <c r="A94" s="17"/>
      <c r="B94" s="24"/>
      <c r="C94" s="17"/>
      <c r="D94" s="17"/>
      <c r="E94" s="169"/>
      <c r="F94" s="169"/>
      <c r="G94" s="264"/>
      <c r="H94"/>
      <c r="I94" s="548"/>
      <c r="J94" s="538"/>
      <c r="K94"/>
      <c r="L94" s="615"/>
      <c r="M94"/>
      <c r="N94"/>
      <c r="O94"/>
      <c r="P94"/>
      <c r="Q94"/>
      <c r="R94"/>
      <c r="S94"/>
    </row>
    <row r="95" spans="1:19" hidden="1">
      <c r="A95" s="17"/>
      <c r="B95" s="17"/>
      <c r="C95" s="17"/>
      <c r="D95" s="17"/>
      <c r="E95" s="617"/>
      <c r="F95" s="617"/>
      <c r="G95" s="264"/>
      <c r="H95"/>
      <c r="I95" s="548"/>
      <c r="J95" s="538"/>
      <c r="K95"/>
      <c r="L95" s="615"/>
      <c r="M95"/>
      <c r="N95"/>
      <c r="O95"/>
      <c r="P95"/>
      <c r="Q95"/>
      <c r="R95"/>
      <c r="S95"/>
    </row>
    <row r="96" spans="1:19">
      <c r="A96" s="33" t="s">
        <v>708</v>
      </c>
      <c r="C96" s="17"/>
      <c r="D96" s="17"/>
      <c r="E96" s="614">
        <f>'Internal Service Template'!Q99</f>
        <v>0</v>
      </c>
      <c r="F96" s="267" t="str">
        <f>'Internal Service Template'!R99</f>
        <v/>
      </c>
      <c r="G96" s="263"/>
      <c r="H96"/>
      <c r="I96" s="548"/>
      <c r="J96" s="538"/>
      <c r="K96"/>
      <c r="L96" s="615"/>
      <c r="M96"/>
      <c r="N96"/>
      <c r="O96"/>
      <c r="P96"/>
      <c r="Q96"/>
      <c r="R96"/>
      <c r="S96"/>
    </row>
    <row r="97" spans="5:12" customFormat="1" hidden="1">
      <c r="E97" s="169"/>
      <c r="F97" s="169"/>
      <c r="G97" s="607"/>
      <c r="I97" s="548"/>
      <c r="J97" s="538"/>
      <c r="L97" s="615"/>
    </row>
    <row r="98" spans="5:12" customFormat="1" hidden="1">
      <c r="E98" s="169"/>
      <c r="F98" s="169"/>
      <c r="G98" s="607"/>
      <c r="I98" s="548"/>
      <c r="J98" s="538"/>
      <c r="L98" s="615"/>
    </row>
    <row r="99" spans="5:12" customFormat="1" hidden="1">
      <c r="E99" s="169"/>
      <c r="F99" s="169"/>
      <c r="G99" s="607"/>
      <c r="I99" s="548"/>
      <c r="J99" s="538"/>
      <c r="L99" s="615"/>
    </row>
    <row r="100" spans="5:12" customFormat="1" hidden="1">
      <c r="E100" s="169"/>
      <c r="F100" s="169"/>
      <c r="G100" s="607"/>
      <c r="I100" s="548"/>
      <c r="J100" s="538"/>
      <c r="L100" s="615"/>
    </row>
    <row r="101" spans="5:12" customFormat="1" hidden="1">
      <c r="E101" s="169"/>
      <c r="F101" s="169"/>
      <c r="G101" s="607"/>
      <c r="I101" s="548"/>
      <c r="J101" s="538"/>
      <c r="L101" s="615"/>
    </row>
    <row r="102" spans="5:12" customFormat="1" hidden="1">
      <c r="E102" s="169"/>
      <c r="F102" s="169"/>
      <c r="G102" s="607"/>
      <c r="I102" s="548"/>
      <c r="J102" s="538"/>
      <c r="L102" s="615"/>
    </row>
    <row r="103" spans="5:12" customFormat="1" hidden="1">
      <c r="E103" s="169"/>
      <c r="F103" s="169"/>
      <c r="G103" s="607"/>
      <c r="I103" s="548"/>
      <c r="J103" s="538"/>
      <c r="L103" s="615"/>
    </row>
    <row r="104" spans="5:12" customFormat="1" hidden="1">
      <c r="E104" s="169"/>
      <c r="F104" s="169"/>
      <c r="G104" s="607"/>
      <c r="I104" s="548"/>
      <c r="J104" s="538"/>
      <c r="L104" s="615"/>
    </row>
    <row r="105" spans="5:12" customFormat="1" hidden="1">
      <c r="E105" s="169"/>
      <c r="F105" s="169"/>
      <c r="G105" s="607"/>
      <c r="I105" s="548"/>
      <c r="J105" s="538"/>
      <c r="L105" s="615"/>
    </row>
    <row r="106" spans="5:12" customFormat="1" hidden="1">
      <c r="E106" s="169"/>
      <c r="F106" s="169"/>
      <c r="G106" s="607"/>
      <c r="I106" s="548"/>
      <c r="J106" s="538"/>
      <c r="L106" s="615"/>
    </row>
    <row r="107" spans="5:12" customFormat="1" hidden="1">
      <c r="E107" s="169"/>
      <c r="F107" s="169"/>
      <c r="G107" s="607"/>
      <c r="I107" s="548"/>
      <c r="J107" s="538"/>
      <c r="L107" s="615"/>
    </row>
    <row r="108" spans="5:12" customFormat="1" hidden="1">
      <c r="E108" s="169"/>
      <c r="F108" s="169"/>
      <c r="G108" s="607"/>
      <c r="I108" s="548"/>
      <c r="J108" s="538"/>
      <c r="L108" s="615"/>
    </row>
    <row r="109" spans="5:12" customFormat="1" hidden="1">
      <c r="E109" s="169"/>
      <c r="F109" s="169"/>
      <c r="G109" s="607"/>
      <c r="I109" s="548"/>
      <c r="J109" s="538"/>
      <c r="L109" s="615"/>
    </row>
    <row r="110" spans="5:12" customFormat="1" hidden="1">
      <c r="E110" s="169"/>
      <c r="F110" s="169"/>
      <c r="G110" s="607"/>
      <c r="I110" s="548"/>
      <c r="J110" s="538"/>
      <c r="L110" s="615"/>
    </row>
    <row r="111" spans="5:12" customFormat="1" hidden="1">
      <c r="E111" s="169"/>
      <c r="F111" s="169"/>
      <c r="G111" s="607"/>
      <c r="I111" s="548"/>
      <c r="J111" s="538"/>
      <c r="L111" s="615"/>
    </row>
    <row r="112" spans="5:12" customFormat="1" hidden="1">
      <c r="E112" s="169"/>
      <c r="F112" s="169"/>
      <c r="G112" s="607"/>
      <c r="I112" s="548"/>
      <c r="J112" s="538"/>
      <c r="L112" s="615"/>
    </row>
    <row r="113" spans="1:19" hidden="1">
      <c r="A113"/>
      <c r="B113"/>
      <c r="C113"/>
      <c r="D113"/>
      <c r="E113" s="169"/>
      <c r="F113" s="169"/>
      <c r="G113" s="607"/>
      <c r="H113"/>
      <c r="I113" s="548"/>
      <c r="J113" s="538"/>
      <c r="K113"/>
      <c r="L113" s="615"/>
      <c r="M113"/>
      <c r="N113"/>
      <c r="O113"/>
      <c r="P113"/>
      <c r="Q113"/>
      <c r="R113"/>
      <c r="S113"/>
    </row>
    <row r="114" spans="1:19" hidden="1">
      <c r="A114"/>
      <c r="B114"/>
      <c r="C114"/>
      <c r="D114"/>
      <c r="E114" s="169"/>
      <c r="F114" s="169"/>
      <c r="G114" s="607"/>
      <c r="H114"/>
      <c r="I114" s="548"/>
      <c r="J114" s="538"/>
      <c r="K114"/>
      <c r="L114" s="615"/>
      <c r="M114"/>
      <c r="N114"/>
      <c r="O114"/>
      <c r="P114"/>
      <c r="Q114"/>
      <c r="R114"/>
      <c r="S114"/>
    </row>
    <row r="115" spans="1:19" hidden="1">
      <c r="A115"/>
      <c r="B115"/>
      <c r="C115"/>
      <c r="D115"/>
      <c r="E115" s="169"/>
      <c r="F115" s="169"/>
      <c r="G115" s="607"/>
      <c r="H115"/>
      <c r="I115" s="548"/>
      <c r="J115" s="538"/>
      <c r="K115"/>
      <c r="L115" s="615"/>
      <c r="M115"/>
      <c r="N115"/>
      <c r="O115"/>
      <c r="P115"/>
      <c r="Q115"/>
      <c r="R115"/>
      <c r="S115"/>
    </row>
    <row r="116" spans="1:19" hidden="1">
      <c r="A116"/>
      <c r="B116"/>
      <c r="C116"/>
      <c r="D116"/>
      <c r="E116" s="169"/>
      <c r="F116" s="169"/>
      <c r="G116" s="607"/>
      <c r="H116"/>
      <c r="I116" s="548"/>
      <c r="J116" s="538"/>
      <c r="K116"/>
      <c r="L116" s="615"/>
      <c r="M116"/>
      <c r="N116"/>
      <c r="O116"/>
      <c r="P116"/>
      <c r="Q116"/>
      <c r="R116"/>
      <c r="S116"/>
    </row>
    <row r="117" spans="1:19" hidden="1">
      <c r="A117" s="27"/>
      <c r="B117" s="17"/>
      <c r="C117" s="17"/>
      <c r="D117" s="17"/>
      <c r="E117" s="169"/>
      <c r="F117" s="169"/>
      <c r="G117" s="607"/>
      <c r="H117"/>
      <c r="I117" s="548"/>
      <c r="J117" s="538"/>
      <c r="K117"/>
      <c r="L117" s="615"/>
      <c r="M117"/>
      <c r="N117"/>
      <c r="O117"/>
      <c r="P117"/>
      <c r="Q117"/>
      <c r="R117"/>
      <c r="S117"/>
    </row>
    <row r="118" spans="1:19" hidden="1">
      <c r="A118"/>
      <c r="B118"/>
      <c r="C118"/>
      <c r="D118"/>
      <c r="E118" s="169"/>
      <c r="F118" s="169"/>
      <c r="G118" s="607"/>
      <c r="H118"/>
      <c r="I118" s="548"/>
      <c r="J118" s="538"/>
      <c r="K118"/>
      <c r="L118" s="615"/>
      <c r="M118"/>
      <c r="N118"/>
      <c r="O118"/>
      <c r="P118"/>
      <c r="Q118"/>
      <c r="R118"/>
      <c r="S118"/>
    </row>
    <row r="119" spans="1:19" hidden="1">
      <c r="A119"/>
      <c r="B119"/>
      <c r="C119"/>
      <c r="D119"/>
      <c r="E119" s="169"/>
      <c r="F119" s="169"/>
      <c r="G119" s="607"/>
      <c r="H119"/>
      <c r="I119" s="548"/>
      <c r="J119" s="538"/>
      <c r="K119"/>
      <c r="L119" s="615"/>
      <c r="M119"/>
      <c r="N119"/>
      <c r="O119"/>
      <c r="P119"/>
      <c r="Q119"/>
      <c r="R119"/>
      <c r="S119"/>
    </row>
    <row r="120" spans="1:19" ht="13.8" thickBot="1">
      <c r="A120" s="612" t="s">
        <v>712</v>
      </c>
      <c r="B120" s="612"/>
      <c r="C120" s="612"/>
      <c r="D120" s="612"/>
      <c r="E120" s="169"/>
      <c r="F120" s="169"/>
      <c r="G120" s="607"/>
      <c r="H120"/>
      <c r="I120" s="548"/>
      <c r="J120" s="538"/>
      <c r="K120"/>
      <c r="L120" s="615"/>
      <c r="M120"/>
      <c r="N120"/>
      <c r="O120"/>
      <c r="P120"/>
      <c r="Q120"/>
      <c r="R120"/>
      <c r="S120"/>
    </row>
    <row r="121" spans="1:19">
      <c r="A121" s="27" t="s">
        <v>738</v>
      </c>
      <c r="B121" s="17"/>
      <c r="C121" s="17"/>
      <c r="D121" s="17"/>
      <c r="E121" s="169"/>
      <c r="F121" s="169"/>
      <c r="G121" s="607"/>
      <c r="H121"/>
      <c r="I121" s="548"/>
      <c r="J121" s="538"/>
      <c r="K121"/>
      <c r="L121" s="615"/>
      <c r="M121"/>
      <c r="N121"/>
      <c r="O121"/>
      <c r="P121"/>
      <c r="Q121"/>
      <c r="R121"/>
      <c r="S121"/>
    </row>
    <row r="122" spans="1:19">
      <c r="A122" s="27" t="s">
        <v>50</v>
      </c>
      <c r="B122" s="17"/>
      <c r="C122" s="17"/>
      <c r="D122" s="17"/>
      <c r="E122" s="169"/>
      <c r="F122" s="169"/>
      <c r="G122" s="607"/>
      <c r="H122"/>
      <c r="I122" s="548"/>
      <c r="J122" s="538"/>
      <c r="K122"/>
      <c r="L122" s="615"/>
      <c r="M122"/>
      <c r="N122"/>
      <c r="O122"/>
      <c r="P122"/>
      <c r="Q122"/>
      <c r="R122"/>
      <c r="S122"/>
    </row>
    <row r="123" spans="1:19">
      <c r="A123" s="17" t="s">
        <v>353</v>
      </c>
      <c r="B123" s="17"/>
      <c r="C123" s="17"/>
      <c r="D123" s="17"/>
      <c r="E123" s="617"/>
      <c r="F123" s="617"/>
      <c r="G123" s="619"/>
      <c r="H123"/>
      <c r="I123" s="548"/>
      <c r="J123" s="538"/>
      <c r="K123"/>
      <c r="L123" s="615"/>
      <c r="M123"/>
      <c r="N123"/>
      <c r="O123"/>
      <c r="P123"/>
      <c r="Q123"/>
      <c r="R123"/>
      <c r="S123"/>
    </row>
    <row r="124" spans="1:19">
      <c r="A124" s="17"/>
      <c r="B124" s="17" t="s">
        <v>589</v>
      </c>
      <c r="C124" s="17"/>
      <c r="D124" s="17"/>
      <c r="E124" s="614" t="str">
        <f>'Internal Service Template'!Q127</f>
        <v/>
      </c>
      <c r="F124" s="267" t="str">
        <f>'Internal Service Template'!R127</f>
        <v/>
      </c>
      <c r="G124" s="263"/>
      <c r="H124"/>
      <c r="I124" s="548"/>
      <c r="J124" s="538"/>
      <c r="K124"/>
      <c r="L124" s="615"/>
      <c r="M124"/>
      <c r="N124"/>
      <c r="O124"/>
      <c r="P124"/>
      <c r="Q124"/>
      <c r="R124"/>
      <c r="S124"/>
    </row>
    <row r="125" spans="1:19">
      <c r="A125" s="17"/>
      <c r="B125" s="17" t="s">
        <v>581</v>
      </c>
      <c r="C125" s="17"/>
      <c r="D125" s="17"/>
      <c r="E125" s="614" t="str">
        <f>'Internal Service Template'!Q128</f>
        <v/>
      </c>
      <c r="F125" s="267" t="str">
        <f>'Internal Service Template'!R128</f>
        <v/>
      </c>
      <c r="G125" s="263"/>
      <c r="H125"/>
      <c r="I125" s="548"/>
      <c r="J125" s="538"/>
      <c r="K125"/>
      <c r="L125" s="615"/>
      <c r="M125"/>
      <c r="N125"/>
      <c r="O125"/>
      <c r="P125"/>
      <c r="Q125"/>
      <c r="R125"/>
      <c r="S125"/>
    </row>
    <row r="126" spans="1:19">
      <c r="A126" s="17"/>
      <c r="B126" s="17" t="s">
        <v>590</v>
      </c>
      <c r="C126" s="17"/>
      <c r="D126" s="17"/>
      <c r="E126" s="614" t="str">
        <f>'Internal Service Template'!Q129</f>
        <v/>
      </c>
      <c r="F126" s="267" t="str">
        <f>'Internal Service Template'!R129</f>
        <v/>
      </c>
      <c r="G126" s="263"/>
      <c r="H126"/>
      <c r="I126" s="548"/>
      <c r="J126" s="538"/>
      <c r="K126"/>
      <c r="L126" s="615"/>
      <c r="M126"/>
      <c r="N126"/>
      <c r="O126"/>
      <c r="P126"/>
      <c r="Q126"/>
      <c r="R126"/>
      <c r="S126"/>
    </row>
    <row r="127" spans="1:19">
      <c r="A127" s="17"/>
      <c r="B127" s="17" t="s">
        <v>258</v>
      </c>
      <c r="C127" s="17"/>
      <c r="D127" s="17"/>
      <c r="E127" s="614" t="str">
        <f>'Internal Service Template'!Q130</f>
        <v/>
      </c>
      <c r="F127" s="267" t="str">
        <f>'Internal Service Template'!R130</f>
        <v/>
      </c>
      <c r="G127" s="263"/>
      <c r="H127"/>
      <c r="I127" s="548"/>
      <c r="J127" s="538"/>
      <c r="K127"/>
      <c r="L127" s="615"/>
      <c r="M127"/>
      <c r="N127"/>
      <c r="O127"/>
      <c r="P127"/>
      <c r="Q127"/>
      <c r="R127"/>
      <c r="S127"/>
    </row>
    <row r="128" spans="1:19" hidden="1">
      <c r="A128" s="17"/>
      <c r="B128" s="33"/>
      <c r="C128" s="33"/>
      <c r="D128" s="17"/>
      <c r="E128" s="616"/>
      <c r="F128" s="616"/>
      <c r="G128" s="264"/>
      <c r="H128"/>
      <c r="I128" s="548"/>
      <c r="J128" s="538"/>
      <c r="K128"/>
      <c r="L128" s="615"/>
      <c r="M128"/>
      <c r="N128"/>
      <c r="O128"/>
      <c r="P128"/>
      <c r="Q128"/>
      <c r="R128"/>
      <c r="S128"/>
    </row>
    <row r="129" spans="1:19" hidden="1">
      <c r="A129" s="17"/>
      <c r="B129" s="33"/>
      <c r="C129" s="17"/>
      <c r="D129" s="17"/>
      <c r="E129" s="617"/>
      <c r="F129" s="617"/>
      <c r="G129" s="266"/>
      <c r="H129"/>
      <c r="I129" s="548"/>
      <c r="J129" s="538"/>
      <c r="K129"/>
      <c r="L129" s="615"/>
      <c r="M129"/>
      <c r="N129"/>
      <c r="O129"/>
      <c r="P129"/>
      <c r="Q129"/>
      <c r="R129"/>
      <c r="S129"/>
    </row>
    <row r="130" spans="1:19">
      <c r="A130" s="17"/>
      <c r="B130" s="17" t="s">
        <v>643</v>
      </c>
      <c r="C130" s="17"/>
      <c r="D130" s="17"/>
      <c r="E130" s="614" t="str">
        <f>'Internal Service Template'!Q133</f>
        <v/>
      </c>
      <c r="F130" s="267" t="str">
        <f>'Internal Service Template'!R133</f>
        <v/>
      </c>
      <c r="G130" s="263"/>
      <c r="H130"/>
      <c r="I130" s="548"/>
      <c r="J130" s="538"/>
      <c r="K130"/>
      <c r="L130" s="615"/>
      <c r="M130"/>
      <c r="N130"/>
      <c r="O130"/>
      <c r="P130"/>
      <c r="Q130"/>
      <c r="R130"/>
      <c r="S130"/>
    </row>
    <row r="131" spans="1:19">
      <c r="A131" s="17"/>
      <c r="B131" s="17" t="s">
        <v>207</v>
      </c>
      <c r="C131" s="17"/>
      <c r="D131" s="17"/>
      <c r="E131" s="614" t="str">
        <f>'Internal Service Template'!Q134</f>
        <v/>
      </c>
      <c r="F131" s="267" t="str">
        <f>'Internal Service Template'!R134</f>
        <v/>
      </c>
      <c r="G131" s="263"/>
      <c r="H131"/>
      <c r="I131" s="548"/>
      <c r="J131" s="538"/>
      <c r="K131"/>
      <c r="L131" s="615"/>
      <c r="M131"/>
      <c r="N131"/>
      <c r="O131"/>
      <c r="P131"/>
      <c r="Q131"/>
      <c r="R131"/>
      <c r="S131"/>
    </row>
    <row r="132" spans="1:19" hidden="1">
      <c r="A132" s="17"/>
      <c r="B132" s="33"/>
      <c r="C132" s="33"/>
      <c r="D132" s="33"/>
      <c r="E132" s="616"/>
      <c r="F132" s="616"/>
      <c r="G132" s="266"/>
      <c r="H132"/>
      <c r="I132" s="548"/>
      <c r="J132" s="538"/>
      <c r="K132"/>
      <c r="L132" s="615"/>
      <c r="M132"/>
      <c r="N132"/>
      <c r="O132"/>
      <c r="P132"/>
      <c r="Q132"/>
      <c r="R132"/>
      <c r="S132"/>
    </row>
    <row r="133" spans="1:19" hidden="1">
      <c r="A133" s="17"/>
      <c r="B133" s="33"/>
      <c r="C133" s="17"/>
      <c r="D133" s="17"/>
      <c r="E133" s="617"/>
      <c r="F133" s="617"/>
      <c r="G133" s="266"/>
      <c r="H133"/>
      <c r="I133" s="548"/>
      <c r="J133" s="538"/>
      <c r="K133"/>
      <c r="L133" s="615"/>
      <c r="M133"/>
      <c r="N133"/>
      <c r="O133"/>
      <c r="P133"/>
      <c r="Q133"/>
      <c r="R133"/>
      <c r="S133"/>
    </row>
    <row r="134" spans="1:19">
      <c r="A134" s="17"/>
      <c r="B134" s="33" t="s">
        <v>14</v>
      </c>
      <c r="C134" s="17"/>
      <c r="D134" s="17"/>
      <c r="E134" s="614" t="str">
        <f>'Internal Service Template'!Q137</f>
        <v/>
      </c>
      <c r="F134" s="267" t="str">
        <f>'Internal Service Template'!R137</f>
        <v/>
      </c>
      <c r="G134" s="263"/>
      <c r="H134"/>
      <c r="I134" s="548"/>
      <c r="J134" s="538"/>
      <c r="K134"/>
      <c r="L134" s="615"/>
      <c r="M134"/>
      <c r="N134"/>
      <c r="O134"/>
      <c r="P134"/>
      <c r="Q134"/>
      <c r="R134"/>
      <c r="S134"/>
    </row>
    <row r="135" spans="1:19">
      <c r="A135" s="17"/>
      <c r="B135" s="33" t="s">
        <v>642</v>
      </c>
      <c r="C135" s="17"/>
      <c r="D135" s="17"/>
      <c r="E135" s="614" t="str">
        <f>'Internal Service Template'!Q138</f>
        <v/>
      </c>
      <c r="F135" s="267" t="str">
        <f>'Internal Service Template'!R138</f>
        <v/>
      </c>
      <c r="G135" s="263"/>
      <c r="H135"/>
      <c r="I135" s="548"/>
      <c r="J135" s="538"/>
      <c r="K135"/>
      <c r="L135" s="615"/>
      <c r="M135"/>
      <c r="N135"/>
      <c r="O135"/>
      <c r="P135"/>
      <c r="Q135"/>
      <c r="R135"/>
      <c r="S135"/>
    </row>
    <row r="136" spans="1:19">
      <c r="A136" s="17"/>
      <c r="B136" s="33" t="s">
        <v>644</v>
      </c>
      <c r="C136" s="17"/>
      <c r="D136" s="17"/>
      <c r="E136" s="614" t="str">
        <f>'Internal Service Template'!Q139</f>
        <v/>
      </c>
      <c r="F136" s="267" t="str">
        <f>'Internal Service Template'!R139</f>
        <v/>
      </c>
      <c r="G136" s="263"/>
      <c r="H136"/>
      <c r="I136" s="548"/>
      <c r="J136" s="538"/>
      <c r="K136"/>
      <c r="L136" s="615"/>
      <c r="M136"/>
      <c r="N136"/>
      <c r="O136"/>
      <c r="P136"/>
      <c r="Q136"/>
      <c r="R136"/>
      <c r="S136"/>
    </row>
    <row r="137" spans="1:19">
      <c r="A137" s="17"/>
      <c r="B137" s="33" t="s">
        <v>544</v>
      </c>
      <c r="C137" s="17"/>
      <c r="D137" s="17"/>
      <c r="E137" s="614" t="str">
        <f>'Internal Service Template'!Q140</f>
        <v/>
      </c>
      <c r="F137" s="267" t="str">
        <f>'Internal Service Template'!R140</f>
        <v/>
      </c>
      <c r="G137" s="263"/>
      <c r="H137"/>
      <c r="I137" s="548"/>
      <c r="J137" s="538"/>
      <c r="K137"/>
      <c r="L137" s="615"/>
      <c r="M137"/>
      <c r="N137"/>
      <c r="O137"/>
      <c r="P137"/>
      <c r="Q137"/>
      <c r="R137"/>
      <c r="S137"/>
    </row>
    <row r="138" spans="1:19">
      <c r="A138" s="17"/>
      <c r="B138" s="33" t="s">
        <v>651</v>
      </c>
      <c r="C138" s="17"/>
      <c r="D138" s="17"/>
      <c r="E138" s="614" t="str">
        <f>'Internal Service Template'!Q141</f>
        <v/>
      </c>
      <c r="F138" s="267" t="str">
        <f>'Internal Service Template'!R141</f>
        <v/>
      </c>
      <c r="G138" s="263"/>
      <c r="H138"/>
      <c r="I138" s="548"/>
      <c r="J138" s="538"/>
      <c r="K138"/>
      <c r="L138" s="615"/>
      <c r="M138"/>
      <c r="N138"/>
      <c r="O138"/>
      <c r="P138"/>
      <c r="Q138"/>
      <c r="R138"/>
      <c r="S138"/>
    </row>
    <row r="139" spans="1:19">
      <c r="A139" s="17"/>
      <c r="B139" s="33" t="s">
        <v>645</v>
      </c>
      <c r="C139" s="17"/>
      <c r="D139" s="17"/>
      <c r="E139" s="614" t="str">
        <f>'Internal Service Template'!Q142</f>
        <v/>
      </c>
      <c r="F139" s="267" t="str">
        <f>'Internal Service Template'!R142</f>
        <v/>
      </c>
      <c r="G139" s="263"/>
      <c r="H139"/>
      <c r="I139" s="548"/>
      <c r="J139" s="538"/>
      <c r="K139"/>
      <c r="L139" s="615"/>
      <c r="M139"/>
      <c r="N139"/>
      <c r="O139"/>
      <c r="P139"/>
      <c r="Q139"/>
      <c r="R139"/>
      <c r="S139"/>
    </row>
    <row r="140" spans="1:19" hidden="1">
      <c r="A140" s="17"/>
      <c r="B140" s="33"/>
      <c r="C140" s="17"/>
      <c r="D140" s="17"/>
      <c r="E140" s="618"/>
      <c r="F140" s="618"/>
      <c r="G140" s="264"/>
      <c r="H140"/>
      <c r="I140" s="548"/>
      <c r="J140" s="538"/>
      <c r="K140"/>
      <c r="L140" s="615"/>
      <c r="M140"/>
      <c r="N140"/>
      <c r="O140"/>
      <c r="P140"/>
      <c r="Q140"/>
      <c r="R140"/>
      <c r="S140"/>
    </row>
    <row r="141" spans="1:19">
      <c r="A141" s="17"/>
      <c r="B141" s="33" t="s">
        <v>2704</v>
      </c>
      <c r="C141" s="17"/>
      <c r="D141" s="17"/>
      <c r="E141" s="614" t="str">
        <f>'Internal Service Template'!Q143</f>
        <v/>
      </c>
      <c r="F141" s="267" t="str">
        <f>'Internal Service Template'!R143</f>
        <v/>
      </c>
      <c r="G141" s="263"/>
      <c r="H141"/>
      <c r="I141" s="548"/>
      <c r="J141" s="538"/>
      <c r="K141"/>
      <c r="L141" s="615"/>
      <c r="M141"/>
      <c r="N141"/>
      <c r="O141"/>
      <c r="P141"/>
      <c r="Q141"/>
      <c r="R141"/>
      <c r="S141"/>
    </row>
    <row r="142" spans="1:19">
      <c r="A142" s="17"/>
      <c r="B142" s="17" t="s">
        <v>646</v>
      </c>
      <c r="C142" s="17"/>
      <c r="D142" s="17"/>
      <c r="E142" s="614" t="str">
        <f>'Internal Service Template'!Q145</f>
        <v/>
      </c>
      <c r="F142" s="267" t="str">
        <f>'Internal Service Template'!R145</f>
        <v/>
      </c>
      <c r="G142" s="263"/>
      <c r="H142"/>
      <c r="I142" s="548"/>
      <c r="J142" s="538"/>
      <c r="K142"/>
      <c r="L142" s="615"/>
      <c r="M142"/>
      <c r="N142"/>
      <c r="O142"/>
      <c r="P142"/>
      <c r="Q142"/>
      <c r="R142"/>
      <c r="S142"/>
    </row>
    <row r="143" spans="1:19">
      <c r="A143" s="17"/>
      <c r="B143" s="17" t="s">
        <v>648</v>
      </c>
      <c r="C143" s="17"/>
      <c r="D143" s="17"/>
      <c r="E143" s="614" t="str">
        <f>'Internal Service Template'!Q146</f>
        <v/>
      </c>
      <c r="F143" s="267" t="str">
        <f>'Internal Service Template'!R146</f>
        <v/>
      </c>
      <c r="G143" s="263"/>
      <c r="H143"/>
      <c r="I143" s="548"/>
      <c r="J143" s="538"/>
      <c r="K143"/>
      <c r="L143" s="615"/>
      <c r="M143"/>
      <c r="N143"/>
      <c r="O143"/>
      <c r="P143"/>
      <c r="Q143"/>
      <c r="R143"/>
      <c r="S143"/>
    </row>
    <row r="144" spans="1:19">
      <c r="A144" s="17"/>
      <c r="B144" s="17" t="s">
        <v>649</v>
      </c>
      <c r="C144" s="17"/>
      <c r="D144" s="17"/>
      <c r="E144" s="614" t="str">
        <f>'Internal Service Template'!Q147</f>
        <v/>
      </c>
      <c r="F144" s="267" t="str">
        <f>'Internal Service Template'!R147</f>
        <v/>
      </c>
      <c r="G144" s="263"/>
      <c r="H144"/>
      <c r="I144" s="548"/>
      <c r="J144" s="538"/>
      <c r="K144"/>
      <c r="L144" s="615"/>
      <c r="M144"/>
      <c r="N144"/>
      <c r="O144"/>
      <c r="P144"/>
      <c r="Q144"/>
      <c r="R144"/>
      <c r="S144"/>
    </row>
    <row r="145" spans="1:19" hidden="1">
      <c r="A145" s="17"/>
      <c r="B145" s="17"/>
      <c r="C145" s="33"/>
      <c r="D145" s="17"/>
      <c r="E145" s="616"/>
      <c r="F145" s="616"/>
      <c r="G145" s="264"/>
      <c r="H145"/>
      <c r="I145" s="548"/>
      <c r="J145" s="538"/>
      <c r="K145"/>
      <c r="L145" s="615"/>
      <c r="M145"/>
      <c r="N145"/>
      <c r="O145"/>
      <c r="P145"/>
      <c r="Q145"/>
      <c r="R145"/>
      <c r="S145"/>
    </row>
    <row r="146" spans="1:19" hidden="1">
      <c r="A146" s="17"/>
      <c r="B146" s="17"/>
      <c r="C146" s="33"/>
      <c r="D146" s="17"/>
      <c r="E146" s="169"/>
      <c r="F146" s="169"/>
      <c r="G146" s="264"/>
      <c r="H146"/>
      <c r="I146" s="548"/>
      <c r="J146" s="538"/>
      <c r="K146"/>
      <c r="L146" s="615"/>
      <c r="M146"/>
      <c r="N146"/>
      <c r="O146"/>
      <c r="P146"/>
      <c r="Q146"/>
      <c r="R146"/>
      <c r="S146"/>
    </row>
    <row r="147" spans="1:19" hidden="1">
      <c r="A147" s="17"/>
      <c r="B147" s="17"/>
      <c r="C147" s="33"/>
      <c r="D147" s="17"/>
      <c r="E147" s="169"/>
      <c r="F147" s="169"/>
      <c r="G147" s="268"/>
      <c r="H147"/>
      <c r="I147" s="548"/>
      <c r="J147" s="538"/>
      <c r="K147"/>
      <c r="L147" s="615"/>
      <c r="M147"/>
      <c r="N147"/>
      <c r="O147"/>
      <c r="P147"/>
      <c r="Q147"/>
      <c r="R147"/>
      <c r="S147"/>
    </row>
    <row r="148" spans="1:19" hidden="1">
      <c r="A148" s="17"/>
      <c r="B148" s="17"/>
      <c r="C148" s="33"/>
      <c r="D148" s="17"/>
      <c r="E148" s="617"/>
      <c r="F148" s="617"/>
      <c r="G148" s="269"/>
      <c r="H148"/>
      <c r="I148" s="548"/>
      <c r="J148" s="538"/>
      <c r="K148"/>
      <c r="L148" s="615"/>
      <c r="M148"/>
      <c r="N148"/>
      <c r="O148"/>
      <c r="P148"/>
      <c r="Q148"/>
      <c r="R148"/>
      <c r="S148"/>
    </row>
    <row r="149" spans="1:19">
      <c r="A149" s="17"/>
      <c r="B149" s="17" t="s">
        <v>647</v>
      </c>
      <c r="C149" s="33"/>
      <c r="D149" s="17"/>
      <c r="E149" s="614" t="str">
        <f>'Internal Service Template'!Q152</f>
        <v/>
      </c>
      <c r="F149" s="267" t="str">
        <f>'Internal Service Template'!R152</f>
        <v/>
      </c>
      <c r="G149" s="263"/>
      <c r="H149"/>
      <c r="I149" s="548"/>
      <c r="J149" s="538"/>
      <c r="K149"/>
      <c r="L149" s="615"/>
      <c r="M149"/>
      <c r="N149"/>
      <c r="O149"/>
      <c r="P149"/>
      <c r="Q149"/>
      <c r="R149"/>
      <c r="S149"/>
    </row>
    <row r="150" spans="1:19">
      <c r="A150" s="17"/>
      <c r="B150" s="17" t="s">
        <v>3219</v>
      </c>
      <c r="C150" s="33"/>
      <c r="D150" s="17"/>
      <c r="E150" s="614" t="str">
        <f>'Internal Service Template'!Q153</f>
        <v/>
      </c>
      <c r="F150" s="267" t="str">
        <f>'Internal Service Template'!R153</f>
        <v/>
      </c>
      <c r="G150" s="263"/>
      <c r="H150"/>
      <c r="I150" s="548"/>
      <c r="J150" s="538"/>
      <c r="K150"/>
      <c r="L150" s="615"/>
      <c r="M150"/>
      <c r="N150"/>
      <c r="O150"/>
      <c r="P150"/>
      <c r="Q150"/>
      <c r="R150"/>
      <c r="S150"/>
    </row>
    <row r="151" spans="1:19">
      <c r="A151" s="17"/>
      <c r="B151" s="17" t="s">
        <v>277</v>
      </c>
      <c r="C151" s="33"/>
      <c r="D151" s="17"/>
      <c r="E151" s="614" t="str">
        <f>'Internal Service Template'!Q154</f>
        <v/>
      </c>
      <c r="F151" s="267" t="str">
        <f>'Internal Service Template'!R154</f>
        <v/>
      </c>
      <c r="G151" s="263"/>
      <c r="H151"/>
      <c r="I151" s="548"/>
      <c r="J151" s="538"/>
      <c r="K151"/>
      <c r="L151" s="615"/>
      <c r="M151"/>
      <c r="N151"/>
      <c r="O151"/>
      <c r="P151"/>
      <c r="Q151"/>
      <c r="R151"/>
      <c r="S151"/>
    </row>
    <row r="152" spans="1:19">
      <c r="A152" s="17"/>
      <c r="B152" s="17" t="s">
        <v>3220</v>
      </c>
      <c r="C152" s="33"/>
      <c r="D152" s="17"/>
      <c r="E152" s="614" t="str">
        <f>'Internal Service Template'!Q155</f>
        <v/>
      </c>
      <c r="F152" s="267" t="str">
        <f>'Internal Service Template'!R155</f>
        <v/>
      </c>
      <c r="G152" s="263"/>
      <c r="H152"/>
      <c r="I152" s="548"/>
      <c r="J152" s="538"/>
      <c r="K152"/>
      <c r="L152" s="615"/>
      <c r="M152"/>
      <c r="N152"/>
      <c r="O152"/>
      <c r="P152"/>
      <c r="Q152"/>
      <c r="R152"/>
      <c r="S152"/>
    </row>
    <row r="153" spans="1:19">
      <c r="A153" s="17"/>
      <c r="B153" s="17" t="s">
        <v>3292</v>
      </c>
      <c r="C153" s="33"/>
      <c r="D153" s="17"/>
      <c r="E153" s="614" t="str">
        <f>'Internal Service Template'!Q156</f>
        <v/>
      </c>
      <c r="F153" s="267" t="str">
        <f>'Internal Service Template'!R156</f>
        <v/>
      </c>
      <c r="G153" s="263"/>
      <c r="H153"/>
      <c r="I153" s="548"/>
      <c r="J153" s="538"/>
      <c r="K153"/>
      <c r="L153" s="615"/>
      <c r="M153"/>
      <c r="N153"/>
      <c r="O153"/>
      <c r="P153"/>
      <c r="Q153"/>
      <c r="R153"/>
      <c r="S153"/>
    </row>
    <row r="154" spans="1:19">
      <c r="A154" s="17"/>
      <c r="B154" s="17" t="s">
        <v>278</v>
      </c>
      <c r="C154" s="33"/>
      <c r="D154" s="17"/>
      <c r="E154" s="614" t="str">
        <f>'Internal Service Template'!Q157</f>
        <v/>
      </c>
      <c r="F154" s="267" t="str">
        <f>'Internal Service Template'!R157</f>
        <v/>
      </c>
      <c r="G154" s="263"/>
      <c r="H154"/>
      <c r="I154" s="548"/>
      <c r="J154" s="538"/>
      <c r="K154"/>
      <c r="L154" s="615"/>
      <c r="M154"/>
      <c r="N154"/>
      <c r="O154"/>
      <c r="P154"/>
      <c r="Q154"/>
      <c r="R154"/>
      <c r="S154"/>
    </row>
    <row r="155" spans="1:19">
      <c r="A155" s="17"/>
      <c r="B155" s="17" t="s">
        <v>82</v>
      </c>
      <c r="C155" s="33"/>
      <c r="D155" s="17"/>
      <c r="E155" s="614" t="str">
        <f>'Internal Service Template'!Q158</f>
        <v/>
      </c>
      <c r="F155" s="267" t="str">
        <f>'Internal Service Template'!R158</f>
        <v/>
      </c>
      <c r="G155" s="263"/>
      <c r="H155"/>
      <c r="I155" s="548"/>
      <c r="J155" s="538"/>
      <c r="K155"/>
      <c r="L155" s="615"/>
      <c r="M155"/>
      <c r="N155"/>
      <c r="O155"/>
      <c r="P155"/>
      <c r="Q155"/>
      <c r="R155"/>
      <c r="S155"/>
    </row>
    <row r="156" spans="1:19" hidden="1">
      <c r="A156" s="17"/>
      <c r="B156" s="17"/>
      <c r="C156" s="33"/>
      <c r="D156" s="17"/>
      <c r="E156" s="616"/>
      <c r="F156" s="616"/>
      <c r="H156"/>
      <c r="I156" s="548"/>
      <c r="J156" s="538"/>
      <c r="K156"/>
      <c r="L156" s="615"/>
      <c r="M156"/>
      <c r="N156"/>
      <c r="O156"/>
      <c r="P156"/>
      <c r="Q156"/>
      <c r="R156"/>
      <c r="S156"/>
    </row>
    <row r="157" spans="1:19" hidden="1">
      <c r="A157" s="17"/>
      <c r="B157" s="17"/>
      <c r="C157" s="17"/>
      <c r="D157" s="17"/>
      <c r="E157" s="169"/>
      <c r="F157" s="169"/>
      <c r="H157"/>
      <c r="I157" s="548"/>
      <c r="J157" s="538"/>
      <c r="K157"/>
      <c r="L157" s="615"/>
      <c r="M157"/>
      <c r="N157"/>
      <c r="O157"/>
      <c r="P157"/>
      <c r="Q157"/>
      <c r="R157"/>
      <c r="S157"/>
    </row>
    <row r="158" spans="1:19" hidden="1">
      <c r="A158" s="17"/>
      <c r="B158" s="17"/>
      <c r="C158" s="17"/>
      <c r="D158" s="33"/>
      <c r="E158" s="169"/>
      <c r="F158" s="169"/>
      <c r="H158"/>
      <c r="I158" s="548"/>
      <c r="J158" s="538"/>
      <c r="K158"/>
      <c r="L158" s="615"/>
      <c r="M158"/>
      <c r="N158"/>
      <c r="O158"/>
      <c r="P158"/>
      <c r="Q158"/>
      <c r="R158"/>
      <c r="S158"/>
    </row>
    <row r="159" spans="1:19" hidden="1">
      <c r="A159" s="17"/>
      <c r="B159" s="17"/>
      <c r="C159" s="17"/>
      <c r="D159" s="17"/>
      <c r="E159" s="169"/>
      <c r="F159" s="169"/>
      <c r="H159"/>
      <c r="I159" s="548"/>
      <c r="J159" s="538"/>
      <c r="K159"/>
      <c r="L159" s="615"/>
      <c r="M159"/>
      <c r="N159"/>
      <c r="O159"/>
      <c r="P159"/>
      <c r="Q159"/>
      <c r="R159"/>
      <c r="S159"/>
    </row>
    <row r="160" spans="1:19">
      <c r="A160" s="17" t="s">
        <v>560</v>
      </c>
      <c r="B160" s="17"/>
      <c r="C160" s="17"/>
      <c r="D160" s="17"/>
      <c r="E160" s="617"/>
      <c r="F160" s="617"/>
      <c r="H160"/>
      <c r="I160" s="548"/>
      <c r="J160" s="538"/>
      <c r="K160"/>
      <c r="L160" s="615"/>
      <c r="M160"/>
      <c r="N160"/>
      <c r="O160"/>
      <c r="P160"/>
      <c r="Q160"/>
      <c r="R160"/>
      <c r="S160"/>
    </row>
    <row r="161" spans="1:19">
      <c r="A161" s="17"/>
      <c r="B161" s="33" t="s">
        <v>644</v>
      </c>
      <c r="C161" s="17"/>
      <c r="D161" s="17"/>
      <c r="E161" s="614" t="str">
        <f>'Internal Service Template'!Q164</f>
        <v/>
      </c>
      <c r="F161" s="267" t="str">
        <f>'Internal Service Template'!R164</f>
        <v/>
      </c>
      <c r="G161" s="263"/>
      <c r="H161"/>
      <c r="I161" s="548"/>
      <c r="J161" s="538"/>
      <c r="K161"/>
      <c r="L161" s="615"/>
      <c r="M161"/>
      <c r="N161"/>
      <c r="O161"/>
      <c r="P161"/>
      <c r="Q161"/>
      <c r="R161"/>
      <c r="S161"/>
    </row>
    <row r="162" spans="1:19">
      <c r="A162" s="17"/>
      <c r="B162" s="33" t="s">
        <v>651</v>
      </c>
      <c r="C162" s="17"/>
      <c r="D162" s="17"/>
      <c r="E162" s="614" t="str">
        <f>'Internal Service Template'!Q165</f>
        <v/>
      </c>
      <c r="F162" s="267" t="str">
        <f>'Internal Service Template'!R165</f>
        <v/>
      </c>
      <c r="G162" s="263"/>
      <c r="H162"/>
      <c r="I162" s="548"/>
      <c r="J162" s="538"/>
      <c r="K162"/>
      <c r="L162" s="615"/>
      <c r="M162"/>
      <c r="N162"/>
      <c r="O162"/>
      <c r="P162"/>
      <c r="Q162"/>
      <c r="R162"/>
      <c r="S162"/>
    </row>
    <row r="163" spans="1:19">
      <c r="A163" s="17"/>
      <c r="B163" s="33" t="s">
        <v>643</v>
      </c>
      <c r="C163" s="17"/>
      <c r="D163" s="17"/>
      <c r="E163" s="614" t="str">
        <f>'Internal Service Template'!Q166</f>
        <v/>
      </c>
      <c r="F163" s="267" t="str">
        <f>'Internal Service Template'!R166</f>
        <v/>
      </c>
      <c r="G163" s="263"/>
      <c r="H163"/>
      <c r="I163" s="548"/>
      <c r="J163" s="538"/>
      <c r="K163"/>
      <c r="L163" s="615"/>
      <c r="M163"/>
      <c r="N163"/>
      <c r="O163"/>
      <c r="P163"/>
      <c r="Q163"/>
      <c r="R163"/>
      <c r="S163"/>
    </row>
    <row r="164" spans="1:19" hidden="1">
      <c r="A164" s="17"/>
      <c r="B164" s="33"/>
      <c r="C164" s="17"/>
      <c r="D164" s="17"/>
      <c r="E164" s="618"/>
      <c r="F164" s="618"/>
      <c r="G164" s="266"/>
      <c r="H164"/>
      <c r="I164" s="548"/>
      <c r="J164" s="538"/>
      <c r="K164"/>
      <c r="L164" s="615"/>
      <c r="M164"/>
      <c r="N164"/>
      <c r="O164"/>
      <c r="P164"/>
      <c r="Q164"/>
      <c r="R164"/>
      <c r="S164"/>
    </row>
    <row r="165" spans="1:19">
      <c r="A165" s="17"/>
      <c r="B165" s="33" t="s">
        <v>2704</v>
      </c>
      <c r="C165" s="17"/>
      <c r="D165" s="17"/>
      <c r="E165" s="614" t="str">
        <f>'Internal Service Template'!Q167</f>
        <v/>
      </c>
      <c r="F165" s="267" t="str">
        <f>'Internal Service Template'!R167</f>
        <v/>
      </c>
      <c r="G165" s="263"/>
      <c r="H165"/>
      <c r="I165" s="548"/>
      <c r="J165" s="538"/>
      <c r="K165"/>
      <c r="L165" s="615"/>
      <c r="M165"/>
      <c r="N165"/>
      <c r="O165"/>
      <c r="P165"/>
      <c r="Q165"/>
      <c r="R165"/>
      <c r="S165"/>
    </row>
    <row r="166" spans="1:19">
      <c r="A166" s="17"/>
      <c r="B166" s="17" t="s">
        <v>646</v>
      </c>
      <c r="C166" s="17"/>
      <c r="D166" s="17"/>
      <c r="E166" s="614" t="str">
        <f>'Internal Service Template'!Q169</f>
        <v/>
      </c>
      <c r="F166" s="267" t="str">
        <f>'Internal Service Template'!R169</f>
        <v/>
      </c>
      <c r="G166" s="263"/>
      <c r="H166"/>
      <c r="I166" s="548"/>
      <c r="J166" s="538"/>
      <c r="K166"/>
      <c r="L166" s="615"/>
      <c r="M166"/>
      <c r="N166"/>
      <c r="O166"/>
      <c r="P166"/>
      <c r="Q166"/>
      <c r="R166"/>
      <c r="S166"/>
    </row>
    <row r="167" spans="1:19">
      <c r="A167" s="17"/>
      <c r="B167" s="17" t="s">
        <v>648</v>
      </c>
      <c r="C167" s="17"/>
      <c r="D167" s="17"/>
      <c r="E167" s="614" t="str">
        <f>'Internal Service Template'!Q170</f>
        <v/>
      </c>
      <c r="F167" s="267" t="str">
        <f>'Internal Service Template'!R170</f>
        <v/>
      </c>
      <c r="G167" s="263"/>
      <c r="H167"/>
      <c r="I167" s="548"/>
      <c r="J167" s="538"/>
      <c r="K167"/>
      <c r="L167" s="615"/>
      <c r="M167"/>
      <c r="N167"/>
      <c r="O167"/>
      <c r="P167"/>
      <c r="Q167"/>
      <c r="R167"/>
      <c r="S167"/>
    </row>
    <row r="168" spans="1:19">
      <c r="A168" s="17"/>
      <c r="B168" s="17" t="s">
        <v>649</v>
      </c>
      <c r="C168" s="17"/>
      <c r="D168" s="17"/>
      <c r="E168" s="614" t="str">
        <f>'Internal Service Template'!Q171</f>
        <v/>
      </c>
      <c r="F168" s="267" t="str">
        <f>'Internal Service Template'!R171</f>
        <v/>
      </c>
      <c r="G168" s="263"/>
      <c r="H168"/>
      <c r="I168" s="548"/>
      <c r="J168" s="538"/>
      <c r="K168"/>
      <c r="L168" s="615"/>
      <c r="M168"/>
      <c r="N168"/>
      <c r="O168"/>
      <c r="P168"/>
      <c r="Q168"/>
      <c r="R168"/>
      <c r="S168"/>
    </row>
    <row r="169" spans="1:19" hidden="1">
      <c r="A169" s="17"/>
      <c r="B169" s="17"/>
      <c r="C169" s="33"/>
      <c r="D169" s="17"/>
      <c r="E169" s="207"/>
      <c r="F169" s="616"/>
      <c r="G169" s="264"/>
      <c r="H169"/>
      <c r="I169" s="548"/>
      <c r="J169" s="538"/>
      <c r="K169"/>
      <c r="L169" s="615"/>
      <c r="M169"/>
      <c r="N169"/>
      <c r="O169"/>
      <c r="P169"/>
      <c r="Q169"/>
      <c r="R169"/>
      <c r="S169"/>
    </row>
    <row r="170" spans="1:19" hidden="1">
      <c r="A170" s="33"/>
      <c r="B170" s="17"/>
      <c r="C170" s="17"/>
      <c r="D170" s="17"/>
      <c r="E170" s="169"/>
      <c r="F170" s="169"/>
      <c r="G170" s="264"/>
      <c r="H170"/>
      <c r="I170" s="548"/>
      <c r="J170" s="538"/>
      <c r="K170"/>
      <c r="L170" s="615"/>
      <c r="M170"/>
      <c r="N170"/>
      <c r="O170"/>
      <c r="P170"/>
      <c r="Q170"/>
      <c r="R170"/>
      <c r="S170"/>
    </row>
    <row r="171" spans="1:19" hidden="1">
      <c r="A171" s="17"/>
      <c r="B171" s="17"/>
      <c r="C171" s="17"/>
      <c r="D171" s="17"/>
      <c r="E171" s="169"/>
      <c r="F171" s="169"/>
      <c r="G171" s="268"/>
      <c r="H171"/>
      <c r="I171" s="548"/>
      <c r="J171" s="538"/>
      <c r="K171"/>
      <c r="L171" s="615"/>
      <c r="M171"/>
      <c r="N171"/>
      <c r="O171"/>
      <c r="P171"/>
      <c r="Q171"/>
      <c r="R171"/>
      <c r="S171"/>
    </row>
    <row r="172" spans="1:19" hidden="1">
      <c r="A172" s="17"/>
      <c r="B172" s="17"/>
      <c r="C172" s="17"/>
      <c r="D172" s="17"/>
      <c r="E172" s="617"/>
      <c r="F172" s="617"/>
      <c r="G172" s="269"/>
      <c r="H172"/>
      <c r="I172" s="548"/>
      <c r="J172" s="538"/>
      <c r="K172"/>
      <c r="L172" s="615"/>
      <c r="M172"/>
      <c r="N172"/>
      <c r="O172"/>
      <c r="P172"/>
      <c r="Q172"/>
      <c r="R172"/>
      <c r="S172"/>
    </row>
    <row r="173" spans="1:19">
      <c r="A173" s="17"/>
      <c r="B173" s="17" t="s">
        <v>647</v>
      </c>
      <c r="C173" s="17"/>
      <c r="D173" s="17"/>
      <c r="E173" s="614" t="str">
        <f>'Internal Service Template'!Q176</f>
        <v/>
      </c>
      <c r="F173" s="267" t="str">
        <f>'Internal Service Template'!R176</f>
        <v/>
      </c>
      <c r="G173" s="263"/>
      <c r="H173"/>
      <c r="I173" s="548"/>
      <c r="J173" s="538"/>
      <c r="K173"/>
      <c r="L173" s="615"/>
      <c r="M173"/>
      <c r="N173"/>
      <c r="O173"/>
      <c r="P173"/>
      <c r="Q173"/>
      <c r="R173"/>
      <c r="S173"/>
    </row>
    <row r="174" spans="1:19">
      <c r="A174" s="17"/>
      <c r="B174" s="17" t="s">
        <v>3219</v>
      </c>
      <c r="C174" s="17"/>
      <c r="D174" s="17"/>
      <c r="E174" s="614" t="str">
        <f>'Internal Service Template'!Q177</f>
        <v/>
      </c>
      <c r="F174" s="267" t="str">
        <f>'Internal Service Template'!R177</f>
        <v/>
      </c>
      <c r="G174" s="263"/>
      <c r="H174"/>
      <c r="I174" s="548"/>
      <c r="J174" s="538"/>
      <c r="K174"/>
      <c r="L174" s="615"/>
      <c r="M174"/>
      <c r="N174"/>
      <c r="O174"/>
      <c r="P174"/>
      <c r="Q174"/>
      <c r="R174"/>
      <c r="S174"/>
    </row>
    <row r="175" spans="1:19">
      <c r="A175" s="17"/>
      <c r="B175" s="17" t="s">
        <v>277</v>
      </c>
      <c r="C175" s="17"/>
      <c r="D175" s="17"/>
      <c r="E175" s="614" t="str">
        <f>'Internal Service Template'!Q178</f>
        <v/>
      </c>
      <c r="F175" s="267" t="str">
        <f>'Internal Service Template'!R178</f>
        <v/>
      </c>
      <c r="G175" s="263"/>
      <c r="H175"/>
      <c r="I175" s="548"/>
      <c r="J175" s="538"/>
      <c r="K175"/>
      <c r="L175" s="615"/>
      <c r="M175"/>
      <c r="N175"/>
      <c r="O175"/>
      <c r="P175"/>
      <c r="Q175"/>
      <c r="R175"/>
      <c r="S175"/>
    </row>
    <row r="176" spans="1:19">
      <c r="A176" s="17"/>
      <c r="B176" s="17" t="s">
        <v>3220</v>
      </c>
      <c r="C176" s="17"/>
      <c r="D176" s="17"/>
      <c r="E176" s="614" t="str">
        <f>'Internal Service Template'!Q179</f>
        <v/>
      </c>
      <c r="F176" s="267" t="str">
        <f>'Internal Service Template'!R179</f>
        <v/>
      </c>
      <c r="G176" s="263"/>
      <c r="H176"/>
      <c r="I176" s="548"/>
      <c r="J176" s="538"/>
      <c r="K176"/>
      <c r="L176" s="615"/>
      <c r="M176"/>
      <c r="N176"/>
      <c r="O176"/>
      <c r="P176"/>
      <c r="Q176"/>
      <c r="R176"/>
      <c r="S176"/>
    </row>
    <row r="177" spans="1:19">
      <c r="A177" s="17"/>
      <c r="B177" s="17" t="s">
        <v>3292</v>
      </c>
      <c r="C177" s="33"/>
      <c r="D177" s="17"/>
      <c r="E177" s="614" t="str">
        <f>'Internal Service Template'!Q180</f>
        <v/>
      </c>
      <c r="F177" s="267" t="str">
        <f>'Internal Service Template'!R180</f>
        <v/>
      </c>
      <c r="G177" s="263"/>
      <c r="H177"/>
      <c r="I177" s="548"/>
      <c r="J177" s="538"/>
      <c r="K177"/>
      <c r="L177" s="615"/>
      <c r="M177"/>
      <c r="N177"/>
      <c r="O177"/>
      <c r="P177"/>
      <c r="Q177"/>
      <c r="R177"/>
      <c r="S177"/>
    </row>
    <row r="178" spans="1:19">
      <c r="A178" s="17"/>
      <c r="B178" s="17" t="s">
        <v>278</v>
      </c>
      <c r="C178" s="17"/>
      <c r="D178" s="17"/>
      <c r="E178" s="614" t="str">
        <f>'Internal Service Template'!Q181</f>
        <v/>
      </c>
      <c r="F178" s="267" t="str">
        <f>'Internal Service Template'!R181</f>
        <v/>
      </c>
      <c r="G178" s="263"/>
      <c r="H178"/>
      <c r="I178" s="548"/>
      <c r="J178" s="538"/>
      <c r="K178"/>
      <c r="L178" s="615"/>
      <c r="M178"/>
      <c r="N178"/>
      <c r="O178"/>
      <c r="P178"/>
      <c r="Q178"/>
      <c r="R178"/>
      <c r="S178"/>
    </row>
    <row r="179" spans="1:19">
      <c r="A179" s="17"/>
      <c r="B179" s="17" t="s">
        <v>82</v>
      </c>
      <c r="C179" s="17"/>
      <c r="D179" s="17"/>
      <c r="E179" s="614" t="str">
        <f>'Internal Service Template'!Q182</f>
        <v/>
      </c>
      <c r="F179" s="267" t="str">
        <f>'Internal Service Template'!R182</f>
        <v/>
      </c>
      <c r="G179" s="263"/>
      <c r="H179"/>
      <c r="I179" s="548"/>
      <c r="J179" s="538"/>
      <c r="K179"/>
      <c r="L179" s="615"/>
      <c r="M179"/>
      <c r="N179"/>
      <c r="O179"/>
      <c r="P179"/>
      <c r="Q179"/>
      <c r="R179"/>
      <c r="S179"/>
    </row>
    <row r="180" spans="1:19" hidden="1">
      <c r="A180" s="17"/>
      <c r="B180" s="17"/>
      <c r="C180" s="17"/>
      <c r="D180" s="17"/>
      <c r="E180" s="616"/>
      <c r="F180" s="616"/>
      <c r="G180" s="266"/>
      <c r="H180"/>
      <c r="I180" s="548"/>
      <c r="J180" s="538"/>
      <c r="K180"/>
      <c r="L180" s="615"/>
      <c r="M180"/>
      <c r="N180"/>
      <c r="O180"/>
      <c r="P180"/>
      <c r="Q180"/>
      <c r="R180"/>
      <c r="S180"/>
    </row>
    <row r="181" spans="1:19" hidden="1">
      <c r="A181" s="17"/>
      <c r="B181" s="17"/>
      <c r="C181" s="17"/>
      <c r="D181" s="17"/>
      <c r="E181" s="169"/>
      <c r="F181" s="169"/>
      <c r="G181" s="266"/>
      <c r="H181"/>
      <c r="I181" s="548"/>
      <c r="J181" s="538"/>
      <c r="K181"/>
      <c r="L181" s="615"/>
      <c r="M181"/>
      <c r="N181"/>
      <c r="O181"/>
      <c r="P181"/>
      <c r="Q181"/>
      <c r="R181"/>
      <c r="S181"/>
    </row>
    <row r="182" spans="1:19" hidden="1">
      <c r="A182" s="17"/>
      <c r="B182" s="17"/>
      <c r="C182" s="33"/>
      <c r="D182" s="17"/>
      <c r="E182" s="169"/>
      <c r="F182" s="169"/>
      <c r="G182" s="264"/>
      <c r="H182"/>
      <c r="I182" s="548"/>
      <c r="J182" s="538"/>
      <c r="K182"/>
      <c r="L182" s="615"/>
      <c r="M182"/>
      <c r="N182"/>
      <c r="O182"/>
      <c r="P182"/>
      <c r="Q182"/>
      <c r="R182"/>
      <c r="S182"/>
    </row>
    <row r="183" spans="1:19" hidden="1">
      <c r="A183" s="17"/>
      <c r="B183" s="17"/>
      <c r="C183" s="17"/>
      <c r="D183" s="17"/>
      <c r="E183" s="169"/>
      <c r="F183" s="169"/>
      <c r="G183" s="264"/>
      <c r="H183"/>
      <c r="I183" s="548"/>
      <c r="J183" s="538"/>
      <c r="K183"/>
      <c r="L183" s="615"/>
      <c r="M183"/>
      <c r="N183"/>
      <c r="O183"/>
      <c r="P183"/>
      <c r="Q183"/>
      <c r="R183"/>
      <c r="S183"/>
    </row>
    <row r="184" spans="1:19" hidden="1">
      <c r="A184" s="17"/>
      <c r="B184" s="17"/>
      <c r="C184" s="17"/>
      <c r="D184" s="33"/>
      <c r="E184" s="169"/>
      <c r="F184" s="169"/>
      <c r="G184" s="264"/>
      <c r="H184"/>
      <c r="I184" s="548"/>
      <c r="J184" s="538"/>
      <c r="K184"/>
      <c r="L184" s="615"/>
      <c r="M184"/>
      <c r="N184"/>
      <c r="O184"/>
      <c r="P184"/>
      <c r="Q184"/>
      <c r="R184"/>
      <c r="S184"/>
    </row>
    <row r="185" spans="1:19" hidden="1">
      <c r="A185" s="17"/>
      <c r="B185" s="17"/>
      <c r="C185" s="17"/>
      <c r="D185" s="33"/>
      <c r="E185" s="169"/>
      <c r="F185" s="169"/>
      <c r="G185" s="264"/>
      <c r="H185"/>
      <c r="I185" s="548"/>
      <c r="J185" s="538"/>
      <c r="K185"/>
      <c r="L185" s="615"/>
      <c r="M185"/>
      <c r="N185"/>
      <c r="O185"/>
      <c r="P185"/>
      <c r="Q185"/>
      <c r="R185"/>
      <c r="S185"/>
    </row>
    <row r="186" spans="1:19" hidden="1">
      <c r="A186" s="17"/>
      <c r="B186" s="33"/>
      <c r="C186" s="17"/>
      <c r="D186" s="17"/>
      <c r="E186" s="169"/>
      <c r="F186" s="169"/>
      <c r="G186" s="264"/>
      <c r="H186"/>
      <c r="I186" s="548"/>
      <c r="J186" s="538"/>
      <c r="K186"/>
      <c r="L186" s="615"/>
      <c r="M186"/>
      <c r="N186"/>
      <c r="O186"/>
      <c r="P186"/>
      <c r="Q186"/>
      <c r="R186"/>
      <c r="S186"/>
    </row>
    <row r="187" spans="1:19" hidden="1">
      <c r="E187" s="617"/>
      <c r="F187" s="617"/>
      <c r="G187" s="264"/>
      <c r="H187"/>
      <c r="I187" s="548"/>
      <c r="J187" s="538"/>
      <c r="K187"/>
      <c r="L187" s="615"/>
      <c r="M187"/>
      <c r="N187"/>
      <c r="O187"/>
      <c r="P187"/>
      <c r="Q187"/>
      <c r="R187"/>
      <c r="S187"/>
    </row>
    <row r="188" spans="1:19">
      <c r="A188" s="33" t="s">
        <v>710</v>
      </c>
      <c r="C188" s="17"/>
      <c r="D188" s="17"/>
      <c r="E188" s="614">
        <f>'Internal Service Template'!Q191</f>
        <v>0</v>
      </c>
      <c r="F188" s="267" t="str">
        <f>'Internal Service Template'!R191</f>
        <v/>
      </c>
      <c r="G188" s="263"/>
      <c r="H188"/>
      <c r="I188" s="548"/>
      <c r="J188" s="538"/>
      <c r="K188"/>
      <c r="L188" s="615"/>
      <c r="M188"/>
      <c r="N188"/>
      <c r="O188"/>
      <c r="P188"/>
      <c r="Q188"/>
      <c r="R188"/>
      <c r="S188"/>
    </row>
    <row r="189" spans="1:19" hidden="1">
      <c r="A189" s="17"/>
      <c r="B189" s="17"/>
      <c r="C189" s="17"/>
      <c r="D189" s="17"/>
      <c r="E189" s="616"/>
      <c r="F189" s="616"/>
      <c r="H189"/>
      <c r="I189" s="548"/>
      <c r="J189" s="538"/>
      <c r="K189"/>
      <c r="L189" s="615"/>
      <c r="M189"/>
      <c r="N189"/>
      <c r="O189"/>
      <c r="P189"/>
      <c r="Q189"/>
      <c r="R189"/>
      <c r="S189"/>
    </row>
    <row r="190" spans="1:19" hidden="1">
      <c r="A190"/>
      <c r="B190"/>
      <c r="C190"/>
      <c r="D190"/>
      <c r="E190" s="169"/>
      <c r="F190" s="169"/>
      <c r="G190" s="607"/>
      <c r="H190"/>
      <c r="I190" s="548"/>
      <c r="J190" s="538"/>
      <c r="K190"/>
      <c r="L190" s="615"/>
      <c r="M190"/>
      <c r="N190"/>
      <c r="O190"/>
      <c r="P190"/>
      <c r="Q190"/>
      <c r="R190"/>
      <c r="S190"/>
    </row>
    <row r="191" spans="1:19" hidden="1">
      <c r="A191"/>
      <c r="B191"/>
      <c r="C191"/>
      <c r="D191"/>
      <c r="E191" s="169"/>
      <c r="F191" s="169"/>
      <c r="G191" s="607"/>
      <c r="H191"/>
      <c r="I191" s="548"/>
      <c r="J191" s="538"/>
      <c r="K191"/>
      <c r="L191" s="615"/>
      <c r="M191"/>
      <c r="N191"/>
      <c r="O191"/>
      <c r="P191"/>
      <c r="Q191"/>
      <c r="R191"/>
      <c r="S191"/>
    </row>
    <row r="192" spans="1:19" hidden="1">
      <c r="A192"/>
      <c r="B192"/>
      <c r="C192"/>
      <c r="D192"/>
      <c r="E192" s="169"/>
      <c r="F192" s="169"/>
      <c r="G192" s="607"/>
      <c r="H192"/>
      <c r="I192" s="548"/>
      <c r="J192" s="538"/>
      <c r="K192"/>
      <c r="L192" s="615"/>
      <c r="M192"/>
      <c r="N192"/>
      <c r="O192"/>
      <c r="P192"/>
      <c r="Q192"/>
      <c r="R192"/>
      <c r="S192"/>
    </row>
    <row r="193" spans="1:19" hidden="1">
      <c r="A193"/>
      <c r="B193"/>
      <c r="C193"/>
      <c r="D193"/>
      <c r="E193" s="169"/>
      <c r="F193" s="169"/>
      <c r="G193" s="607"/>
      <c r="H193"/>
      <c r="I193" s="548"/>
      <c r="J193" s="538"/>
      <c r="K193"/>
      <c r="L193" s="615"/>
      <c r="M193"/>
      <c r="N193"/>
      <c r="O193"/>
      <c r="P193"/>
      <c r="Q193"/>
      <c r="R193"/>
      <c r="S193"/>
    </row>
    <row r="194" spans="1:19" hidden="1">
      <c r="A194"/>
      <c r="B194"/>
      <c r="C194"/>
      <c r="D194"/>
      <c r="E194" s="169"/>
      <c r="F194" s="169"/>
      <c r="G194" s="607"/>
      <c r="H194"/>
      <c r="I194" s="548"/>
      <c r="J194" s="538"/>
      <c r="K194"/>
      <c r="L194" s="615"/>
      <c r="M194"/>
      <c r="N194"/>
      <c r="O194"/>
      <c r="P194"/>
      <c r="Q194"/>
      <c r="R194"/>
      <c r="S194"/>
    </row>
    <row r="195" spans="1:19" hidden="1">
      <c r="A195"/>
      <c r="B195"/>
      <c r="C195"/>
      <c r="D195"/>
      <c r="E195" s="169"/>
      <c r="F195" s="169"/>
      <c r="G195" s="607"/>
      <c r="H195"/>
      <c r="I195" s="548"/>
      <c r="J195" s="538"/>
      <c r="K195"/>
      <c r="L195" s="615"/>
      <c r="M195"/>
      <c r="N195"/>
      <c r="O195"/>
      <c r="P195"/>
      <c r="Q195"/>
      <c r="R195"/>
      <c r="S195"/>
    </row>
    <row r="196" spans="1:19" hidden="1">
      <c r="A196"/>
      <c r="B196"/>
      <c r="C196"/>
      <c r="D196"/>
      <c r="E196" s="169"/>
      <c r="F196" s="169"/>
      <c r="G196" s="607"/>
      <c r="H196"/>
      <c r="I196" s="548"/>
      <c r="J196" s="538"/>
      <c r="K196"/>
      <c r="L196" s="615"/>
      <c r="M196"/>
      <c r="N196"/>
      <c r="O196"/>
      <c r="P196"/>
      <c r="Q196"/>
      <c r="R196"/>
      <c r="S196"/>
    </row>
    <row r="197" spans="1:19" hidden="1">
      <c r="A197"/>
      <c r="B197"/>
      <c r="C197"/>
      <c r="D197"/>
      <c r="E197" s="169"/>
      <c r="F197" s="169"/>
      <c r="G197" s="607"/>
      <c r="H197"/>
      <c r="I197" s="548"/>
      <c r="J197" s="538"/>
      <c r="K197"/>
      <c r="L197" s="615"/>
      <c r="M197"/>
      <c r="N197"/>
      <c r="O197"/>
      <c r="P197"/>
      <c r="Q197"/>
      <c r="R197"/>
      <c r="S197"/>
    </row>
    <row r="198" spans="1:19" hidden="1">
      <c r="A198"/>
      <c r="B198"/>
      <c r="C198"/>
      <c r="D198"/>
      <c r="E198" s="169"/>
      <c r="F198" s="169"/>
      <c r="G198" s="607"/>
      <c r="H198"/>
      <c r="I198" s="548"/>
      <c r="J198" s="538"/>
      <c r="K198"/>
      <c r="L198" s="615"/>
      <c r="M198"/>
      <c r="N198"/>
      <c r="O198"/>
      <c r="P198"/>
      <c r="Q198"/>
      <c r="R198"/>
      <c r="S198"/>
    </row>
    <row r="199" spans="1:19" hidden="1">
      <c r="A199"/>
      <c r="B199"/>
      <c r="C199"/>
      <c r="D199"/>
      <c r="E199" s="169"/>
      <c r="F199" s="169"/>
      <c r="G199" s="607"/>
      <c r="H199"/>
      <c r="I199" s="548"/>
      <c r="J199" s="538"/>
      <c r="K199"/>
      <c r="L199" s="615"/>
      <c r="M199"/>
      <c r="N199"/>
      <c r="O199"/>
      <c r="P199"/>
      <c r="Q199"/>
      <c r="R199"/>
      <c r="S199"/>
    </row>
    <row r="200" spans="1:19" hidden="1">
      <c r="A200"/>
      <c r="B200"/>
      <c r="C200"/>
      <c r="D200"/>
      <c r="E200" s="169"/>
      <c r="F200" s="169"/>
      <c r="G200" s="607"/>
      <c r="H200"/>
      <c r="I200" s="548"/>
      <c r="J200" s="538"/>
      <c r="K200"/>
      <c r="L200" s="615"/>
      <c r="M200"/>
      <c r="N200"/>
      <c r="O200"/>
      <c r="P200"/>
      <c r="Q200"/>
      <c r="R200"/>
      <c r="S200"/>
    </row>
    <row r="201" spans="1:19" hidden="1">
      <c r="A201"/>
      <c r="B201"/>
      <c r="C201"/>
      <c r="D201"/>
      <c r="E201" s="169"/>
      <c r="F201" s="169"/>
      <c r="G201" s="607"/>
      <c r="H201"/>
      <c r="I201" s="548"/>
      <c r="J201" s="538"/>
      <c r="K201"/>
      <c r="L201" s="615"/>
      <c r="M201"/>
      <c r="N201"/>
      <c r="O201"/>
      <c r="P201"/>
      <c r="Q201"/>
      <c r="R201"/>
      <c r="S201"/>
    </row>
    <row r="202" spans="1:19" hidden="1">
      <c r="A202"/>
      <c r="B202"/>
      <c r="C202"/>
      <c r="D202"/>
      <c r="E202" s="169"/>
      <c r="F202" s="169"/>
      <c r="G202" s="607"/>
      <c r="H202"/>
      <c r="I202" s="548"/>
      <c r="J202" s="538"/>
      <c r="K202"/>
      <c r="L202" s="615"/>
      <c r="M202"/>
      <c r="N202"/>
      <c r="O202"/>
      <c r="P202"/>
      <c r="Q202"/>
      <c r="R202"/>
      <c r="S202"/>
    </row>
    <row r="203" spans="1:19" hidden="1">
      <c r="A203"/>
      <c r="B203"/>
      <c r="C203"/>
      <c r="D203"/>
      <c r="E203" s="169"/>
      <c r="F203" s="169"/>
      <c r="G203" s="607"/>
      <c r="H203"/>
      <c r="I203" s="548"/>
      <c r="J203" s="538"/>
      <c r="K203"/>
      <c r="L203" s="615"/>
      <c r="M203"/>
      <c r="N203"/>
      <c r="O203"/>
      <c r="P203"/>
      <c r="Q203"/>
      <c r="R203"/>
      <c r="S203"/>
    </row>
    <row r="204" spans="1:19" hidden="1">
      <c r="A204"/>
      <c r="B204"/>
      <c r="C204"/>
      <c r="D204"/>
      <c r="E204" s="169"/>
      <c r="F204" s="169"/>
      <c r="G204" s="607"/>
      <c r="H204"/>
      <c r="I204" s="548"/>
      <c r="J204" s="538"/>
      <c r="K204"/>
      <c r="L204" s="615"/>
      <c r="M204"/>
      <c r="N204"/>
      <c r="O204"/>
      <c r="P204"/>
      <c r="Q204"/>
      <c r="R204"/>
      <c r="S204"/>
    </row>
    <row r="205" spans="1:19" hidden="1">
      <c r="A205"/>
      <c r="B205"/>
      <c r="C205"/>
      <c r="D205"/>
      <c r="E205" s="169"/>
      <c r="F205" s="169"/>
      <c r="G205" s="607"/>
      <c r="H205"/>
      <c r="I205" s="548"/>
      <c r="J205" s="538"/>
      <c r="K205"/>
      <c r="L205" s="615"/>
      <c r="M205"/>
      <c r="N205"/>
      <c r="O205"/>
      <c r="P205"/>
      <c r="Q205"/>
      <c r="R205"/>
      <c r="S205"/>
    </row>
    <row r="206" spans="1:19" hidden="1">
      <c r="A206"/>
      <c r="B206"/>
      <c r="C206"/>
      <c r="D206"/>
      <c r="E206" s="169"/>
      <c r="F206" s="169"/>
      <c r="G206" s="607"/>
      <c r="H206"/>
      <c r="I206" s="548"/>
      <c r="J206" s="538"/>
      <c r="K206"/>
      <c r="L206" s="615"/>
      <c r="M206"/>
      <c r="N206"/>
      <c r="O206"/>
      <c r="P206"/>
      <c r="Q206"/>
      <c r="R206"/>
      <c r="S206"/>
    </row>
    <row r="207" spans="1:19" hidden="1">
      <c r="A207" s="17"/>
      <c r="B207" s="17"/>
      <c r="C207" s="17"/>
      <c r="D207" s="17"/>
      <c r="E207" s="169"/>
      <c r="F207" s="169"/>
      <c r="H207"/>
      <c r="I207" s="548"/>
      <c r="J207" s="538"/>
      <c r="K207"/>
      <c r="L207" s="615"/>
      <c r="M207"/>
      <c r="N207"/>
      <c r="O207"/>
      <c r="P207"/>
      <c r="Q207"/>
      <c r="R207"/>
      <c r="S207"/>
    </row>
    <row r="208" spans="1:19">
      <c r="A208" s="27" t="s">
        <v>718</v>
      </c>
      <c r="B208" s="17"/>
      <c r="C208" s="17"/>
      <c r="D208" s="17"/>
      <c r="E208" s="617"/>
      <c r="F208" s="617"/>
      <c r="H208"/>
      <c r="I208" s="548"/>
      <c r="J208" s="538"/>
      <c r="K208"/>
      <c r="L208" s="615"/>
      <c r="M208"/>
      <c r="N208"/>
      <c r="O208"/>
      <c r="P208"/>
      <c r="Q208"/>
      <c r="R208"/>
      <c r="S208"/>
    </row>
    <row r="209" spans="1:19">
      <c r="A209" s="33" t="s">
        <v>728</v>
      </c>
      <c r="B209" s="33"/>
      <c r="C209" s="17"/>
      <c r="D209" s="17"/>
      <c r="E209" s="614" t="str">
        <f>'Internal Service Template'!Q212</f>
        <v/>
      </c>
      <c r="F209" s="267" t="str">
        <f>'Internal Service Template'!R212</f>
        <v/>
      </c>
      <c r="G209" s="263"/>
      <c r="H209"/>
      <c r="I209" s="548"/>
      <c r="J209" s="538"/>
      <c r="K209"/>
      <c r="L209" s="615"/>
      <c r="M209"/>
      <c r="N209"/>
      <c r="O209"/>
      <c r="P209"/>
      <c r="Q209"/>
      <c r="R209"/>
      <c r="S209"/>
    </row>
    <row r="210" spans="1:19">
      <c r="A210" s="33" t="s">
        <v>474</v>
      </c>
      <c r="B210" s="17"/>
      <c r="C210" s="17"/>
      <c r="D210" s="17"/>
      <c r="E210" s="614" t="str">
        <f>'Internal Service Template'!Q213</f>
        <v/>
      </c>
      <c r="F210" s="267" t="str">
        <f>'Internal Service Template'!R213</f>
        <v/>
      </c>
      <c r="G210" s="263"/>
      <c r="H210"/>
      <c r="I210" s="548"/>
      <c r="J210" s="538"/>
      <c r="K210"/>
      <c r="L210" s="615"/>
      <c r="M210"/>
      <c r="N210"/>
      <c r="O210"/>
      <c r="P210"/>
      <c r="Q210"/>
      <c r="R210"/>
      <c r="S210"/>
    </row>
    <row r="211" spans="1:19">
      <c r="A211" s="33" t="s">
        <v>474</v>
      </c>
      <c r="B211" s="17"/>
      <c r="C211" s="17"/>
      <c r="D211" s="17"/>
      <c r="E211" s="614" t="str">
        <f>'Internal Service Template'!Q214</f>
        <v/>
      </c>
      <c r="F211" s="267" t="str">
        <f>'Internal Service Template'!R214</f>
        <v/>
      </c>
      <c r="G211" s="263"/>
      <c r="H211"/>
      <c r="I211" s="548"/>
      <c r="J211" s="538"/>
      <c r="K211"/>
      <c r="L211" s="615"/>
      <c r="M211"/>
      <c r="N211"/>
      <c r="O211"/>
      <c r="P211"/>
      <c r="Q211"/>
      <c r="R211"/>
      <c r="S211"/>
    </row>
    <row r="212" spans="1:19">
      <c r="A212" s="33" t="s">
        <v>474</v>
      </c>
      <c r="B212" s="17"/>
      <c r="C212" s="17"/>
      <c r="D212" s="17"/>
      <c r="E212" s="614" t="str">
        <f>'Internal Service Template'!Q215</f>
        <v/>
      </c>
      <c r="F212" s="267" t="str">
        <f>'Internal Service Template'!R215</f>
        <v/>
      </c>
      <c r="G212" s="263"/>
      <c r="H212"/>
      <c r="I212" s="548"/>
      <c r="J212" s="538"/>
      <c r="K212"/>
      <c r="L212" s="615"/>
      <c r="M212"/>
      <c r="N212"/>
      <c r="O212"/>
      <c r="P212"/>
      <c r="Q212"/>
      <c r="R212"/>
      <c r="S212"/>
    </row>
    <row r="213" spans="1:19">
      <c r="A213" s="33" t="s">
        <v>474</v>
      </c>
      <c r="B213" s="17"/>
      <c r="C213" s="17"/>
      <c r="D213" s="17"/>
      <c r="E213" s="614" t="str">
        <f>'Internal Service Template'!Q216</f>
        <v/>
      </c>
      <c r="F213" s="267" t="str">
        <f>'Internal Service Template'!R216</f>
        <v/>
      </c>
      <c r="G213" s="263"/>
      <c r="H213"/>
      <c r="I213" s="548"/>
      <c r="J213" s="538"/>
      <c r="K213"/>
      <c r="L213" s="615"/>
      <c r="M213"/>
      <c r="N213"/>
      <c r="O213"/>
      <c r="P213"/>
      <c r="Q213"/>
      <c r="R213"/>
      <c r="S213"/>
    </row>
    <row r="214" spans="1:19">
      <c r="A214" s="33" t="s">
        <v>281</v>
      </c>
      <c r="B214" s="17"/>
      <c r="C214" s="17"/>
      <c r="D214" s="17"/>
      <c r="E214" s="614" t="str">
        <f>'Internal Service Template'!Q217</f>
        <v/>
      </c>
      <c r="F214" s="267" t="str">
        <f>'Internal Service Template'!R217</f>
        <v/>
      </c>
      <c r="G214" s="263"/>
      <c r="H214"/>
      <c r="I214" s="548"/>
      <c r="J214" s="538"/>
      <c r="K214"/>
      <c r="L214" s="615"/>
      <c r="M214"/>
      <c r="N214"/>
      <c r="O214"/>
      <c r="P214"/>
      <c r="Q214"/>
      <c r="R214"/>
      <c r="S214"/>
    </row>
    <row r="215" spans="1:19" hidden="1">
      <c r="A215" s="17"/>
      <c r="B215" s="17"/>
      <c r="C215" s="17"/>
      <c r="D215" s="33"/>
      <c r="E215" s="616"/>
      <c r="F215" s="616"/>
      <c r="H215"/>
      <c r="I215" s="548"/>
      <c r="J215" s="538"/>
      <c r="K215"/>
      <c r="L215" s="615"/>
      <c r="M215"/>
      <c r="N215"/>
      <c r="O215"/>
      <c r="P215"/>
      <c r="Q215"/>
      <c r="R215"/>
      <c r="S215"/>
    </row>
    <row r="216" spans="1:19" hidden="1">
      <c r="A216" s="17"/>
      <c r="B216" s="17"/>
      <c r="C216" s="17"/>
      <c r="D216" s="17"/>
      <c r="E216" s="169"/>
      <c r="F216" s="169"/>
      <c r="H216"/>
      <c r="I216" s="548"/>
      <c r="J216" s="538"/>
      <c r="K216"/>
      <c r="L216" s="615"/>
      <c r="M216"/>
      <c r="N216"/>
      <c r="O216"/>
      <c r="P216"/>
      <c r="Q216"/>
      <c r="R216"/>
      <c r="S216"/>
    </row>
    <row r="217" spans="1:19" hidden="1">
      <c r="A217" s="17"/>
      <c r="B217" s="17"/>
      <c r="C217" s="17"/>
      <c r="D217" s="17"/>
      <c r="E217" s="169"/>
      <c r="F217" s="169"/>
      <c r="H217"/>
      <c r="I217" s="548"/>
      <c r="J217" s="538"/>
      <c r="K217"/>
      <c r="L217" s="615"/>
      <c r="M217"/>
      <c r="N217"/>
      <c r="O217"/>
      <c r="P217"/>
      <c r="Q217"/>
      <c r="R217"/>
      <c r="S217"/>
    </row>
    <row r="218" spans="1:19" hidden="1">
      <c r="A218" s="1050"/>
      <c r="B218" s="1100"/>
      <c r="C218" s="1100"/>
      <c r="D218" s="1100"/>
      <c r="E218" s="169"/>
      <c r="F218" s="169"/>
      <c r="H218"/>
      <c r="I218" s="548"/>
      <c r="J218" s="538"/>
      <c r="K218"/>
      <c r="L218" s="615"/>
      <c r="M218"/>
      <c r="N218"/>
      <c r="O218"/>
      <c r="P218"/>
      <c r="Q218"/>
      <c r="R218"/>
      <c r="S218"/>
    </row>
    <row r="219" spans="1:19">
      <c r="A219" s="27"/>
      <c r="B219" s="17"/>
      <c r="C219" s="17"/>
      <c r="D219" s="17"/>
      <c r="E219" s="169"/>
      <c r="F219" s="169"/>
      <c r="H219"/>
      <c r="I219" s="548"/>
      <c r="J219" s="538"/>
      <c r="K219"/>
      <c r="L219" s="615"/>
      <c r="M219"/>
      <c r="N219"/>
      <c r="O219"/>
      <c r="P219"/>
      <c r="Q219"/>
      <c r="R219"/>
      <c r="S219"/>
    </row>
    <row r="220" spans="1:19" ht="13.8" thickBot="1">
      <c r="A220" s="1105" t="s">
        <v>719</v>
      </c>
      <c r="B220" s="1105"/>
      <c r="C220" s="1105"/>
      <c r="D220" s="1105"/>
      <c r="E220"/>
      <c r="F220" s="169"/>
      <c r="H220"/>
      <c r="I220" s="548"/>
      <c r="J220" s="538"/>
      <c r="K220"/>
      <c r="L220" s="615"/>
      <c r="M220"/>
      <c r="N220"/>
      <c r="O220"/>
      <c r="P220"/>
      <c r="Q220"/>
      <c r="R220"/>
      <c r="S220"/>
    </row>
    <row r="221" spans="1:19" ht="13.5" hidden="1" customHeight="1">
      <c r="A221" s="29">
        <f>A119</f>
        <v>0</v>
      </c>
      <c r="B221" s="23"/>
      <c r="C221" s="23"/>
      <c r="D221" s="23"/>
      <c r="E221" s="169"/>
      <c r="F221" s="169"/>
      <c r="G221" s="607"/>
      <c r="H221"/>
      <c r="I221" s="548"/>
      <c r="J221" s="538"/>
      <c r="K221"/>
      <c r="L221" s="615"/>
      <c r="M221"/>
      <c r="N221"/>
      <c r="O221"/>
      <c r="P221"/>
      <c r="Q221"/>
      <c r="R221"/>
      <c r="S221"/>
    </row>
    <row r="222" spans="1:19" hidden="1">
      <c r="A222" s="27"/>
      <c r="B222" s="17"/>
      <c r="C222" s="17"/>
      <c r="D222" s="17"/>
      <c r="E222" s="169"/>
      <c r="F222" s="169"/>
      <c r="G222" s="607"/>
      <c r="H222"/>
      <c r="I222" s="548"/>
      <c r="J222" s="538"/>
      <c r="K222"/>
      <c r="L222" s="615"/>
      <c r="M222"/>
      <c r="N222"/>
      <c r="O222"/>
      <c r="P222"/>
      <c r="Q222"/>
      <c r="R222"/>
      <c r="S222"/>
    </row>
    <row r="223" spans="1:19">
      <c r="A223" s="18" t="s">
        <v>282</v>
      </c>
      <c r="B223" s="17"/>
      <c r="C223" s="17"/>
      <c r="D223" s="17"/>
      <c r="E223" s="169"/>
      <c r="F223" s="169"/>
      <c r="G223" s="607"/>
      <c r="H223"/>
      <c r="I223" s="548"/>
      <c r="J223" s="538"/>
      <c r="K223"/>
      <c r="L223" s="615"/>
      <c r="M223"/>
      <c r="N223"/>
      <c r="O223"/>
      <c r="P223"/>
      <c r="Q223"/>
      <c r="R223"/>
      <c r="S223"/>
    </row>
    <row r="224" spans="1:19" hidden="1">
      <c r="A224" s="18"/>
      <c r="B224" s="17"/>
      <c r="C224" s="17"/>
      <c r="D224" s="17"/>
      <c r="E224" s="617"/>
      <c r="F224" s="617"/>
      <c r="G224" s="619"/>
      <c r="H224"/>
      <c r="I224" s="548"/>
      <c r="J224" s="538"/>
      <c r="K224"/>
      <c r="L224" s="615"/>
      <c r="M224"/>
      <c r="N224"/>
      <c r="O224"/>
      <c r="P224"/>
      <c r="Q224"/>
      <c r="R224"/>
      <c r="S224"/>
    </row>
    <row r="225" spans="1:19">
      <c r="A225" s="17"/>
      <c r="B225" s="24" t="s">
        <v>283</v>
      </c>
      <c r="C225" s="17"/>
      <c r="D225" s="17"/>
      <c r="E225" s="614" t="str">
        <f>'Internal Service Template'!Q228</f>
        <v/>
      </c>
      <c r="F225" s="267" t="str">
        <f>'Internal Service Template'!R228</f>
        <v/>
      </c>
      <c r="G225" s="263"/>
      <c r="H225"/>
      <c r="I225" s="548"/>
      <c r="J225" s="538"/>
      <c r="K225"/>
      <c r="L225" s="615"/>
      <c r="M225"/>
      <c r="N225"/>
      <c r="O225"/>
      <c r="P225"/>
      <c r="Q225"/>
      <c r="R225"/>
      <c r="S225"/>
    </row>
    <row r="226" spans="1:19">
      <c r="A226" s="17"/>
      <c r="B226" s="24" t="s">
        <v>284</v>
      </c>
      <c r="C226" s="17"/>
      <c r="D226" s="17"/>
      <c r="E226" s="614" t="str">
        <f>'Internal Service Template'!Q229</f>
        <v/>
      </c>
      <c r="F226" s="267" t="str">
        <f>'Internal Service Template'!R229</f>
        <v/>
      </c>
      <c r="G226" s="263"/>
      <c r="H226"/>
      <c r="I226" s="548"/>
      <c r="J226" s="538"/>
      <c r="K226"/>
      <c r="L226" s="615"/>
      <c r="M226"/>
      <c r="N226"/>
      <c r="O226"/>
      <c r="P226"/>
      <c r="Q226"/>
      <c r="R226"/>
      <c r="S226"/>
    </row>
    <row r="227" spans="1:19" hidden="1">
      <c r="A227" s="17"/>
      <c r="B227" s="40"/>
      <c r="C227" s="17"/>
      <c r="D227" s="17"/>
      <c r="E227" s="618"/>
      <c r="F227" s="618"/>
      <c r="G227" s="264"/>
      <c r="H227"/>
      <c r="I227" s="548"/>
      <c r="J227" s="538"/>
      <c r="K227"/>
      <c r="L227" s="615"/>
      <c r="M227"/>
      <c r="N227"/>
      <c r="O227"/>
      <c r="P227"/>
      <c r="Q227"/>
      <c r="R227"/>
      <c r="S227"/>
    </row>
    <row r="228" spans="1:19">
      <c r="A228" s="17"/>
      <c r="B228" s="17" t="s">
        <v>619</v>
      </c>
      <c r="C228" s="17"/>
      <c r="D228" s="17"/>
      <c r="E228" s="614" t="str">
        <f>'Internal Service Template'!Q231</f>
        <v/>
      </c>
      <c r="F228" s="267" t="str">
        <f>'Internal Service Template'!R231</f>
        <v/>
      </c>
      <c r="G228" s="263"/>
      <c r="H228"/>
      <c r="I228" s="548"/>
      <c r="J228" s="538"/>
      <c r="K228"/>
      <c r="L228" s="615"/>
      <c r="M228"/>
      <c r="N228"/>
      <c r="O228"/>
      <c r="P228"/>
      <c r="Q228"/>
      <c r="R228"/>
      <c r="S228"/>
    </row>
    <row r="229" spans="1:19">
      <c r="A229" s="17"/>
      <c r="B229" s="40" t="s">
        <v>285</v>
      </c>
      <c r="C229" s="17"/>
      <c r="D229" s="17"/>
      <c r="E229" s="614" t="str">
        <f>'Internal Service Template'!Q232</f>
        <v/>
      </c>
      <c r="F229" s="267" t="str">
        <f>'Internal Service Template'!R232</f>
        <v/>
      </c>
      <c r="G229" s="263"/>
      <c r="H229"/>
      <c r="I229" s="548"/>
      <c r="J229" s="538"/>
      <c r="K229"/>
      <c r="L229" s="615"/>
      <c r="M229"/>
      <c r="N229"/>
      <c r="O229"/>
      <c r="P229"/>
      <c r="Q229"/>
      <c r="R229"/>
      <c r="S229"/>
    </row>
    <row r="230" spans="1:19">
      <c r="A230" s="17"/>
      <c r="B230" s="40" t="s">
        <v>620</v>
      </c>
      <c r="C230" s="17"/>
      <c r="D230" s="17"/>
      <c r="E230" s="614" t="str">
        <f>'Internal Service Template'!Q233</f>
        <v/>
      </c>
      <c r="F230" s="267" t="str">
        <f>'Internal Service Template'!R233</f>
        <v/>
      </c>
      <c r="G230" s="263"/>
      <c r="H230"/>
      <c r="I230" s="548"/>
      <c r="J230" s="538"/>
      <c r="K230"/>
      <c r="L230" s="615"/>
      <c r="M230"/>
      <c r="N230"/>
      <c r="O230"/>
      <c r="P230"/>
      <c r="Q230"/>
      <c r="R230"/>
      <c r="S230"/>
    </row>
    <row r="231" spans="1:19">
      <c r="A231" s="17"/>
      <c r="B231" s="40" t="s">
        <v>286</v>
      </c>
      <c r="C231" s="17"/>
      <c r="D231" s="17"/>
      <c r="E231" s="614" t="str">
        <f>'Internal Service Template'!Q234</f>
        <v/>
      </c>
      <c r="F231" s="267" t="str">
        <f>'Internal Service Template'!R234</f>
        <v/>
      </c>
      <c r="G231" s="263"/>
      <c r="H231"/>
      <c r="I231" s="548"/>
      <c r="J231" s="538"/>
      <c r="K231"/>
      <c r="L231" s="615"/>
      <c r="M231"/>
      <c r="N231"/>
      <c r="O231"/>
      <c r="P231"/>
      <c r="Q231"/>
      <c r="R231"/>
      <c r="S231"/>
    </row>
    <row r="232" spans="1:19" hidden="1">
      <c r="A232" s="17"/>
      <c r="B232" s="40"/>
      <c r="C232" s="33"/>
      <c r="D232" s="17"/>
      <c r="E232" s="616"/>
      <c r="F232" s="616"/>
      <c r="H232"/>
      <c r="I232" s="548"/>
      <c r="J232" s="538"/>
      <c r="K232"/>
      <c r="L232" s="615"/>
      <c r="M232"/>
      <c r="N232"/>
      <c r="O232"/>
      <c r="P232"/>
      <c r="Q232"/>
      <c r="R232"/>
      <c r="S232"/>
    </row>
    <row r="233" spans="1:19" hidden="1">
      <c r="A233" s="17"/>
      <c r="B233" s="40"/>
      <c r="C233" s="17"/>
      <c r="D233" s="17"/>
      <c r="E233" s="169"/>
      <c r="F233" s="169"/>
      <c r="H233"/>
      <c r="I233" s="548"/>
      <c r="J233" s="538"/>
      <c r="K233"/>
      <c r="L233" s="615"/>
      <c r="M233"/>
      <c r="N233"/>
      <c r="O233"/>
      <c r="P233"/>
      <c r="Q233"/>
      <c r="R233"/>
      <c r="S233"/>
    </row>
    <row r="234" spans="1:19" hidden="1">
      <c r="A234" s="17"/>
      <c r="B234" s="17"/>
      <c r="C234" s="24"/>
      <c r="D234" s="17"/>
      <c r="E234" s="169"/>
      <c r="F234" s="169"/>
      <c r="H234"/>
      <c r="I234" s="548"/>
      <c r="J234" s="538"/>
      <c r="K234"/>
      <c r="L234" s="615"/>
      <c r="M234"/>
      <c r="N234"/>
      <c r="O234"/>
      <c r="P234"/>
      <c r="Q234"/>
      <c r="R234"/>
      <c r="S234"/>
    </row>
    <row r="235" spans="1:19" hidden="1">
      <c r="A235" s="17"/>
      <c r="B235" s="17"/>
      <c r="C235" s="17"/>
      <c r="D235" s="17"/>
      <c r="E235" s="169"/>
      <c r="F235" s="169"/>
      <c r="H235"/>
      <c r="I235" s="548"/>
      <c r="J235" s="538"/>
      <c r="K235"/>
      <c r="L235" s="615"/>
      <c r="M235"/>
      <c r="N235"/>
      <c r="O235"/>
      <c r="P235"/>
      <c r="Q235"/>
      <c r="R235"/>
      <c r="S235"/>
    </row>
    <row r="236" spans="1:19">
      <c r="A236" s="18" t="s">
        <v>289</v>
      </c>
      <c r="B236" s="17"/>
      <c r="C236" s="17"/>
      <c r="D236" s="17"/>
      <c r="E236" s="617"/>
      <c r="F236" s="617"/>
      <c r="H236"/>
      <c r="I236" s="548"/>
      <c r="J236" s="538"/>
      <c r="K236"/>
      <c r="L236" s="615"/>
      <c r="M236"/>
      <c r="N236"/>
      <c r="O236"/>
      <c r="P236"/>
      <c r="Q236"/>
      <c r="R236"/>
      <c r="S236"/>
    </row>
    <row r="237" spans="1:19">
      <c r="A237" s="17"/>
      <c r="B237" s="24" t="s">
        <v>524</v>
      </c>
      <c r="C237" s="17"/>
      <c r="D237" s="17"/>
      <c r="E237" s="614" t="str">
        <f>'Internal Service Template'!Q240</f>
        <v/>
      </c>
      <c r="F237" s="267" t="str">
        <f>'Internal Service Template'!R240</f>
        <v/>
      </c>
      <c r="G237" s="263"/>
      <c r="H237"/>
      <c r="I237" s="548"/>
      <c r="J237" s="538"/>
      <c r="K237"/>
      <c r="L237" s="615"/>
      <c r="M237"/>
      <c r="N237"/>
      <c r="O237"/>
      <c r="P237"/>
      <c r="Q237"/>
      <c r="R237"/>
      <c r="S237"/>
    </row>
    <row r="238" spans="1:19" hidden="1">
      <c r="A238" s="17"/>
      <c r="B238" s="40"/>
      <c r="C238" s="17"/>
      <c r="D238" s="17"/>
      <c r="E238" s="618"/>
      <c r="F238" s="618"/>
      <c r="G238" s="264"/>
      <c r="H238"/>
      <c r="I238" s="548"/>
      <c r="J238" s="538"/>
      <c r="K238"/>
      <c r="L238" s="615"/>
      <c r="M238"/>
      <c r="N238"/>
      <c r="O238"/>
      <c r="P238"/>
      <c r="Q238"/>
      <c r="R238"/>
      <c r="S238"/>
    </row>
    <row r="239" spans="1:19">
      <c r="A239" s="17"/>
      <c r="B239" s="40" t="s">
        <v>525</v>
      </c>
      <c r="C239" s="17"/>
      <c r="D239" s="17"/>
      <c r="E239" s="614" t="str">
        <f>'Internal Service Template'!Q242</f>
        <v/>
      </c>
      <c r="F239" s="267" t="str">
        <f>'Internal Service Template'!R242</f>
        <v/>
      </c>
      <c r="G239" s="263"/>
      <c r="H239"/>
      <c r="I239" s="548"/>
      <c r="J239" s="538"/>
      <c r="K239"/>
      <c r="L239" s="615"/>
      <c r="M239"/>
      <c r="N239"/>
      <c r="O239"/>
      <c r="P239"/>
      <c r="Q239"/>
      <c r="R239"/>
      <c r="S239"/>
    </row>
    <row r="240" spans="1:19" hidden="1">
      <c r="A240" s="17"/>
      <c r="B240" s="40"/>
      <c r="C240" s="17"/>
      <c r="D240" s="17"/>
      <c r="E240" s="616"/>
      <c r="F240" s="616"/>
      <c r="G240" s="270"/>
      <c r="H240"/>
      <c r="I240" s="548"/>
      <c r="J240" s="538"/>
      <c r="K240"/>
      <c r="L240" s="615"/>
      <c r="M240"/>
      <c r="N240"/>
      <c r="O240"/>
      <c r="P240"/>
      <c r="Q240"/>
      <c r="R240"/>
      <c r="S240"/>
    </row>
    <row r="241" spans="1:19" hidden="1">
      <c r="A241" s="17"/>
      <c r="B241" s="40"/>
      <c r="C241" s="33"/>
      <c r="D241" s="17"/>
      <c r="E241" s="169"/>
      <c r="F241" s="169"/>
      <c r="G241" s="264"/>
      <c r="H241"/>
      <c r="I241" s="548"/>
      <c r="J241" s="538"/>
      <c r="K241"/>
      <c r="L241" s="615"/>
      <c r="M241"/>
      <c r="N241"/>
      <c r="O241"/>
      <c r="P241"/>
      <c r="Q241"/>
      <c r="R241"/>
      <c r="S241"/>
    </row>
    <row r="242" spans="1:19" hidden="1">
      <c r="A242" s="17"/>
      <c r="B242" s="40"/>
      <c r="C242" s="17"/>
      <c r="D242" s="17"/>
      <c r="E242" s="169"/>
      <c r="F242" s="169"/>
      <c r="G242" s="268"/>
      <c r="H242"/>
      <c r="I242" s="548"/>
      <c r="J242" s="538"/>
      <c r="K242"/>
      <c r="L242" s="615"/>
      <c r="M242"/>
      <c r="N242"/>
      <c r="O242"/>
      <c r="P242"/>
      <c r="Q242"/>
      <c r="R242"/>
      <c r="S242"/>
    </row>
    <row r="243" spans="1:19" hidden="1">
      <c r="A243" s="17"/>
      <c r="B243" s="24"/>
      <c r="C243" s="17"/>
      <c r="D243" s="17"/>
      <c r="E243" s="617"/>
      <c r="F243" s="617"/>
      <c r="G243" s="269"/>
      <c r="H243"/>
      <c r="I243" s="548"/>
      <c r="J243" s="538"/>
      <c r="K243"/>
      <c r="L243" s="615"/>
      <c r="M243"/>
      <c r="N243"/>
      <c r="O243"/>
      <c r="P243"/>
      <c r="Q243"/>
      <c r="R243"/>
      <c r="S243"/>
    </row>
    <row r="244" spans="1:19">
      <c r="A244" s="17"/>
      <c r="B244" s="24" t="s">
        <v>641</v>
      </c>
      <c r="C244" s="17"/>
      <c r="D244" s="17"/>
      <c r="E244" s="614" t="str">
        <f>'Internal Service Template'!Q247</f>
        <v/>
      </c>
      <c r="F244" s="267" t="str">
        <f>'Internal Service Template'!R247</f>
        <v/>
      </c>
      <c r="G244" s="263"/>
      <c r="H244"/>
      <c r="I244" s="548"/>
      <c r="J244" s="538"/>
      <c r="K244"/>
      <c r="L244" s="615"/>
      <c r="M244"/>
      <c r="N244"/>
      <c r="O244"/>
      <c r="P244"/>
      <c r="Q244"/>
      <c r="R244"/>
      <c r="S244"/>
    </row>
    <row r="245" spans="1:19">
      <c r="A245" s="17"/>
      <c r="B245" s="24" t="s">
        <v>180</v>
      </c>
      <c r="C245" s="17"/>
      <c r="D245" s="17"/>
      <c r="E245" s="614" t="str">
        <f>'Internal Service Template'!Q248</f>
        <v/>
      </c>
      <c r="F245" s="267" t="str">
        <f>'Internal Service Template'!R248</f>
        <v/>
      </c>
      <c r="G245" s="263"/>
      <c r="H245"/>
      <c r="I245" s="548"/>
      <c r="J245" s="538"/>
      <c r="K245"/>
      <c r="L245" s="615"/>
      <c r="M245"/>
      <c r="N245"/>
      <c r="O245"/>
      <c r="P245"/>
      <c r="Q245"/>
      <c r="R245"/>
      <c r="S245"/>
    </row>
    <row r="246" spans="1:19">
      <c r="A246" s="17"/>
      <c r="B246" s="24" t="s">
        <v>181</v>
      </c>
      <c r="C246" s="17"/>
      <c r="D246" s="17"/>
      <c r="E246" s="614" t="str">
        <f>'Internal Service Template'!Q249</f>
        <v/>
      </c>
      <c r="F246" s="267" t="str">
        <f>'Internal Service Template'!R249</f>
        <v/>
      </c>
      <c r="G246" s="263"/>
      <c r="H246"/>
      <c r="I246" s="548"/>
      <c r="J246" s="538"/>
      <c r="K246"/>
      <c r="L246" s="615"/>
      <c r="M246"/>
      <c r="N246"/>
      <c r="O246"/>
      <c r="P246"/>
      <c r="Q246"/>
      <c r="R246"/>
      <c r="S246"/>
    </row>
    <row r="247" spans="1:19" hidden="1">
      <c r="A247" s="17"/>
      <c r="B247" s="24"/>
      <c r="C247" s="17"/>
      <c r="D247" s="17"/>
      <c r="E247" s="618"/>
      <c r="F247" s="618"/>
      <c r="G247" s="264"/>
      <c r="H247"/>
      <c r="I247" s="548"/>
      <c r="J247" s="538"/>
      <c r="K247"/>
      <c r="L247" s="615"/>
      <c r="M247"/>
      <c r="N247"/>
      <c r="O247"/>
      <c r="P247"/>
      <c r="Q247"/>
      <c r="R247"/>
      <c r="S247"/>
    </row>
    <row r="248" spans="1:19">
      <c r="A248" s="17"/>
      <c r="B248" s="40" t="s">
        <v>182</v>
      </c>
      <c r="C248" s="17"/>
      <c r="D248" s="17"/>
      <c r="E248" s="614" t="str">
        <f>'Internal Service Template'!Q251</f>
        <v/>
      </c>
      <c r="F248" s="267" t="str">
        <f>'Internal Service Template'!R251</f>
        <v/>
      </c>
      <c r="G248" s="263"/>
      <c r="H248"/>
      <c r="I248" s="548"/>
      <c r="J248" s="538"/>
      <c r="K248"/>
      <c r="L248" s="615"/>
      <c r="M248"/>
      <c r="N248"/>
      <c r="O248"/>
      <c r="P248"/>
      <c r="Q248"/>
      <c r="R248"/>
      <c r="S248"/>
    </row>
    <row r="249" spans="1:19">
      <c r="A249" s="17"/>
      <c r="B249" s="40" t="s">
        <v>3294</v>
      </c>
      <c r="C249" s="17"/>
      <c r="D249" s="17"/>
      <c r="E249" s="614" t="str">
        <f>'Internal Service Template'!Q252</f>
        <v/>
      </c>
      <c r="F249" s="267" t="str">
        <f>'Internal Service Template'!R252</f>
        <v/>
      </c>
      <c r="G249" s="263"/>
      <c r="H249"/>
      <c r="I249" s="550"/>
      <c r="J249" s="538"/>
      <c r="K249"/>
      <c r="L249" s="615"/>
      <c r="M249"/>
      <c r="N249"/>
      <c r="O249"/>
      <c r="P249"/>
      <c r="Q249"/>
      <c r="R249"/>
      <c r="S249"/>
    </row>
    <row r="250" spans="1:19" ht="11.25" hidden="1" customHeight="1">
      <c r="A250" s="17"/>
      <c r="B250" s="40"/>
      <c r="C250" s="33"/>
      <c r="D250" s="17"/>
      <c r="E250" s="616"/>
      <c r="F250" s="616"/>
      <c r="G250" s="264"/>
      <c r="H250"/>
      <c r="I250" s="548"/>
      <c r="J250" s="538"/>
      <c r="K250"/>
      <c r="L250" s="615"/>
      <c r="M250"/>
      <c r="N250"/>
      <c r="O250"/>
      <c r="P250"/>
      <c r="Q250"/>
      <c r="R250"/>
      <c r="S250"/>
    </row>
    <row r="251" spans="1:19" hidden="1">
      <c r="A251" s="17"/>
      <c r="B251" s="40"/>
      <c r="C251" s="33"/>
      <c r="D251" s="17"/>
      <c r="E251" s="617"/>
      <c r="F251" s="617"/>
      <c r="G251" s="264"/>
      <c r="H251"/>
      <c r="I251" s="548"/>
      <c r="J251" s="538"/>
      <c r="K251"/>
      <c r="L251" s="615"/>
      <c r="M251"/>
      <c r="N251"/>
      <c r="O251"/>
      <c r="P251"/>
      <c r="Q251"/>
      <c r="R251"/>
      <c r="S251"/>
    </row>
    <row r="252" spans="1:19">
      <c r="A252" s="17"/>
      <c r="B252" s="24" t="s">
        <v>184</v>
      </c>
      <c r="C252" s="17"/>
      <c r="D252" s="17"/>
      <c r="E252" s="614" t="str">
        <f>'Internal Service Template'!Q255</f>
        <v/>
      </c>
      <c r="F252" s="267" t="str">
        <f>'Internal Service Template'!R255</f>
        <v/>
      </c>
      <c r="G252" s="263"/>
      <c r="H252"/>
      <c r="I252" s="548"/>
      <c r="J252" s="538"/>
      <c r="K252"/>
      <c r="L252" s="615"/>
      <c r="M252"/>
      <c r="N252"/>
      <c r="O252"/>
      <c r="P252"/>
      <c r="Q252"/>
      <c r="R252"/>
      <c r="S252"/>
    </row>
    <row r="253" spans="1:19">
      <c r="A253" s="17"/>
      <c r="B253" s="24" t="s">
        <v>290</v>
      </c>
      <c r="C253" s="17"/>
      <c r="D253" s="17"/>
      <c r="E253" s="614" t="str">
        <f>'Internal Service Template'!Q256</f>
        <v/>
      </c>
      <c r="F253" s="267" t="str">
        <f>'Internal Service Template'!R256</f>
        <v/>
      </c>
      <c r="G253" s="263"/>
      <c r="H253"/>
      <c r="I253" s="548"/>
      <c r="J253" s="538"/>
      <c r="K253"/>
      <c r="L253" s="615"/>
      <c r="M253"/>
      <c r="N253"/>
      <c r="O253"/>
      <c r="P253"/>
      <c r="Q253"/>
      <c r="R253"/>
      <c r="S253"/>
    </row>
    <row r="254" spans="1:19" hidden="1">
      <c r="A254" s="17"/>
      <c r="B254" s="24"/>
      <c r="C254" s="17"/>
      <c r="D254" s="17"/>
      <c r="E254" s="616"/>
      <c r="F254" s="616"/>
      <c r="G254" s="270"/>
      <c r="H254"/>
      <c r="I254" s="548"/>
      <c r="J254" s="538"/>
      <c r="K254"/>
      <c r="L254" s="615"/>
      <c r="M254"/>
      <c r="N254"/>
      <c r="O254"/>
      <c r="P254"/>
      <c r="Q254"/>
      <c r="R254"/>
      <c r="S254"/>
    </row>
    <row r="255" spans="1:19" hidden="1">
      <c r="A255" s="17"/>
      <c r="B255" s="17"/>
      <c r="C255" s="17"/>
      <c r="D255" s="17"/>
      <c r="E255" s="617"/>
      <c r="F255" s="617"/>
      <c r="G255" s="264"/>
      <c r="H255"/>
      <c r="I255" s="548"/>
      <c r="J255" s="538"/>
      <c r="K255"/>
      <c r="L255" s="615"/>
      <c r="M255"/>
      <c r="N255"/>
      <c r="O255"/>
      <c r="P255"/>
      <c r="Q255"/>
      <c r="R255"/>
      <c r="S255"/>
    </row>
    <row r="256" spans="1:19">
      <c r="A256" s="17"/>
      <c r="B256" s="40" t="s">
        <v>622</v>
      </c>
      <c r="C256" s="17"/>
      <c r="D256" s="17"/>
      <c r="E256" s="614" t="str">
        <f>'Internal Service Template'!Q259</f>
        <v/>
      </c>
      <c r="F256" s="267" t="str">
        <f>'Internal Service Template'!R259</f>
        <v/>
      </c>
      <c r="G256" s="263"/>
      <c r="H256"/>
      <c r="I256" s="548"/>
      <c r="J256" s="538"/>
      <c r="K256"/>
      <c r="L256" s="615"/>
      <c r="M256"/>
      <c r="N256"/>
      <c r="O256"/>
      <c r="P256"/>
      <c r="Q256"/>
      <c r="R256"/>
      <c r="S256"/>
    </row>
    <row r="257" spans="1:19">
      <c r="A257" s="17"/>
      <c r="B257" s="40" t="s">
        <v>365</v>
      </c>
      <c r="C257" s="17"/>
      <c r="D257" s="17"/>
      <c r="E257" s="614" t="str">
        <f>'Internal Service Template'!Q260</f>
        <v/>
      </c>
      <c r="F257" s="267" t="str">
        <f>'Internal Service Template'!R260</f>
        <v/>
      </c>
      <c r="G257" s="263"/>
      <c r="H257"/>
      <c r="I257" s="548"/>
      <c r="J257" s="538"/>
      <c r="K257"/>
      <c r="L257" s="615"/>
      <c r="M257"/>
      <c r="N257"/>
      <c r="O257"/>
      <c r="P257"/>
      <c r="Q257"/>
      <c r="R257"/>
      <c r="S257"/>
    </row>
    <row r="258" spans="1:19">
      <c r="A258" s="17"/>
      <c r="B258" s="40" t="s">
        <v>286</v>
      </c>
      <c r="C258" s="17"/>
      <c r="D258" s="17"/>
      <c r="E258" s="614" t="str">
        <f>'Internal Service Template'!Q261</f>
        <v/>
      </c>
      <c r="F258" s="267" t="str">
        <f>'Internal Service Template'!R261</f>
        <v/>
      </c>
      <c r="G258" s="263"/>
      <c r="H258"/>
      <c r="I258" s="548"/>
      <c r="J258" s="538"/>
      <c r="K258"/>
      <c r="L258" s="615"/>
      <c r="M258"/>
      <c r="N258"/>
      <c r="O258"/>
      <c r="P258"/>
      <c r="Q258"/>
      <c r="R258"/>
      <c r="S258"/>
    </row>
    <row r="259" spans="1:19" hidden="1">
      <c r="A259" s="17"/>
      <c r="B259" s="40"/>
      <c r="C259" s="33"/>
      <c r="D259" s="17"/>
      <c r="E259" s="616"/>
      <c r="F259" s="616"/>
      <c r="H259"/>
      <c r="I259" s="548"/>
      <c r="J259" s="538"/>
      <c r="K259"/>
      <c r="L259" s="615"/>
      <c r="M259"/>
      <c r="N259"/>
      <c r="O259"/>
      <c r="P259"/>
      <c r="Q259"/>
      <c r="R259"/>
      <c r="S259"/>
    </row>
    <row r="260" spans="1:19" hidden="1">
      <c r="A260" s="17"/>
      <c r="B260" s="40"/>
      <c r="C260" s="17"/>
      <c r="D260" s="17"/>
      <c r="E260" s="169"/>
      <c r="F260" s="169"/>
      <c r="H260"/>
      <c r="I260" s="548"/>
      <c r="J260" s="538"/>
      <c r="K260"/>
      <c r="L260" s="615"/>
      <c r="M260"/>
      <c r="N260"/>
      <c r="O260"/>
      <c r="P260"/>
      <c r="Q260"/>
      <c r="R260"/>
      <c r="S260"/>
    </row>
    <row r="261" spans="1:19" hidden="1">
      <c r="A261" s="17"/>
      <c r="B261" s="17"/>
      <c r="C261" s="24"/>
      <c r="D261" s="17"/>
      <c r="E261" s="169"/>
      <c r="F261" s="169"/>
      <c r="H261"/>
      <c r="I261" s="548"/>
      <c r="J261" s="538"/>
      <c r="K261"/>
      <c r="L261" s="615"/>
      <c r="M261"/>
      <c r="N261"/>
      <c r="O261"/>
      <c r="P261"/>
      <c r="Q261"/>
      <c r="R261"/>
      <c r="S261"/>
    </row>
    <row r="262" spans="1:19" hidden="1">
      <c r="A262" s="17"/>
      <c r="B262" s="17"/>
      <c r="C262" s="24"/>
      <c r="D262" s="17"/>
      <c r="E262" s="169"/>
      <c r="F262" s="169"/>
      <c r="H262"/>
      <c r="I262" s="548"/>
      <c r="J262" s="538"/>
      <c r="K262"/>
      <c r="L262" s="615"/>
      <c r="M262"/>
      <c r="N262"/>
      <c r="O262"/>
      <c r="P262"/>
      <c r="Q262"/>
      <c r="R262"/>
      <c r="S262"/>
    </row>
    <row r="263" spans="1:19" hidden="1">
      <c r="A263" s="17"/>
      <c r="B263" s="17"/>
      <c r="C263" s="17"/>
      <c r="D263" s="24"/>
      <c r="E263" s="169"/>
      <c r="F263" s="169"/>
      <c r="H263"/>
      <c r="I263" s="548"/>
      <c r="J263" s="538"/>
      <c r="K263"/>
      <c r="L263" s="615"/>
      <c r="M263"/>
      <c r="N263"/>
      <c r="O263"/>
      <c r="P263"/>
      <c r="Q263"/>
      <c r="R263"/>
      <c r="S263"/>
    </row>
    <row r="264" spans="1:19" hidden="1">
      <c r="A264" s="17"/>
      <c r="B264" s="17"/>
      <c r="C264" s="17"/>
      <c r="D264" s="17"/>
      <c r="E264" s="169"/>
      <c r="F264" s="169"/>
      <c r="H264"/>
      <c r="I264" s="548"/>
      <c r="J264" s="538"/>
      <c r="K264"/>
      <c r="L264" s="615"/>
      <c r="M264"/>
      <c r="N264"/>
      <c r="O264"/>
      <c r="P264"/>
      <c r="Q264"/>
      <c r="R264"/>
      <c r="S264"/>
    </row>
    <row r="265" spans="1:19">
      <c r="A265" s="18" t="s">
        <v>187</v>
      </c>
      <c r="B265" s="17"/>
      <c r="C265" s="17"/>
      <c r="D265" s="17"/>
      <c r="E265" s="617"/>
      <c r="F265" s="617"/>
      <c r="H265"/>
      <c r="I265" s="548"/>
      <c r="J265" s="538"/>
      <c r="K265"/>
      <c r="L265" s="615"/>
      <c r="M265"/>
      <c r="N265"/>
      <c r="O265"/>
      <c r="P265"/>
      <c r="Q265"/>
      <c r="R265"/>
      <c r="S265"/>
    </row>
    <row r="266" spans="1:19">
      <c r="A266" s="17"/>
      <c r="B266" s="40" t="s">
        <v>188</v>
      </c>
      <c r="C266" s="17"/>
      <c r="D266" s="17"/>
      <c r="E266" s="614" t="str">
        <f>'Internal Service Template'!Q269</f>
        <v/>
      </c>
      <c r="F266" s="267" t="str">
        <f>'Internal Service Template'!R269</f>
        <v/>
      </c>
      <c r="G266" s="263"/>
      <c r="H266"/>
      <c r="I266" s="548"/>
      <c r="J266" s="538"/>
      <c r="K266"/>
      <c r="L266" s="615"/>
      <c r="M266"/>
      <c r="N266"/>
      <c r="O266"/>
      <c r="P266"/>
      <c r="Q266"/>
      <c r="R266"/>
      <c r="S266"/>
    </row>
    <row r="267" spans="1:19">
      <c r="A267" s="17"/>
      <c r="B267" s="40" t="s">
        <v>850</v>
      </c>
      <c r="C267" s="17"/>
      <c r="D267" s="17"/>
      <c r="E267" s="614" t="str">
        <f>'Internal Service Template'!Q270</f>
        <v/>
      </c>
      <c r="F267" s="267" t="str">
        <f>'Internal Service Template'!R270</f>
        <v/>
      </c>
      <c r="G267" s="263"/>
      <c r="H267"/>
      <c r="I267" s="548"/>
      <c r="J267" s="538"/>
      <c r="K267"/>
      <c r="L267" s="615"/>
      <c r="M267"/>
      <c r="N267"/>
      <c r="O267"/>
      <c r="P267"/>
      <c r="Q267"/>
      <c r="R267"/>
      <c r="S267"/>
    </row>
    <row r="268" spans="1:19">
      <c r="A268" s="17"/>
      <c r="B268" s="40" t="s">
        <v>526</v>
      </c>
      <c r="C268" s="17"/>
      <c r="D268" s="17"/>
      <c r="E268" s="614" t="str">
        <f>'Internal Service Template'!Q271</f>
        <v/>
      </c>
      <c r="F268" s="267" t="str">
        <f>'Internal Service Template'!R271</f>
        <v/>
      </c>
      <c r="G268" s="263"/>
      <c r="H268"/>
      <c r="I268" s="548"/>
      <c r="J268" s="538"/>
      <c r="K268"/>
      <c r="L268" s="615"/>
      <c r="M268"/>
      <c r="N268"/>
      <c r="O268"/>
      <c r="P268"/>
      <c r="Q268"/>
      <c r="R268"/>
      <c r="S268"/>
    </row>
    <row r="269" spans="1:19" hidden="1">
      <c r="A269" s="17"/>
      <c r="B269" s="24"/>
      <c r="C269" s="33"/>
      <c r="D269" s="17"/>
      <c r="E269" s="616"/>
      <c r="F269" s="616"/>
      <c r="G269" s="264"/>
      <c r="H269"/>
      <c r="I269" s="548"/>
      <c r="J269" s="538"/>
      <c r="K269"/>
      <c r="L269" s="615"/>
      <c r="M269"/>
      <c r="N269"/>
      <c r="O269"/>
      <c r="P269"/>
      <c r="Q269"/>
      <c r="R269"/>
      <c r="S269"/>
    </row>
    <row r="270" spans="1:19" hidden="1">
      <c r="A270" s="17"/>
      <c r="B270" s="40"/>
      <c r="C270" s="17"/>
      <c r="D270" s="17"/>
      <c r="E270" s="617"/>
      <c r="F270" s="617"/>
      <c r="G270" s="264"/>
      <c r="H270"/>
      <c r="I270" s="548"/>
      <c r="J270" s="538"/>
      <c r="K270"/>
      <c r="L270" s="615"/>
      <c r="M270"/>
      <c r="N270"/>
      <c r="O270"/>
      <c r="P270"/>
      <c r="Q270"/>
      <c r="R270"/>
      <c r="S270"/>
    </row>
    <row r="271" spans="1:19">
      <c r="A271" s="17"/>
      <c r="B271" s="40" t="s">
        <v>824</v>
      </c>
      <c r="C271" s="17"/>
      <c r="D271" s="17"/>
      <c r="E271" s="614" t="str">
        <f>'Internal Service Template'!Q274</f>
        <v/>
      </c>
      <c r="F271" s="267" t="str">
        <f>'Internal Service Template'!R274</f>
        <v/>
      </c>
      <c r="G271" s="263"/>
      <c r="H271"/>
      <c r="I271" s="548"/>
      <c r="J271" s="538"/>
      <c r="K271"/>
      <c r="L271" s="615"/>
      <c r="M271"/>
      <c r="N271"/>
      <c r="O271"/>
      <c r="P271"/>
      <c r="Q271"/>
      <c r="R271"/>
      <c r="S271"/>
    </row>
    <row r="272" spans="1:19" hidden="1">
      <c r="A272" s="17"/>
      <c r="B272" s="40"/>
      <c r="C272" s="17"/>
      <c r="D272" s="17"/>
      <c r="E272" s="618"/>
      <c r="F272" s="618"/>
      <c r="G272" s="271"/>
      <c r="H272"/>
      <c r="I272" s="548"/>
      <c r="J272" s="538"/>
      <c r="K272"/>
      <c r="L272" s="615"/>
      <c r="M272"/>
      <c r="N272"/>
      <c r="O272"/>
      <c r="P272"/>
      <c r="Q272"/>
      <c r="R272"/>
      <c r="S272"/>
    </row>
    <row r="273" spans="1:19">
      <c r="A273" s="17"/>
      <c r="B273" s="40" t="s">
        <v>352</v>
      </c>
      <c r="C273" s="17"/>
      <c r="D273" s="17"/>
      <c r="E273" s="614" t="str">
        <f>'Internal Service Template'!Q276</f>
        <v/>
      </c>
      <c r="F273" s="267" t="str">
        <f>'Internal Service Template'!R276</f>
        <v/>
      </c>
      <c r="G273" s="263"/>
      <c r="H273"/>
      <c r="I273" s="548"/>
      <c r="J273" s="538"/>
      <c r="K273"/>
      <c r="L273" s="615"/>
      <c r="M273"/>
      <c r="N273"/>
      <c r="O273"/>
      <c r="P273"/>
      <c r="Q273"/>
      <c r="R273"/>
      <c r="S273"/>
    </row>
    <row r="274" spans="1:19">
      <c r="A274" s="17"/>
      <c r="B274" s="40" t="s">
        <v>527</v>
      </c>
      <c r="C274" s="17"/>
      <c r="D274" s="17"/>
      <c r="E274" s="614" t="str">
        <f>'Internal Service Template'!Q277</f>
        <v/>
      </c>
      <c r="F274" s="267" t="str">
        <f>'Internal Service Template'!R277</f>
        <v/>
      </c>
      <c r="G274" s="263"/>
      <c r="H274"/>
      <c r="I274" s="548"/>
      <c r="J274" s="538"/>
      <c r="K274"/>
      <c r="L274" s="615"/>
      <c r="M274"/>
      <c r="N274"/>
      <c r="O274"/>
      <c r="P274"/>
      <c r="Q274"/>
      <c r="R274"/>
      <c r="S274"/>
    </row>
    <row r="275" spans="1:19">
      <c r="A275" s="17"/>
      <c r="B275" s="40" t="s">
        <v>290</v>
      </c>
      <c r="C275" s="17"/>
      <c r="D275" s="17"/>
      <c r="E275" s="614" t="str">
        <f>'Internal Service Template'!Q278</f>
        <v/>
      </c>
      <c r="F275" s="267" t="str">
        <f>'Internal Service Template'!R278</f>
        <v/>
      </c>
      <c r="G275" s="263"/>
      <c r="H275"/>
      <c r="I275" s="548"/>
      <c r="J275" s="538"/>
      <c r="K275"/>
      <c r="L275" s="615"/>
      <c r="M275"/>
      <c r="N275"/>
      <c r="O275"/>
      <c r="P275"/>
      <c r="Q275"/>
      <c r="R275"/>
      <c r="S275"/>
    </row>
    <row r="276" spans="1:19">
      <c r="A276" s="17"/>
      <c r="B276" s="40" t="s">
        <v>286</v>
      </c>
      <c r="C276" s="17"/>
      <c r="D276" s="17"/>
      <c r="E276" s="614" t="str">
        <f>'Internal Service Template'!Q279</f>
        <v/>
      </c>
      <c r="F276" s="267" t="str">
        <f>'Internal Service Template'!R279</f>
        <v/>
      </c>
      <c r="G276" s="263"/>
      <c r="H276"/>
      <c r="I276" s="548"/>
      <c r="J276" s="538"/>
      <c r="K276"/>
      <c r="L276" s="615"/>
      <c r="M276"/>
      <c r="N276"/>
      <c r="O276"/>
      <c r="P276"/>
      <c r="Q276"/>
      <c r="R276"/>
      <c r="S276"/>
    </row>
    <row r="277" spans="1:19" hidden="1">
      <c r="A277" s="17"/>
      <c r="B277" s="40"/>
      <c r="C277" s="33"/>
      <c r="D277" s="17"/>
      <c r="E277" s="616"/>
      <c r="F277" s="616"/>
      <c r="G277" s="264"/>
      <c r="H277"/>
      <c r="I277" s="548"/>
      <c r="J277" s="538"/>
      <c r="K277"/>
      <c r="L277" s="615"/>
      <c r="M277"/>
      <c r="N277"/>
      <c r="O277"/>
      <c r="P277"/>
      <c r="Q277"/>
      <c r="R277"/>
      <c r="S277"/>
    </row>
    <row r="278" spans="1:19" hidden="1">
      <c r="A278" s="17"/>
      <c r="B278" s="40"/>
      <c r="C278" s="17"/>
      <c r="D278" s="17"/>
      <c r="E278" s="169"/>
      <c r="F278" s="169"/>
      <c r="G278" s="264"/>
      <c r="H278"/>
      <c r="I278" s="548"/>
      <c r="J278" s="538"/>
      <c r="K278"/>
      <c r="L278" s="615"/>
      <c r="M278"/>
      <c r="N278"/>
      <c r="O278"/>
      <c r="P278"/>
      <c r="Q278"/>
      <c r="R278"/>
      <c r="S278"/>
    </row>
    <row r="279" spans="1:19" hidden="1">
      <c r="A279" s="17"/>
      <c r="B279" s="17"/>
      <c r="C279" s="24"/>
      <c r="D279" s="17"/>
      <c r="E279" s="169"/>
      <c r="F279" s="169"/>
      <c r="G279" s="264"/>
      <c r="H279"/>
      <c r="I279" s="548"/>
      <c r="J279" s="538"/>
      <c r="K279"/>
      <c r="L279" s="615"/>
      <c r="M279"/>
      <c r="N279"/>
      <c r="O279"/>
      <c r="P279"/>
      <c r="Q279"/>
      <c r="R279"/>
      <c r="S279"/>
    </row>
    <row r="280" spans="1:19" hidden="1">
      <c r="A280" s="40"/>
      <c r="B280" s="17"/>
      <c r="C280" s="17"/>
      <c r="D280" s="17"/>
      <c r="E280" s="169"/>
      <c r="F280" s="169"/>
      <c r="G280" s="264"/>
      <c r="H280"/>
      <c r="I280" s="548"/>
      <c r="J280" s="538"/>
      <c r="K280"/>
      <c r="L280" s="615"/>
      <c r="M280"/>
      <c r="N280"/>
      <c r="O280"/>
      <c r="P280"/>
      <c r="Q280"/>
      <c r="R280"/>
      <c r="S280"/>
    </row>
    <row r="281" spans="1:19" hidden="1">
      <c r="A281" s="17"/>
      <c r="B281" s="17"/>
      <c r="C281" s="17"/>
      <c r="D281" s="24"/>
      <c r="E281" s="169"/>
      <c r="F281" s="169"/>
      <c r="G281" s="264"/>
      <c r="H281"/>
      <c r="I281" s="548"/>
      <c r="J281" s="538"/>
      <c r="K281"/>
      <c r="L281" s="615"/>
      <c r="M281"/>
      <c r="N281"/>
      <c r="O281"/>
      <c r="P281"/>
      <c r="Q281"/>
      <c r="R281"/>
      <c r="S281"/>
    </row>
    <row r="282" spans="1:19" hidden="1">
      <c r="A282" s="17"/>
      <c r="B282" s="17"/>
      <c r="C282" s="17"/>
      <c r="D282" s="24"/>
      <c r="E282" s="617"/>
      <c r="F282" s="617"/>
      <c r="G282" s="264"/>
      <c r="H282"/>
      <c r="I282" s="548"/>
      <c r="J282" s="538"/>
      <c r="K282"/>
      <c r="L282" s="615"/>
      <c r="M282"/>
      <c r="N282"/>
      <c r="O282"/>
      <c r="P282"/>
      <c r="Q282"/>
      <c r="R282"/>
      <c r="S282"/>
    </row>
    <row r="283" spans="1:19" hidden="1">
      <c r="A283" s="589" t="s">
        <v>530</v>
      </c>
      <c r="B283" s="17"/>
      <c r="C283" s="17"/>
      <c r="D283" s="17"/>
      <c r="E283" s="614">
        <f>'Internal Service Template'!Q286</f>
        <v>0</v>
      </c>
      <c r="F283" s="267" t="str">
        <f>'Internal Service Template'!R286</f>
        <v/>
      </c>
      <c r="G283" s="263"/>
      <c r="H283"/>
      <c r="I283" s="548"/>
      <c r="J283" s="538"/>
      <c r="K283"/>
      <c r="L283" s="615"/>
      <c r="M283"/>
      <c r="N283"/>
      <c r="O283"/>
      <c r="P283"/>
      <c r="Q283"/>
      <c r="R283"/>
      <c r="S283"/>
    </row>
    <row r="284" spans="1:19">
      <c r="A284" s="24" t="s">
        <v>2899</v>
      </c>
      <c r="B284" s="17"/>
      <c r="C284" s="17"/>
      <c r="D284" s="17"/>
      <c r="E284" s="614" t="str">
        <f>'Internal Service Template'!Q287</f>
        <v/>
      </c>
      <c r="F284" s="267" t="str">
        <f>'Internal Service Template'!R287</f>
        <v/>
      </c>
      <c r="G284" s="263"/>
      <c r="H284"/>
      <c r="I284" s="548"/>
      <c r="J284" s="538"/>
      <c r="K284"/>
      <c r="L284" s="615"/>
      <c r="M284"/>
      <c r="N284"/>
      <c r="O284"/>
      <c r="P284"/>
      <c r="Q284"/>
      <c r="R284"/>
      <c r="S284"/>
    </row>
    <row r="285" spans="1:19">
      <c r="A285" s="24" t="s">
        <v>443</v>
      </c>
      <c r="B285" s="17"/>
      <c r="C285" s="17"/>
      <c r="D285" s="17"/>
      <c r="E285" s="614" t="str">
        <f>'Internal Service Template'!Q288</f>
        <v/>
      </c>
      <c r="F285" s="267" t="str">
        <f>'Internal Service Template'!R288</f>
        <v/>
      </c>
      <c r="G285" s="263"/>
      <c r="H285"/>
      <c r="I285" s="548"/>
      <c r="J285" s="538"/>
      <c r="K285"/>
      <c r="L285" s="615"/>
      <c r="M285"/>
      <c r="N285"/>
      <c r="O285"/>
      <c r="P285"/>
      <c r="Q285"/>
      <c r="R285"/>
      <c r="S285"/>
    </row>
    <row r="286" spans="1:19">
      <c r="A286" s="24" t="s">
        <v>659</v>
      </c>
      <c r="B286" s="17"/>
      <c r="C286" s="17"/>
      <c r="D286" s="17"/>
      <c r="E286" s="614" t="str">
        <f>'Internal Service Template'!Q289</f>
        <v/>
      </c>
      <c r="F286" s="267" t="str">
        <f>'Internal Service Template'!R289</f>
        <v/>
      </c>
      <c r="G286" s="263"/>
      <c r="H286"/>
      <c r="I286" s="548"/>
      <c r="J286" s="538"/>
      <c r="K286"/>
      <c r="L286" s="615"/>
      <c r="M286"/>
      <c r="N286"/>
      <c r="O286"/>
      <c r="P286"/>
      <c r="Q286"/>
      <c r="R286"/>
      <c r="S286"/>
    </row>
    <row r="287" spans="1:19">
      <c r="A287" s="24" t="s">
        <v>660</v>
      </c>
      <c r="B287" s="17"/>
      <c r="C287" s="17"/>
      <c r="D287" s="17"/>
      <c r="E287" s="614" t="str">
        <f>IF('Internal Service Template'!Q290="","",-('Internal Service Template'!Q290))</f>
        <v/>
      </c>
      <c r="F287" s="278" t="str">
        <f>IF('Internal Service Template'!R290="","",IF('Internal Service Template'!R290=100%,-100%,IF('Internal Service Template'!R290=-100%,100%,-('Internal Service Template'!R290))))</f>
        <v/>
      </c>
      <c r="G287" s="263"/>
      <c r="H287"/>
      <c r="I287" s="548"/>
      <c r="J287" s="538"/>
      <c r="K287"/>
      <c r="L287" s="615"/>
      <c r="M287"/>
      <c r="N287"/>
      <c r="O287"/>
      <c r="P287"/>
      <c r="Q287"/>
      <c r="R287"/>
      <c r="S287"/>
    </row>
    <row r="288" spans="1:19" hidden="1">
      <c r="A288" s="17"/>
      <c r="B288" s="17"/>
      <c r="C288" s="17"/>
      <c r="D288" s="24"/>
      <c r="E288" s="616"/>
      <c r="F288" s="616"/>
      <c r="H288"/>
      <c r="I288" s="548"/>
      <c r="J288" s="538"/>
      <c r="K288"/>
      <c r="L288" s="615"/>
      <c r="M288"/>
      <c r="N288"/>
      <c r="O288"/>
      <c r="P288"/>
      <c r="Q288"/>
      <c r="R288"/>
      <c r="S288"/>
    </row>
    <row r="289" spans="1:19" hidden="1">
      <c r="A289" s="24"/>
      <c r="B289" s="17"/>
      <c r="C289" s="17"/>
      <c r="D289" s="17"/>
      <c r="E289" s="169"/>
      <c r="F289" s="169"/>
      <c r="H289"/>
      <c r="I289" s="548"/>
      <c r="J289" s="538"/>
      <c r="K289"/>
      <c r="L289" s="615"/>
      <c r="M289"/>
      <c r="N289"/>
      <c r="O289"/>
      <c r="P289"/>
      <c r="Q289"/>
      <c r="R289"/>
      <c r="S289"/>
    </row>
    <row r="290" spans="1:19" hidden="1">
      <c r="A290" s="24"/>
      <c r="B290" s="17"/>
      <c r="C290" s="17"/>
      <c r="D290" s="17"/>
      <c r="E290" s="169"/>
      <c r="F290" s="169"/>
      <c r="H290"/>
      <c r="I290" s="548"/>
      <c r="J290" s="538"/>
      <c r="K290"/>
      <c r="L290" s="615"/>
      <c r="M290"/>
      <c r="N290"/>
      <c r="O290"/>
      <c r="P290"/>
      <c r="Q290"/>
      <c r="R290"/>
      <c r="S290"/>
    </row>
    <row r="291" spans="1:19" hidden="1">
      <c r="A291" s="24"/>
      <c r="B291" s="17"/>
      <c r="C291" s="17"/>
      <c r="D291" s="17"/>
      <c r="E291" s="169"/>
      <c r="F291" s="169"/>
      <c r="H291"/>
      <c r="I291" s="548"/>
      <c r="J291" s="538"/>
      <c r="K291"/>
      <c r="L291" s="615"/>
      <c r="M291"/>
      <c r="N291"/>
      <c r="O291"/>
      <c r="P291"/>
      <c r="Q291"/>
      <c r="R291"/>
      <c r="S291"/>
    </row>
    <row r="292" spans="1:19" hidden="1">
      <c r="A292" s="24"/>
      <c r="B292" s="17"/>
      <c r="C292" s="17"/>
      <c r="D292" s="17"/>
      <c r="E292" s="169"/>
      <c r="F292" s="169"/>
      <c r="H292"/>
      <c r="I292" s="548"/>
      <c r="J292" s="538"/>
      <c r="K292"/>
      <c r="L292" s="615"/>
      <c r="M292"/>
      <c r="N292"/>
      <c r="O292"/>
      <c r="P292"/>
      <c r="Q292"/>
      <c r="R292"/>
      <c r="S292"/>
    </row>
    <row r="293" spans="1:19" hidden="1">
      <c r="A293" s="1050"/>
      <c r="B293" s="1100"/>
      <c r="C293" s="1100"/>
      <c r="D293" s="1100"/>
      <c r="E293" s="169"/>
      <c r="F293" s="169"/>
      <c r="H293"/>
      <c r="I293" s="548"/>
      <c r="J293" s="538"/>
      <c r="K293"/>
      <c r="L293" s="615"/>
      <c r="M293"/>
      <c r="N293"/>
      <c r="O293"/>
      <c r="P293"/>
      <c r="Q293"/>
      <c r="R293"/>
      <c r="S293"/>
    </row>
    <row r="294" spans="1:19" hidden="1">
      <c r="A294" s="18"/>
      <c r="B294" s="27"/>
      <c r="C294" s="27"/>
      <c r="D294" s="27"/>
      <c r="E294" s="169"/>
      <c r="F294" s="169"/>
      <c r="H294"/>
      <c r="I294" s="548"/>
      <c r="J294" s="538"/>
      <c r="K294"/>
      <c r="L294" s="615"/>
      <c r="M294"/>
      <c r="N294"/>
      <c r="O294"/>
      <c r="P294"/>
      <c r="Q294"/>
      <c r="R294"/>
      <c r="S294"/>
    </row>
    <row r="295" spans="1:19" ht="13.8" thickBot="1">
      <c r="A295" s="621" t="s">
        <v>12</v>
      </c>
      <c r="B295" s="622"/>
      <c r="C295" s="622"/>
      <c r="D295" s="622"/>
      <c r="E295" s="169"/>
      <c r="F295" s="169"/>
      <c r="H295"/>
      <c r="I295" s="548"/>
      <c r="J295" s="538"/>
      <c r="K295"/>
      <c r="L295" s="615"/>
      <c r="M295"/>
      <c r="N295"/>
      <c r="O295"/>
      <c r="P295"/>
      <c r="Q295"/>
      <c r="R295"/>
      <c r="S295"/>
    </row>
    <row r="296" spans="1:19" hidden="1">
      <c r="A296" s="45"/>
      <c r="B296" s="29"/>
      <c r="C296" s="29"/>
      <c r="D296" s="29"/>
      <c r="E296" s="169"/>
      <c r="F296" s="169"/>
      <c r="G296" s="607"/>
      <c r="H296"/>
      <c r="I296" s="548"/>
      <c r="J296" s="538"/>
      <c r="K296"/>
      <c r="L296" s="615"/>
      <c r="M296"/>
      <c r="N296"/>
      <c r="O296"/>
      <c r="P296"/>
      <c r="Q296"/>
      <c r="R296"/>
      <c r="S296"/>
    </row>
    <row r="297" spans="1:19" hidden="1">
      <c r="A297" s="46"/>
      <c r="B297" s="43"/>
      <c r="C297" s="43"/>
      <c r="D297" s="43"/>
      <c r="E297" s="169"/>
      <c r="F297" s="169"/>
      <c r="H297"/>
      <c r="I297" s="548"/>
      <c r="J297" s="538"/>
      <c r="K297"/>
      <c r="L297" s="615"/>
      <c r="M297"/>
      <c r="N297"/>
      <c r="O297"/>
      <c r="P297"/>
      <c r="Q297"/>
      <c r="R297"/>
      <c r="S297"/>
    </row>
    <row r="298" spans="1:19">
      <c r="A298" s="18" t="s">
        <v>3</v>
      </c>
      <c r="B298" s="17"/>
      <c r="C298" s="17"/>
      <c r="D298" s="17"/>
      <c r="E298" s="169"/>
      <c r="F298" s="169"/>
      <c r="G298" s="607"/>
      <c r="H298"/>
      <c r="I298" s="548"/>
      <c r="J298" s="538"/>
      <c r="K298"/>
      <c r="L298" s="615"/>
      <c r="M298"/>
      <c r="N298"/>
      <c r="O298"/>
      <c r="P298"/>
      <c r="Q298"/>
      <c r="R298"/>
      <c r="S298"/>
    </row>
    <row r="299" spans="1:19" hidden="1">
      <c r="A299" s="18"/>
      <c r="B299" s="17"/>
      <c r="C299" s="17"/>
      <c r="D299" s="17"/>
      <c r="E299" s="617"/>
      <c r="F299" s="617"/>
      <c r="G299" s="619"/>
      <c r="H299"/>
      <c r="I299" s="548"/>
      <c r="J299" s="538"/>
      <c r="K299"/>
      <c r="L299" s="615"/>
      <c r="M299"/>
      <c r="N299"/>
      <c r="O299"/>
      <c r="P299"/>
      <c r="Q299"/>
      <c r="R299"/>
      <c r="S299"/>
    </row>
    <row r="300" spans="1:19">
      <c r="A300" s="24" t="s">
        <v>4</v>
      </c>
      <c r="B300" s="17"/>
      <c r="C300" s="17"/>
      <c r="D300" s="17"/>
      <c r="E300" s="614" t="str">
        <f>'Internal Service Template'!Q303</f>
        <v/>
      </c>
      <c r="F300" s="267" t="str">
        <f>'Internal Service Template'!R303</f>
        <v/>
      </c>
      <c r="G300" s="263"/>
      <c r="H300"/>
      <c r="I300" s="548"/>
      <c r="J300" s="538"/>
      <c r="K300"/>
      <c r="L300" s="615"/>
      <c r="M300"/>
      <c r="N300"/>
      <c r="O300"/>
      <c r="P300"/>
      <c r="Q300"/>
      <c r="R300"/>
      <c r="S300"/>
    </row>
    <row r="301" spans="1:19">
      <c r="A301" s="24" t="s">
        <v>676</v>
      </c>
      <c r="B301" s="17"/>
      <c r="C301" s="17"/>
      <c r="D301" s="17"/>
      <c r="E301" s="614" t="str">
        <f>'Internal Service Template'!Q304</f>
        <v/>
      </c>
      <c r="F301" s="267" t="str">
        <f>'Internal Service Template'!R304</f>
        <v/>
      </c>
      <c r="G301" s="263"/>
      <c r="H301"/>
      <c r="I301" s="548"/>
      <c r="J301" s="538"/>
      <c r="K301"/>
      <c r="L301" s="615"/>
      <c r="M301"/>
      <c r="N301"/>
      <c r="O301"/>
      <c r="P301"/>
      <c r="Q301"/>
      <c r="R301"/>
      <c r="S301"/>
    </row>
    <row r="302" spans="1:19">
      <c r="A302" s="24" t="s">
        <v>5</v>
      </c>
      <c r="B302" s="17"/>
      <c r="C302" s="17"/>
      <c r="D302" s="17"/>
      <c r="E302" s="614" t="str">
        <f>'Internal Service Template'!Q305</f>
        <v/>
      </c>
      <c r="F302" s="267" t="str">
        <f>'Internal Service Template'!R305</f>
        <v/>
      </c>
      <c r="G302" s="263"/>
      <c r="H302"/>
      <c r="I302" s="548"/>
      <c r="J302" s="538"/>
      <c r="K302"/>
      <c r="L302" s="615"/>
      <c r="M302"/>
      <c r="N302"/>
      <c r="O302"/>
      <c r="P302"/>
      <c r="Q302"/>
      <c r="R302"/>
      <c r="S302"/>
    </row>
    <row r="303" spans="1:19">
      <c r="A303" s="24" t="s">
        <v>6</v>
      </c>
      <c r="B303" s="17"/>
      <c r="C303" s="17"/>
      <c r="D303" s="17"/>
      <c r="E303" s="614" t="str">
        <f>'Internal Service Template'!Q306</f>
        <v/>
      </c>
      <c r="F303" s="267" t="str">
        <f>'Internal Service Template'!R306</f>
        <v/>
      </c>
      <c r="G303" s="263"/>
      <c r="H303"/>
      <c r="I303" s="548"/>
      <c r="J303" s="538"/>
      <c r="K303"/>
      <c r="L303" s="615"/>
      <c r="M303"/>
      <c r="N303"/>
      <c r="O303"/>
      <c r="P303"/>
      <c r="Q303"/>
      <c r="R303"/>
      <c r="S303"/>
    </row>
    <row r="304" spans="1:19">
      <c r="A304" s="24" t="s">
        <v>7</v>
      </c>
      <c r="B304" s="17"/>
      <c r="C304" s="17"/>
      <c r="D304" s="17"/>
      <c r="E304" s="614" t="str">
        <f>'Internal Service Template'!Q307</f>
        <v/>
      </c>
      <c r="F304" s="267" t="str">
        <f>'Internal Service Template'!R307</f>
        <v/>
      </c>
      <c r="G304" s="263"/>
      <c r="H304"/>
      <c r="I304" s="548"/>
      <c r="J304" s="538"/>
      <c r="K304"/>
      <c r="L304" s="615"/>
      <c r="M304"/>
      <c r="N304"/>
      <c r="O304"/>
      <c r="P304"/>
      <c r="Q304"/>
      <c r="R304"/>
      <c r="S304"/>
    </row>
    <row r="305" spans="1:19">
      <c r="A305" s="24" t="s">
        <v>469</v>
      </c>
      <c r="B305" s="17"/>
      <c r="C305" s="17"/>
      <c r="D305" s="17"/>
      <c r="E305" s="614" t="str">
        <f>'Internal Service Template'!Q308</f>
        <v/>
      </c>
      <c r="F305" s="267" t="str">
        <f>'Internal Service Template'!R308</f>
        <v/>
      </c>
      <c r="G305" s="263"/>
      <c r="H305"/>
      <c r="I305" s="548"/>
      <c r="J305" s="538"/>
      <c r="K305"/>
      <c r="L305" s="615"/>
      <c r="M305"/>
      <c r="N305"/>
      <c r="O305"/>
      <c r="P305"/>
      <c r="Q305"/>
      <c r="R305"/>
      <c r="S305"/>
    </row>
    <row r="306" spans="1:19" hidden="1">
      <c r="A306" s="17"/>
      <c r="B306" s="17"/>
      <c r="C306" s="17"/>
      <c r="D306" s="17"/>
      <c r="E306" s="616"/>
      <c r="F306" s="616"/>
      <c r="G306" s="264"/>
      <c r="H306"/>
      <c r="I306" s="548"/>
      <c r="J306" s="538"/>
      <c r="K306"/>
      <c r="L306" s="615"/>
      <c r="M306"/>
      <c r="N306"/>
      <c r="O306"/>
      <c r="P306"/>
      <c r="Q306"/>
      <c r="R306"/>
      <c r="S306"/>
    </row>
    <row r="307" spans="1:19" hidden="1">
      <c r="A307" s="24"/>
      <c r="B307" s="17"/>
      <c r="C307" s="17"/>
      <c r="D307" s="17"/>
      <c r="E307" s="617"/>
      <c r="F307" s="617"/>
      <c r="G307" s="264"/>
      <c r="H307"/>
      <c r="I307" s="548"/>
      <c r="J307" s="538"/>
      <c r="K307"/>
      <c r="L307" s="615"/>
      <c r="M307"/>
      <c r="N307"/>
      <c r="O307"/>
      <c r="P307"/>
      <c r="Q307"/>
      <c r="R307"/>
      <c r="S307"/>
    </row>
    <row r="308" spans="1:19">
      <c r="A308" s="40" t="s">
        <v>593</v>
      </c>
      <c r="B308" s="17"/>
      <c r="C308" s="17"/>
      <c r="D308" s="17"/>
      <c r="E308" s="614" t="str">
        <f>'Internal Service Template'!Q311</f>
        <v/>
      </c>
      <c r="F308" s="267" t="str">
        <f>'Internal Service Template'!R311</f>
        <v/>
      </c>
      <c r="G308" s="263"/>
      <c r="H308"/>
      <c r="I308" s="548"/>
      <c r="J308" s="538"/>
      <c r="K308"/>
      <c r="L308" s="615"/>
      <c r="M308"/>
      <c r="N308"/>
      <c r="O308"/>
      <c r="P308"/>
      <c r="Q308"/>
      <c r="R308"/>
      <c r="S308"/>
    </row>
    <row r="309" spans="1:19" hidden="1">
      <c r="A309" s="40"/>
      <c r="B309" s="17"/>
      <c r="C309" s="17"/>
      <c r="D309" s="17"/>
      <c r="E309" s="616"/>
      <c r="F309" s="616"/>
      <c r="G309" s="264"/>
      <c r="H309"/>
      <c r="I309" s="548"/>
      <c r="J309" s="538"/>
      <c r="K309"/>
      <c r="L309" s="615"/>
      <c r="M309"/>
      <c r="N309"/>
      <c r="O309"/>
      <c r="P309"/>
      <c r="Q309"/>
      <c r="R309"/>
      <c r="S309"/>
    </row>
    <row r="310" spans="1:19" hidden="1">
      <c r="A310" s="24"/>
      <c r="B310" s="33"/>
      <c r="C310" s="17"/>
      <c r="D310" s="17"/>
      <c r="E310" s="169"/>
      <c r="F310" s="169"/>
      <c r="G310" s="264"/>
      <c r="H310"/>
      <c r="I310" s="548"/>
      <c r="J310" s="538"/>
      <c r="K310"/>
      <c r="L310" s="615"/>
      <c r="M310"/>
      <c r="N310"/>
      <c r="O310"/>
      <c r="P310"/>
      <c r="Q310"/>
      <c r="R310"/>
      <c r="S310"/>
    </row>
    <row r="311" spans="1:19" hidden="1">
      <c r="A311" s="24"/>
      <c r="B311" s="24"/>
      <c r="C311" s="17"/>
      <c r="D311" s="17"/>
      <c r="E311" s="617"/>
      <c r="F311" s="617"/>
      <c r="G311" s="264"/>
      <c r="H311"/>
      <c r="I311" s="548"/>
      <c r="J311" s="538"/>
      <c r="K311"/>
      <c r="L311" s="615"/>
      <c r="M311"/>
      <c r="N311"/>
      <c r="O311"/>
      <c r="P311"/>
      <c r="Q311"/>
      <c r="R311"/>
      <c r="S311"/>
    </row>
    <row r="312" spans="1:19">
      <c r="A312" s="24" t="s">
        <v>592</v>
      </c>
      <c r="B312" s="17"/>
      <c r="C312" s="17"/>
      <c r="D312" s="17"/>
      <c r="E312" s="614" t="str">
        <f>'Internal Service Template'!Q315</f>
        <v/>
      </c>
      <c r="F312" s="267" t="str">
        <f>'Internal Service Template'!R315</f>
        <v/>
      </c>
      <c r="G312" s="263"/>
      <c r="H312"/>
      <c r="I312" s="548"/>
      <c r="J312" s="538"/>
      <c r="K312"/>
      <c r="L312" s="615"/>
      <c r="M312"/>
      <c r="N312"/>
      <c r="O312"/>
      <c r="P312"/>
      <c r="Q312"/>
      <c r="R312"/>
      <c r="S312"/>
    </row>
    <row r="313" spans="1:19" hidden="1">
      <c r="A313" s="24"/>
      <c r="B313" s="17"/>
      <c r="C313" s="17"/>
      <c r="D313" s="17"/>
      <c r="E313" s="618"/>
      <c r="F313" s="618"/>
      <c r="G313" s="271"/>
      <c r="H313"/>
      <c r="I313" s="548"/>
      <c r="J313" s="538"/>
      <c r="K313"/>
      <c r="L313" s="615"/>
      <c r="M313"/>
      <c r="N313"/>
      <c r="O313"/>
      <c r="P313"/>
      <c r="Q313"/>
      <c r="R313"/>
      <c r="S313"/>
    </row>
    <row r="314" spans="1:19">
      <c r="A314" s="24" t="s">
        <v>468</v>
      </c>
      <c r="B314" s="17"/>
      <c r="C314" s="17"/>
      <c r="D314" s="17"/>
      <c r="E314" s="614" t="str">
        <f>'Internal Service Template'!Q317</f>
        <v/>
      </c>
      <c r="F314" s="267" t="str">
        <f>'Internal Service Template'!R317</f>
        <v/>
      </c>
      <c r="G314" s="263"/>
      <c r="H314"/>
      <c r="I314" s="548"/>
      <c r="J314" s="538"/>
      <c r="K314"/>
      <c r="L314" s="615"/>
      <c r="M314"/>
      <c r="N314"/>
      <c r="O314"/>
      <c r="P314"/>
      <c r="Q314"/>
      <c r="R314"/>
      <c r="S314"/>
    </row>
    <row r="315" spans="1:19" hidden="1">
      <c r="A315" s="24"/>
      <c r="B315" s="17"/>
      <c r="C315" s="17"/>
      <c r="D315" s="17"/>
      <c r="E315" s="618"/>
      <c r="F315" s="618"/>
      <c r="G315" s="264"/>
      <c r="H315"/>
      <c r="I315" s="548"/>
      <c r="J315" s="538"/>
      <c r="K315"/>
      <c r="L315" s="615"/>
      <c r="M315"/>
      <c r="N315"/>
      <c r="O315"/>
      <c r="P315"/>
      <c r="Q315"/>
      <c r="R315"/>
      <c r="S315"/>
    </row>
    <row r="316" spans="1:19">
      <c r="A316" s="40" t="s">
        <v>2900</v>
      </c>
      <c r="B316" s="17"/>
      <c r="C316" s="17"/>
      <c r="D316" s="17"/>
      <c r="E316" s="614" t="str">
        <f>'Internal Service Template'!Q319</f>
        <v/>
      </c>
      <c r="F316" s="267" t="str">
        <f>'Internal Service Template'!R319</f>
        <v/>
      </c>
      <c r="G316" s="263"/>
      <c r="H316"/>
      <c r="I316" s="548"/>
      <c r="J316" s="538"/>
      <c r="K316"/>
      <c r="L316" s="615"/>
      <c r="M316"/>
      <c r="N316"/>
      <c r="O316"/>
      <c r="P316"/>
      <c r="Q316"/>
      <c r="R316"/>
      <c r="S316"/>
    </row>
    <row r="317" spans="1:19">
      <c r="A317" s="40" t="s">
        <v>2900</v>
      </c>
      <c r="B317" s="17"/>
      <c r="C317" s="17"/>
      <c r="D317" s="17"/>
      <c r="E317" s="614" t="str">
        <f>'Internal Service Template'!Q320</f>
        <v/>
      </c>
      <c r="F317" s="267" t="str">
        <f>'Internal Service Template'!R320</f>
        <v/>
      </c>
      <c r="G317" s="263"/>
      <c r="H317"/>
      <c r="I317" s="548"/>
      <c r="J317" s="538"/>
      <c r="K317"/>
      <c r="L317" s="615"/>
      <c r="M317"/>
      <c r="N317"/>
      <c r="O317"/>
      <c r="P317"/>
      <c r="Q317"/>
      <c r="R317"/>
      <c r="S317"/>
    </row>
    <row r="318" spans="1:19" hidden="1">
      <c r="A318" s="40"/>
      <c r="B318" s="33"/>
      <c r="C318" s="17"/>
      <c r="D318" s="17"/>
      <c r="E318" s="616"/>
      <c r="F318" s="616"/>
      <c r="G318" s="264"/>
      <c r="H318"/>
      <c r="I318" s="548"/>
      <c r="J318" s="538"/>
      <c r="K318"/>
      <c r="L318" s="615"/>
      <c r="M318"/>
      <c r="N318"/>
      <c r="O318"/>
      <c r="P318"/>
      <c r="Q318"/>
      <c r="R318"/>
      <c r="S318"/>
    </row>
    <row r="319" spans="1:19" hidden="1">
      <c r="A319" s="40"/>
      <c r="B319" s="17"/>
      <c r="C319" s="17"/>
      <c r="D319" s="17"/>
      <c r="E319" s="617"/>
      <c r="F319" s="617"/>
      <c r="G319" s="264"/>
      <c r="H319"/>
      <c r="I319" s="548"/>
      <c r="J319" s="538"/>
      <c r="K319"/>
      <c r="L319" s="615"/>
      <c r="M319"/>
      <c r="N319"/>
      <c r="O319"/>
      <c r="P319"/>
      <c r="Q319"/>
      <c r="R319"/>
      <c r="S319"/>
    </row>
    <row r="320" spans="1:19">
      <c r="A320" s="40" t="s">
        <v>2901</v>
      </c>
      <c r="B320" s="17"/>
      <c r="C320" s="17"/>
      <c r="D320" s="17"/>
      <c r="E320" s="614" t="str">
        <f>'Internal Service Template'!Q323</f>
        <v/>
      </c>
      <c r="F320" s="267" t="str">
        <f>'Internal Service Template'!R323</f>
        <v/>
      </c>
      <c r="G320" s="263"/>
      <c r="H320"/>
      <c r="I320" s="548"/>
      <c r="J320" s="538"/>
      <c r="K320"/>
      <c r="L320" s="615"/>
      <c r="M320"/>
      <c r="N320"/>
      <c r="O320"/>
      <c r="P320"/>
      <c r="Q320"/>
      <c r="R320"/>
      <c r="S320"/>
    </row>
    <row r="321" spans="1:19">
      <c r="A321" s="40" t="s">
        <v>2901</v>
      </c>
      <c r="B321" s="17"/>
      <c r="C321" s="17"/>
      <c r="D321" s="17"/>
      <c r="E321" s="614" t="str">
        <f>'Internal Service Template'!Q324</f>
        <v/>
      </c>
      <c r="F321" s="267" t="str">
        <f>'Internal Service Template'!R324</f>
        <v/>
      </c>
      <c r="G321" s="263"/>
      <c r="H321"/>
      <c r="I321" s="548"/>
      <c r="J321" s="538"/>
      <c r="K321"/>
      <c r="L321" s="615"/>
      <c r="M321"/>
      <c r="N321"/>
      <c r="O321"/>
      <c r="P321"/>
      <c r="Q321"/>
      <c r="R321"/>
      <c r="S321"/>
    </row>
    <row r="322" spans="1:19" hidden="1">
      <c r="A322" s="17"/>
      <c r="B322" s="33"/>
      <c r="C322" s="17"/>
      <c r="D322" s="17"/>
      <c r="E322" s="616"/>
      <c r="F322" s="616"/>
      <c r="H322"/>
      <c r="I322" s="548"/>
      <c r="J322" s="538"/>
      <c r="K322"/>
      <c r="L322" s="615"/>
      <c r="M322"/>
      <c r="N322"/>
      <c r="O322"/>
      <c r="P322"/>
      <c r="Q322"/>
      <c r="R322"/>
      <c r="S322"/>
    </row>
    <row r="323" spans="1:19" hidden="1">
      <c r="A323" s="40"/>
      <c r="B323" s="17"/>
      <c r="C323" s="17"/>
      <c r="D323" s="17"/>
      <c r="E323" s="169"/>
      <c r="F323" s="169"/>
      <c r="H323"/>
      <c r="I323" s="548"/>
      <c r="J323" s="538"/>
      <c r="K323"/>
      <c r="L323" s="615"/>
      <c r="M323"/>
      <c r="N323"/>
      <c r="O323"/>
      <c r="P323"/>
      <c r="Q323"/>
      <c r="R323"/>
      <c r="S323"/>
    </row>
    <row r="324" spans="1:19" hidden="1">
      <c r="A324" s="17"/>
      <c r="B324" s="24"/>
      <c r="C324" s="17"/>
      <c r="D324" s="17"/>
      <c r="E324" s="169"/>
      <c r="F324" s="169"/>
      <c r="H324"/>
      <c r="I324" s="548"/>
      <c r="J324" s="538"/>
      <c r="K324"/>
      <c r="L324" s="615"/>
      <c r="M324"/>
      <c r="N324"/>
      <c r="O324"/>
      <c r="P324"/>
      <c r="Q324"/>
      <c r="R324"/>
      <c r="S324"/>
    </row>
    <row r="325" spans="1:19" hidden="1">
      <c r="A325" s="40"/>
      <c r="B325" s="17"/>
      <c r="C325" s="17"/>
      <c r="D325" s="17"/>
      <c r="E325" s="169"/>
      <c r="F325" s="169"/>
      <c r="H325"/>
      <c r="I325" s="548"/>
      <c r="J325" s="538"/>
      <c r="K325"/>
      <c r="L325" s="615"/>
      <c r="M325"/>
      <c r="N325"/>
      <c r="O325"/>
      <c r="P325"/>
      <c r="Q325"/>
      <c r="R325"/>
      <c r="S325"/>
    </row>
    <row r="326" spans="1:19">
      <c r="A326" s="18" t="s">
        <v>599</v>
      </c>
      <c r="B326" s="17"/>
      <c r="C326" s="17"/>
      <c r="D326" s="17"/>
      <c r="E326" s="617"/>
      <c r="F326" s="617"/>
      <c r="H326"/>
      <c r="I326" s="548"/>
      <c r="J326" s="538"/>
      <c r="K326"/>
      <c r="L326" s="615"/>
      <c r="M326"/>
      <c r="N326"/>
      <c r="O326"/>
      <c r="P326"/>
      <c r="Q326"/>
      <c r="R326"/>
      <c r="S326"/>
    </row>
    <row r="327" spans="1:19">
      <c r="A327" s="24" t="s">
        <v>249</v>
      </c>
      <c r="B327" s="17"/>
      <c r="C327" s="17"/>
      <c r="D327" s="17"/>
      <c r="E327" s="614" t="str">
        <f>'Internal Service Template'!Q330</f>
        <v/>
      </c>
      <c r="F327" s="267" t="str">
        <f>'Internal Service Template'!R330</f>
        <v/>
      </c>
      <c r="G327" s="263"/>
      <c r="H327"/>
      <c r="I327" s="548"/>
      <c r="J327" s="538"/>
      <c r="K327"/>
      <c r="L327" s="615"/>
      <c r="M327"/>
      <c r="N327"/>
      <c r="O327"/>
      <c r="P327"/>
      <c r="Q327"/>
      <c r="R327"/>
      <c r="S327"/>
    </row>
    <row r="328" spans="1:19">
      <c r="A328" s="24" t="s">
        <v>250</v>
      </c>
      <c r="B328" s="17"/>
      <c r="C328" s="17"/>
      <c r="D328" s="17"/>
      <c r="E328" s="614" t="str">
        <f>IF('Internal Service Template'!Q331="","",-('Internal Service Template'!Q331))</f>
        <v/>
      </c>
      <c r="F328" s="278" t="str">
        <f>IF('Internal Service Template'!R331="","",IF('Internal Service Template'!R331=100%,-100%,IF('Internal Service Template'!R331=-100%,100%,-('Internal Service Template'!R331))))</f>
        <v/>
      </c>
      <c r="G328" s="263"/>
      <c r="H328"/>
      <c r="I328" s="548"/>
      <c r="J328" s="538"/>
      <c r="K328"/>
      <c r="L328" s="615"/>
      <c r="M328"/>
      <c r="N328"/>
      <c r="O328"/>
      <c r="P328"/>
      <c r="Q328"/>
      <c r="R328"/>
      <c r="S328"/>
    </row>
    <row r="329" spans="1:19" hidden="1">
      <c r="A329" s="24"/>
      <c r="B329" s="17"/>
      <c r="C329" s="17"/>
      <c r="D329" s="17"/>
      <c r="E329" s="618"/>
      <c r="F329" s="618"/>
      <c r="G329" s="264"/>
      <c r="H329"/>
      <c r="I329" s="548"/>
      <c r="J329" s="538"/>
      <c r="K329"/>
      <c r="L329" s="615"/>
      <c r="M329"/>
      <c r="N329"/>
      <c r="O329"/>
      <c r="P329"/>
      <c r="Q329"/>
      <c r="R329"/>
      <c r="S329"/>
    </row>
    <row r="330" spans="1:19">
      <c r="A330" s="40" t="s">
        <v>193</v>
      </c>
      <c r="B330" s="17"/>
      <c r="C330" s="17"/>
      <c r="D330" s="17"/>
      <c r="E330" s="614" t="str">
        <f>'Internal Service Template'!Q333</f>
        <v/>
      </c>
      <c r="F330" s="267" t="str">
        <f>'Internal Service Template'!R333</f>
        <v/>
      </c>
      <c r="G330" s="263"/>
      <c r="H330"/>
      <c r="I330" s="548"/>
      <c r="J330" s="538"/>
      <c r="K330"/>
      <c r="L330" s="615"/>
      <c r="M330"/>
      <c r="N330"/>
      <c r="O330"/>
      <c r="P330"/>
      <c r="Q330"/>
      <c r="R330"/>
      <c r="S330"/>
    </row>
    <row r="331" spans="1:19" hidden="1">
      <c r="A331" s="40"/>
      <c r="B331" s="17"/>
      <c r="C331" s="17"/>
      <c r="D331" s="17"/>
      <c r="E331" s="618"/>
      <c r="F331" s="618"/>
      <c r="G331" s="271"/>
      <c r="H331"/>
      <c r="I331" s="548"/>
      <c r="J331" s="538"/>
      <c r="K331"/>
      <c r="L331" s="615"/>
      <c r="M331"/>
      <c r="N331"/>
      <c r="O331"/>
      <c r="P331"/>
      <c r="Q331"/>
      <c r="R331"/>
      <c r="S331"/>
    </row>
    <row r="332" spans="1:19">
      <c r="A332" s="40" t="s">
        <v>470</v>
      </c>
      <c r="B332" s="17"/>
      <c r="C332" s="17"/>
      <c r="D332" s="17"/>
      <c r="E332" s="614" t="str">
        <f>'Internal Service Template'!Q335</f>
        <v/>
      </c>
      <c r="F332" s="267" t="str">
        <f>'Internal Service Template'!R335</f>
        <v/>
      </c>
      <c r="G332" s="263"/>
      <c r="H332"/>
      <c r="I332" s="548"/>
      <c r="J332" s="538"/>
      <c r="K332"/>
      <c r="L332" s="615"/>
      <c r="M332"/>
      <c r="N332"/>
      <c r="O332"/>
      <c r="P332"/>
      <c r="Q332"/>
      <c r="R332"/>
      <c r="S332"/>
    </row>
    <row r="333" spans="1:19">
      <c r="A333" s="40" t="s">
        <v>2902</v>
      </c>
      <c r="B333" s="17"/>
      <c r="C333" s="17"/>
      <c r="D333" s="17"/>
      <c r="E333" s="614" t="str">
        <f>'Internal Service Template'!Q336</f>
        <v/>
      </c>
      <c r="F333" s="267" t="str">
        <f>'Internal Service Template'!R336</f>
        <v/>
      </c>
      <c r="G333" s="263"/>
      <c r="H333"/>
      <c r="I333" s="548"/>
      <c r="J333" s="538"/>
      <c r="K333"/>
      <c r="L333" s="615"/>
      <c r="M333"/>
      <c r="N333"/>
      <c r="O333"/>
      <c r="P333"/>
      <c r="Q333"/>
      <c r="R333"/>
      <c r="S333"/>
    </row>
    <row r="334" spans="1:19">
      <c r="A334" s="40" t="s">
        <v>2902</v>
      </c>
      <c r="B334" s="17"/>
      <c r="C334" s="17"/>
      <c r="D334" s="17"/>
      <c r="E334" s="614" t="str">
        <f>'Internal Service Template'!Q337</f>
        <v/>
      </c>
      <c r="F334" s="267" t="str">
        <f>'Internal Service Template'!R337</f>
        <v/>
      </c>
      <c r="G334" s="263"/>
      <c r="H334"/>
      <c r="I334" s="548"/>
      <c r="J334" s="538"/>
      <c r="K334"/>
      <c r="L334" s="615"/>
      <c r="M334"/>
      <c r="N334"/>
      <c r="O334"/>
      <c r="P334"/>
      <c r="Q334"/>
      <c r="R334"/>
      <c r="S334"/>
    </row>
    <row r="335" spans="1:19" hidden="1">
      <c r="A335" s="24"/>
      <c r="B335" s="33"/>
      <c r="C335" s="17"/>
      <c r="D335" s="17"/>
      <c r="E335" s="616"/>
      <c r="F335" s="616"/>
      <c r="G335" s="264"/>
      <c r="H335"/>
      <c r="I335" s="548"/>
      <c r="J335" s="538"/>
      <c r="K335"/>
      <c r="L335" s="615"/>
      <c r="M335"/>
      <c r="N335"/>
      <c r="O335"/>
      <c r="P335"/>
      <c r="Q335"/>
      <c r="R335"/>
      <c r="S335"/>
    </row>
    <row r="336" spans="1:19" hidden="1">
      <c r="A336" s="24"/>
      <c r="B336" s="33"/>
      <c r="C336" s="17"/>
      <c r="D336" s="17"/>
      <c r="E336" s="617"/>
      <c r="F336" s="617"/>
      <c r="G336" s="264"/>
      <c r="H336"/>
      <c r="I336" s="548"/>
      <c r="J336" s="538"/>
      <c r="K336"/>
      <c r="L336" s="615"/>
      <c r="M336"/>
      <c r="N336"/>
      <c r="O336"/>
      <c r="P336"/>
      <c r="Q336"/>
      <c r="R336"/>
      <c r="S336"/>
    </row>
    <row r="337" spans="1:19">
      <c r="A337" s="40" t="s">
        <v>825</v>
      </c>
      <c r="B337" s="17"/>
      <c r="C337" s="17"/>
      <c r="D337" s="17"/>
      <c r="E337" s="614" t="str">
        <f>'Internal Service Template'!Q340</f>
        <v/>
      </c>
      <c r="F337" s="267" t="str">
        <f>'Internal Service Template'!R340</f>
        <v/>
      </c>
      <c r="G337" s="263"/>
      <c r="H337"/>
      <c r="I337" s="548"/>
      <c r="J337" s="538"/>
      <c r="K337"/>
      <c r="L337" s="615"/>
      <c r="M337"/>
      <c r="N337"/>
      <c r="O337"/>
      <c r="P337"/>
      <c r="Q337"/>
      <c r="R337"/>
      <c r="S337"/>
    </row>
    <row r="338" spans="1:19">
      <c r="A338" s="40" t="s">
        <v>2903</v>
      </c>
      <c r="B338" s="17"/>
      <c r="C338" s="17"/>
      <c r="D338" s="17"/>
      <c r="E338" s="614" t="str">
        <f>'Internal Service Template'!Q341</f>
        <v/>
      </c>
      <c r="F338" s="267" t="str">
        <f>'Internal Service Template'!R341</f>
        <v/>
      </c>
      <c r="G338" s="263"/>
      <c r="H338"/>
      <c r="I338" s="548"/>
      <c r="J338" s="538"/>
      <c r="K338"/>
      <c r="L338" s="615"/>
      <c r="M338"/>
      <c r="N338"/>
      <c r="O338"/>
      <c r="P338"/>
      <c r="Q338"/>
      <c r="R338"/>
      <c r="S338"/>
    </row>
    <row r="339" spans="1:19">
      <c r="A339" s="40" t="s">
        <v>2903</v>
      </c>
      <c r="B339" s="17"/>
      <c r="C339" s="17"/>
      <c r="D339" s="17"/>
      <c r="E339" s="614" t="str">
        <f>'Internal Service Template'!Q342</f>
        <v/>
      </c>
      <c r="F339" s="267" t="str">
        <f>'Internal Service Template'!R342</f>
        <v/>
      </c>
      <c r="G339" s="263"/>
      <c r="H339"/>
      <c r="I339" s="548"/>
      <c r="J339" s="538"/>
      <c r="K339"/>
      <c r="L339" s="615"/>
      <c r="M339"/>
      <c r="N339"/>
      <c r="O339"/>
      <c r="P339"/>
      <c r="Q339"/>
      <c r="R339"/>
      <c r="S339"/>
    </row>
    <row r="340" spans="1:19" hidden="1">
      <c r="A340" s="40"/>
      <c r="B340" s="33"/>
      <c r="C340" s="17"/>
      <c r="D340" s="17"/>
      <c r="E340" s="616"/>
      <c r="F340" s="616"/>
      <c r="G340" s="620"/>
      <c r="H340"/>
      <c r="I340" s="548"/>
      <c r="J340" s="538"/>
      <c r="K340"/>
      <c r="L340" s="615"/>
      <c r="M340"/>
      <c r="N340"/>
      <c r="O340"/>
      <c r="P340"/>
      <c r="Q340"/>
      <c r="R340"/>
      <c r="S340"/>
    </row>
    <row r="341" spans="1:19" hidden="1">
      <c r="A341" s="40"/>
      <c r="B341" s="17"/>
      <c r="C341" s="17"/>
      <c r="D341" s="17"/>
      <c r="E341" s="169"/>
      <c r="F341" s="169"/>
      <c r="G341" s="607"/>
      <c r="H341"/>
      <c r="I341" s="548"/>
      <c r="J341" s="538"/>
      <c r="K341"/>
      <c r="L341" s="615"/>
      <c r="M341"/>
      <c r="N341"/>
      <c r="O341"/>
      <c r="P341"/>
      <c r="Q341"/>
      <c r="R341"/>
      <c r="S341"/>
    </row>
    <row r="342" spans="1:19" hidden="1">
      <c r="A342" s="17"/>
      <c r="B342" s="24"/>
      <c r="C342" s="17"/>
      <c r="D342" s="17"/>
      <c r="E342" s="169"/>
      <c r="F342" s="169"/>
      <c r="G342" s="607"/>
      <c r="H342"/>
      <c r="I342" s="548"/>
      <c r="J342" s="538"/>
      <c r="K342"/>
      <c r="L342" s="615"/>
      <c r="M342"/>
      <c r="N342"/>
      <c r="O342"/>
      <c r="P342"/>
      <c r="Q342"/>
      <c r="R342"/>
      <c r="S342"/>
    </row>
    <row r="343" spans="1:19" hidden="1">
      <c r="A343" s="17"/>
      <c r="B343" s="40"/>
      <c r="C343" s="17"/>
      <c r="D343" s="17"/>
      <c r="E343" s="169"/>
      <c r="F343" s="169"/>
      <c r="G343" s="607"/>
      <c r="H343"/>
      <c r="I343" s="548"/>
      <c r="J343" s="538"/>
      <c r="K343"/>
      <c r="L343" s="615"/>
      <c r="M343"/>
      <c r="N343"/>
      <c r="O343"/>
      <c r="P343"/>
      <c r="Q343"/>
      <c r="R343"/>
      <c r="S343"/>
    </row>
    <row r="344" spans="1:19" hidden="1">
      <c r="A344" s="17"/>
      <c r="B344" s="40"/>
      <c r="C344" s="17"/>
      <c r="D344" s="17"/>
      <c r="E344" s="169"/>
      <c r="F344" s="169"/>
      <c r="G344" s="607"/>
      <c r="H344"/>
      <c r="I344" s="548"/>
      <c r="J344" s="538"/>
      <c r="K344"/>
      <c r="L344" s="615"/>
      <c r="M344"/>
      <c r="N344"/>
      <c r="O344"/>
      <c r="P344"/>
      <c r="Q344"/>
      <c r="R344"/>
      <c r="S344"/>
    </row>
    <row r="345" spans="1:19" hidden="1">
      <c r="A345" s="1050"/>
      <c r="B345" s="1100"/>
      <c r="C345" s="1100"/>
      <c r="D345" s="1100"/>
      <c r="E345" s="169"/>
      <c r="F345" s="169"/>
      <c r="G345" s="607"/>
      <c r="H345"/>
      <c r="I345" s="548"/>
      <c r="J345" s="538"/>
      <c r="K345"/>
      <c r="L345" s="615"/>
      <c r="M345"/>
      <c r="N345"/>
      <c r="O345"/>
      <c r="P345"/>
      <c r="Q345"/>
      <c r="R345"/>
      <c r="S345"/>
    </row>
    <row r="346" spans="1:19" hidden="1">
      <c r="A346" s="27"/>
      <c r="B346" s="18"/>
      <c r="C346" s="27"/>
      <c r="D346" s="27"/>
      <c r="E346" s="169"/>
      <c r="F346" s="169"/>
      <c r="G346" s="607"/>
      <c r="H346"/>
      <c r="I346" s="548"/>
      <c r="J346" s="538"/>
      <c r="K346"/>
      <c r="L346" s="615"/>
      <c r="M346"/>
      <c r="N346"/>
      <c r="O346"/>
      <c r="P346"/>
      <c r="Q346"/>
      <c r="R346"/>
      <c r="S346"/>
    </row>
    <row r="347" spans="1:19" ht="13.8" thickBot="1">
      <c r="A347" s="622" t="str">
        <f>A295</f>
        <v>Statement of Cash Flows-Part 1</v>
      </c>
      <c r="B347" s="623"/>
      <c r="C347" s="622"/>
      <c r="D347" s="622"/>
      <c r="E347" s="169"/>
      <c r="F347" s="169"/>
      <c r="G347" s="607"/>
      <c r="H347"/>
      <c r="I347" s="548"/>
      <c r="J347" s="538"/>
      <c r="K347"/>
      <c r="L347" s="615"/>
      <c r="M347"/>
      <c r="N347"/>
      <c r="O347"/>
      <c r="P347"/>
      <c r="Q347"/>
      <c r="R347"/>
      <c r="S347"/>
    </row>
    <row r="348" spans="1:19" hidden="1">
      <c r="A348"/>
      <c r="B348"/>
      <c r="C348"/>
      <c r="D348"/>
      <c r="E348" s="169"/>
      <c r="F348" s="169"/>
      <c r="G348" s="607"/>
      <c r="H348"/>
      <c r="I348" s="548"/>
      <c r="J348" s="538"/>
      <c r="K348"/>
      <c r="L348" s="615"/>
      <c r="M348"/>
      <c r="N348"/>
      <c r="O348"/>
      <c r="P348"/>
      <c r="Q348"/>
      <c r="R348"/>
      <c r="S348"/>
    </row>
    <row r="349" spans="1:19" hidden="1">
      <c r="A349"/>
      <c r="B349"/>
      <c r="C349"/>
      <c r="D349"/>
      <c r="E349" s="169"/>
      <c r="F349" s="169"/>
      <c r="G349" s="607"/>
      <c r="H349"/>
      <c r="I349" s="548"/>
      <c r="J349" s="538"/>
      <c r="K349"/>
      <c r="L349" s="615"/>
      <c r="M349"/>
      <c r="N349"/>
      <c r="O349"/>
      <c r="P349"/>
      <c r="Q349"/>
      <c r="R349"/>
      <c r="S349"/>
    </row>
    <row r="350" spans="1:19" hidden="1">
      <c r="A350" s="17"/>
      <c r="B350" s="40"/>
      <c r="C350" s="17"/>
      <c r="D350" s="17"/>
      <c r="E350" s="169"/>
      <c r="F350" s="169"/>
      <c r="G350" s="607"/>
      <c r="H350"/>
      <c r="I350" s="548"/>
      <c r="J350" s="538"/>
      <c r="K350"/>
      <c r="L350" s="615"/>
      <c r="M350"/>
      <c r="N350"/>
      <c r="O350"/>
      <c r="P350"/>
      <c r="Q350"/>
      <c r="R350"/>
      <c r="S350"/>
    </row>
    <row r="351" spans="1:19">
      <c r="A351" s="18" t="s">
        <v>496</v>
      </c>
      <c r="B351" s="17"/>
      <c r="C351" s="17"/>
      <c r="D351" s="17"/>
      <c r="E351" s="169"/>
      <c r="F351" s="169"/>
      <c r="G351" s="607"/>
      <c r="H351"/>
      <c r="I351" s="548"/>
      <c r="J351" s="538"/>
      <c r="K351"/>
      <c r="L351" s="615"/>
      <c r="M351"/>
      <c r="N351"/>
      <c r="O351"/>
      <c r="P351"/>
      <c r="Q351"/>
      <c r="R351"/>
      <c r="S351"/>
    </row>
    <row r="352" spans="1:19" hidden="1">
      <c r="A352" s="18"/>
      <c r="B352" s="17"/>
      <c r="C352" s="17"/>
      <c r="D352" s="17"/>
      <c r="E352" s="617"/>
      <c r="F352" s="617"/>
      <c r="G352" s="619"/>
      <c r="H352"/>
      <c r="I352" s="548"/>
      <c r="J352" s="538"/>
      <c r="K352"/>
      <c r="L352" s="615"/>
      <c r="M352"/>
      <c r="N352"/>
      <c r="O352"/>
      <c r="P352"/>
      <c r="Q352"/>
      <c r="R352"/>
      <c r="S352"/>
    </row>
    <row r="353" spans="1:19">
      <c r="A353" s="24" t="s">
        <v>424</v>
      </c>
      <c r="B353" s="17"/>
      <c r="C353" s="17"/>
      <c r="D353" s="17"/>
      <c r="E353" s="614" t="str">
        <f>'Internal Service Template'!Q356</f>
        <v/>
      </c>
      <c r="F353" s="267" t="str">
        <f>'Internal Service Template'!R356</f>
        <v/>
      </c>
      <c r="G353" s="263"/>
      <c r="H353"/>
      <c r="I353" s="548"/>
      <c r="J353" s="538"/>
      <c r="K353"/>
      <c r="L353" s="615"/>
      <c r="M353"/>
      <c r="N353"/>
      <c r="O353"/>
      <c r="P353"/>
      <c r="Q353"/>
      <c r="R353"/>
      <c r="S353"/>
    </row>
    <row r="354" spans="1:19" ht="24.75" customHeight="1">
      <c r="A354" s="1101" t="s">
        <v>3295</v>
      </c>
      <c r="B354" s="1101"/>
      <c r="C354" s="1101"/>
      <c r="D354" s="1104"/>
      <c r="E354" s="614" t="str">
        <f>'Internal Service Template'!Q357</f>
        <v/>
      </c>
      <c r="F354" s="267" t="str">
        <f>'Internal Service Template'!R357</f>
        <v/>
      </c>
      <c r="G354" s="263"/>
      <c r="H354"/>
      <c r="I354" s="548"/>
      <c r="J354" s="538"/>
      <c r="K354"/>
      <c r="L354" s="615"/>
      <c r="M354"/>
      <c r="N354"/>
      <c r="O354"/>
      <c r="P354"/>
      <c r="Q354"/>
      <c r="R354"/>
      <c r="S354"/>
    </row>
    <row r="355" spans="1:19">
      <c r="A355" s="24" t="s">
        <v>24</v>
      </c>
      <c r="B355" s="17"/>
      <c r="C355" s="17"/>
      <c r="D355" s="17"/>
      <c r="E355" s="614" t="str">
        <f>'Internal Service Template'!Q358</f>
        <v/>
      </c>
      <c r="F355" s="267" t="str">
        <f>'Internal Service Template'!R358</f>
        <v/>
      </c>
      <c r="G355" s="263"/>
      <c r="H355"/>
      <c r="I355" s="548"/>
      <c r="J355" s="538"/>
      <c r="K355"/>
      <c r="L355" s="615"/>
      <c r="M355"/>
      <c r="N355"/>
      <c r="O355"/>
      <c r="P355"/>
      <c r="Q355"/>
      <c r="R355"/>
      <c r="S355"/>
    </row>
    <row r="356" spans="1:19">
      <c r="A356" s="24" t="s">
        <v>531</v>
      </c>
      <c r="B356" s="17"/>
      <c r="C356" s="17"/>
      <c r="D356" s="17"/>
      <c r="E356" s="614" t="str">
        <f>'Internal Service Template'!Q359</f>
        <v/>
      </c>
      <c r="F356" s="267" t="str">
        <f>'Internal Service Template'!R359</f>
        <v/>
      </c>
      <c r="G356" s="263"/>
      <c r="H356"/>
      <c r="I356" s="548"/>
      <c r="J356" s="538"/>
      <c r="K356"/>
      <c r="L356" s="615"/>
      <c r="M356"/>
      <c r="N356"/>
      <c r="O356"/>
      <c r="P356"/>
      <c r="Q356"/>
      <c r="R356"/>
      <c r="S356"/>
    </row>
    <row r="357" spans="1:19" hidden="1">
      <c r="A357" s="24"/>
      <c r="B357" s="17"/>
      <c r="C357" s="17"/>
      <c r="D357" s="17"/>
      <c r="E357" s="618"/>
      <c r="F357" s="618"/>
      <c r="G357" s="264"/>
      <c r="H357"/>
      <c r="I357" s="548"/>
      <c r="J357" s="538"/>
      <c r="K357"/>
      <c r="L357" s="615"/>
      <c r="M357"/>
      <c r="N357"/>
      <c r="O357"/>
      <c r="P357"/>
      <c r="Q357"/>
      <c r="R357"/>
      <c r="S357"/>
    </row>
    <row r="358" spans="1:19">
      <c r="A358" s="40" t="s">
        <v>2904</v>
      </c>
      <c r="B358" s="17"/>
      <c r="C358" s="17"/>
      <c r="D358" s="17"/>
      <c r="E358" s="614" t="str">
        <f>'Internal Service Template'!Q361</f>
        <v/>
      </c>
      <c r="F358" s="267" t="str">
        <f>'Internal Service Template'!R361</f>
        <v/>
      </c>
      <c r="G358" s="263"/>
      <c r="H358"/>
      <c r="I358" s="548"/>
      <c r="J358" s="538"/>
      <c r="K358"/>
      <c r="L358" s="615"/>
      <c r="M358"/>
      <c r="N358"/>
      <c r="O358"/>
      <c r="P358"/>
      <c r="Q358"/>
      <c r="R358"/>
      <c r="S358"/>
    </row>
    <row r="359" spans="1:19">
      <c r="A359" s="40" t="s">
        <v>2904</v>
      </c>
      <c r="B359" s="17"/>
      <c r="C359" s="17"/>
      <c r="D359" s="17"/>
      <c r="E359" s="614" t="str">
        <f>'Internal Service Template'!Q362</f>
        <v/>
      </c>
      <c r="F359" s="267" t="str">
        <f>'Internal Service Template'!R362</f>
        <v/>
      </c>
      <c r="G359" s="263"/>
      <c r="H359"/>
      <c r="I359" s="548"/>
      <c r="J359" s="538"/>
      <c r="K359"/>
      <c r="L359" s="615"/>
      <c r="M359"/>
      <c r="N359"/>
      <c r="O359"/>
      <c r="P359"/>
      <c r="Q359"/>
      <c r="R359"/>
      <c r="S359"/>
    </row>
    <row r="360" spans="1:19" hidden="1">
      <c r="A360" s="24"/>
      <c r="B360" s="33"/>
      <c r="C360" s="17"/>
      <c r="D360" s="17"/>
      <c r="E360" s="616"/>
      <c r="F360" s="616"/>
      <c r="G360" s="264"/>
      <c r="H360"/>
      <c r="I360" s="548"/>
      <c r="J360" s="538"/>
      <c r="K360"/>
      <c r="L360" s="615"/>
      <c r="M360"/>
      <c r="N360"/>
      <c r="O360"/>
      <c r="P360"/>
      <c r="Q360"/>
      <c r="R360"/>
      <c r="S360"/>
    </row>
    <row r="361" spans="1:19" hidden="1">
      <c r="A361" s="24"/>
      <c r="B361" s="17"/>
      <c r="C361" s="17"/>
      <c r="D361" s="17"/>
      <c r="E361" s="169"/>
      <c r="F361" s="169"/>
      <c r="G361" s="264"/>
      <c r="H361"/>
      <c r="I361" s="548"/>
      <c r="J361" s="538"/>
      <c r="K361"/>
      <c r="L361" s="615"/>
      <c r="M361"/>
      <c r="N361"/>
      <c r="O361"/>
      <c r="P361"/>
      <c r="Q361"/>
      <c r="R361"/>
      <c r="S361"/>
    </row>
    <row r="362" spans="1:19" hidden="1">
      <c r="A362" s="24"/>
      <c r="B362" s="17"/>
      <c r="C362" s="17"/>
      <c r="D362" s="17"/>
      <c r="E362" s="617"/>
      <c r="F362" s="617"/>
      <c r="G362" s="264"/>
      <c r="H362"/>
      <c r="I362" s="548"/>
      <c r="J362" s="538"/>
      <c r="K362"/>
      <c r="L362" s="615"/>
      <c r="M362"/>
      <c r="N362"/>
      <c r="O362"/>
      <c r="P362"/>
      <c r="Q362"/>
      <c r="R362"/>
      <c r="S362"/>
    </row>
    <row r="363" spans="1:19">
      <c r="A363" s="40" t="s">
        <v>2905</v>
      </c>
      <c r="B363" s="17"/>
      <c r="C363" s="17"/>
      <c r="D363" s="17"/>
      <c r="E363" s="614" t="str">
        <f>'Internal Service Template'!Q366</f>
        <v/>
      </c>
      <c r="F363" s="267" t="str">
        <f>'Internal Service Template'!R366</f>
        <v/>
      </c>
      <c r="G363" s="263"/>
      <c r="H363"/>
      <c r="I363" s="548"/>
      <c r="J363" s="538"/>
      <c r="K363"/>
      <c r="L363" s="615"/>
      <c r="M363"/>
      <c r="N363"/>
      <c r="O363"/>
      <c r="P363"/>
      <c r="Q363"/>
      <c r="R363"/>
      <c r="S363"/>
    </row>
    <row r="364" spans="1:19">
      <c r="A364" s="40" t="s">
        <v>2905</v>
      </c>
      <c r="B364" s="17"/>
      <c r="C364" s="17"/>
      <c r="D364" s="17"/>
      <c r="E364" s="614" t="str">
        <f>'Internal Service Template'!Q367</f>
        <v/>
      </c>
      <c r="F364" s="267" t="str">
        <f>'Internal Service Template'!R367</f>
        <v/>
      </c>
      <c r="G364" s="263"/>
      <c r="H364"/>
      <c r="I364" s="548"/>
      <c r="J364" s="538"/>
      <c r="K364"/>
      <c r="L364" s="615"/>
      <c r="M364"/>
      <c r="N364"/>
      <c r="O364"/>
      <c r="P364"/>
      <c r="Q364"/>
      <c r="R364"/>
      <c r="S364"/>
    </row>
    <row r="365" spans="1:19" hidden="1">
      <c r="A365" s="40"/>
      <c r="B365" s="33"/>
      <c r="C365" s="17"/>
      <c r="D365" s="17"/>
      <c r="E365" s="616"/>
      <c r="F365" s="616"/>
      <c r="H365"/>
      <c r="I365" s="548"/>
      <c r="J365" s="538"/>
      <c r="K365"/>
      <c r="L365" s="615"/>
      <c r="M365"/>
      <c r="N365"/>
      <c r="O365"/>
      <c r="P365"/>
      <c r="Q365"/>
      <c r="R365"/>
      <c r="S365"/>
    </row>
    <row r="366" spans="1:19" hidden="1">
      <c r="A366" s="40"/>
      <c r="B366" s="33"/>
      <c r="C366" s="17"/>
      <c r="D366" s="17"/>
      <c r="E366" s="169"/>
      <c r="F366" s="169"/>
      <c r="H366"/>
      <c r="I366" s="548"/>
      <c r="J366" s="538"/>
      <c r="K366"/>
      <c r="L366" s="615"/>
      <c r="M366"/>
      <c r="N366"/>
      <c r="O366"/>
      <c r="P366"/>
      <c r="Q366"/>
      <c r="R366"/>
      <c r="S366"/>
    </row>
    <row r="367" spans="1:19" hidden="1">
      <c r="A367" s="17"/>
      <c r="B367" s="24"/>
      <c r="C367" s="17"/>
      <c r="D367" s="17"/>
      <c r="E367" s="169"/>
      <c r="F367" s="169"/>
      <c r="H367"/>
      <c r="I367" s="548"/>
      <c r="J367" s="538"/>
      <c r="K367"/>
      <c r="L367" s="615"/>
      <c r="M367"/>
      <c r="N367"/>
      <c r="O367"/>
      <c r="P367"/>
      <c r="Q367"/>
      <c r="R367"/>
      <c r="S367"/>
    </row>
    <row r="368" spans="1:19" hidden="1">
      <c r="A368" s="17"/>
      <c r="B368" s="40"/>
      <c r="C368" s="17"/>
      <c r="D368" s="17"/>
      <c r="E368" s="169"/>
      <c r="F368" s="169"/>
      <c r="H368"/>
      <c r="I368" s="548"/>
      <c r="J368" s="538"/>
      <c r="K368"/>
      <c r="L368" s="615"/>
      <c r="M368"/>
      <c r="N368"/>
      <c r="O368"/>
      <c r="P368"/>
      <c r="Q368"/>
      <c r="R368"/>
      <c r="S368"/>
    </row>
    <row r="369" spans="1:19">
      <c r="A369" s="18" t="s">
        <v>29</v>
      </c>
      <c r="B369" s="17"/>
      <c r="C369" s="17"/>
      <c r="D369" s="17"/>
      <c r="E369" s="617"/>
      <c r="F369" s="617"/>
      <c r="H369"/>
      <c r="I369" s="548"/>
      <c r="J369" s="538"/>
      <c r="K369"/>
      <c r="L369" s="615"/>
      <c r="M369"/>
      <c r="N369"/>
      <c r="O369"/>
      <c r="P369"/>
      <c r="Q369"/>
      <c r="R369"/>
      <c r="S369"/>
    </row>
    <row r="370" spans="1:19">
      <c r="A370" s="24" t="s">
        <v>30</v>
      </c>
      <c r="B370" s="17"/>
      <c r="C370" s="17"/>
      <c r="D370" s="17"/>
      <c r="E370" s="614" t="str">
        <f>'Internal Service Template'!Q373</f>
        <v/>
      </c>
      <c r="F370" s="267" t="str">
        <f>'Internal Service Template'!R373</f>
        <v/>
      </c>
      <c r="G370" s="263"/>
      <c r="H370"/>
      <c r="I370" s="548"/>
      <c r="J370" s="538"/>
      <c r="K370"/>
      <c r="L370" s="615"/>
      <c r="M370"/>
      <c r="N370"/>
      <c r="O370"/>
      <c r="P370"/>
      <c r="Q370"/>
      <c r="R370"/>
      <c r="S370"/>
    </row>
    <row r="371" spans="1:19">
      <c r="A371" s="24" t="s">
        <v>31</v>
      </c>
      <c r="B371" s="17"/>
      <c r="C371" s="17"/>
      <c r="D371" s="17"/>
      <c r="E371" s="614" t="str">
        <f>'Internal Service Template'!Q374</f>
        <v/>
      </c>
      <c r="F371" s="267" t="str">
        <f>'Internal Service Template'!R374</f>
        <v/>
      </c>
      <c r="G371" s="263"/>
      <c r="H371"/>
      <c r="I371" s="548"/>
      <c r="J371" s="538"/>
      <c r="K371"/>
      <c r="L371" s="615"/>
      <c r="M371"/>
      <c r="N371"/>
      <c r="O371"/>
      <c r="P371"/>
      <c r="Q371"/>
      <c r="R371"/>
      <c r="S371"/>
    </row>
    <row r="372" spans="1:19">
      <c r="A372" s="24" t="s">
        <v>32</v>
      </c>
      <c r="B372" s="17"/>
      <c r="C372" s="17"/>
      <c r="D372" s="17"/>
      <c r="E372" s="614" t="str">
        <f>'Internal Service Template'!Q375</f>
        <v/>
      </c>
      <c r="F372" s="267" t="str">
        <f>'Internal Service Template'!R375</f>
        <v/>
      </c>
      <c r="G372" s="263"/>
      <c r="H372"/>
      <c r="I372" s="548"/>
      <c r="J372" s="538"/>
      <c r="K372"/>
      <c r="L372" s="615"/>
      <c r="M372"/>
      <c r="N372"/>
      <c r="O372"/>
      <c r="P372"/>
      <c r="Q372"/>
      <c r="R372"/>
      <c r="S372"/>
    </row>
    <row r="373" spans="1:19">
      <c r="A373" s="17"/>
      <c r="B373" s="24"/>
      <c r="C373" s="17"/>
      <c r="D373" s="17"/>
      <c r="E373" s="624"/>
      <c r="F373" s="624"/>
      <c r="H373"/>
      <c r="I373" s="548"/>
      <c r="J373" s="538"/>
      <c r="K373"/>
      <c r="L373"/>
      <c r="M373"/>
      <c r="N373"/>
      <c r="O373"/>
      <c r="P373"/>
      <c r="Q373"/>
      <c r="R373"/>
      <c r="S373"/>
    </row>
    <row r="374" spans="1:19">
      <c r="A374" s="24"/>
      <c r="B374" s="17"/>
      <c r="C374" s="17"/>
      <c r="D374" s="17"/>
      <c r="E374"/>
      <c r="F374"/>
      <c r="H374"/>
      <c r="I374" s="548"/>
      <c r="J374" s="538"/>
      <c r="K374"/>
      <c r="L374"/>
      <c r="M374"/>
      <c r="N374"/>
      <c r="O374"/>
      <c r="P374"/>
      <c r="Q374"/>
      <c r="R374"/>
      <c r="S374"/>
    </row>
    <row r="375" spans="1:19">
      <c r="A375" s="17"/>
      <c r="B375" s="17"/>
      <c r="C375" s="24"/>
      <c r="D375" s="17"/>
      <c r="E375"/>
      <c r="F375"/>
      <c r="H375"/>
      <c r="I375" s="548"/>
      <c r="J375" s="538"/>
      <c r="K375"/>
      <c r="L375"/>
      <c r="M375"/>
      <c r="N375"/>
      <c r="O375"/>
      <c r="P375"/>
      <c r="Q375"/>
      <c r="R375"/>
      <c r="S375"/>
    </row>
    <row r="376" spans="1:19">
      <c r="A376" s="48"/>
      <c r="B376" s="17"/>
      <c r="C376" s="17"/>
      <c r="D376" s="17"/>
      <c r="E376"/>
      <c r="F376"/>
      <c r="H376"/>
      <c r="I376" s="548"/>
      <c r="J376" s="538"/>
      <c r="K376"/>
      <c r="L376"/>
      <c r="M376"/>
      <c r="N376"/>
      <c r="O376"/>
      <c r="P376"/>
      <c r="Q376"/>
      <c r="R376"/>
      <c r="S376"/>
    </row>
    <row r="377" spans="1:19">
      <c r="A377" s="48"/>
      <c r="B377" s="17"/>
      <c r="C377" s="17"/>
      <c r="D377" s="17"/>
      <c r="E377"/>
      <c r="F377"/>
      <c r="H377"/>
      <c r="I377" s="548"/>
      <c r="J377" s="538"/>
      <c r="K377"/>
      <c r="L377"/>
      <c r="M377"/>
      <c r="N377"/>
      <c r="O377"/>
      <c r="P377"/>
      <c r="Q377"/>
      <c r="R377"/>
      <c r="S377"/>
    </row>
    <row r="378" spans="1:19">
      <c r="A378" s="18"/>
      <c r="B378" s="17"/>
      <c r="C378" s="17"/>
      <c r="D378" s="17"/>
      <c r="E378"/>
      <c r="F378"/>
      <c r="H378"/>
      <c r="I378" s="548"/>
      <c r="J378" s="538"/>
      <c r="K378"/>
      <c r="L378"/>
      <c r="M378"/>
      <c r="N378"/>
      <c r="O378"/>
      <c r="P378"/>
      <c r="Q378"/>
      <c r="R378"/>
      <c r="S378"/>
    </row>
    <row r="379" spans="1:19">
      <c r="A379" s="17"/>
      <c r="B379" s="17"/>
      <c r="C379" s="17"/>
      <c r="D379" s="17"/>
      <c r="E379"/>
      <c r="F379"/>
      <c r="H379"/>
      <c r="I379" s="548"/>
      <c r="J379" s="538"/>
      <c r="K379"/>
      <c r="L379"/>
      <c r="M379"/>
      <c r="N379"/>
      <c r="O379"/>
      <c r="P379"/>
      <c r="Q379"/>
      <c r="R379"/>
      <c r="S379"/>
    </row>
    <row r="380" spans="1:19">
      <c r="A380" s="48"/>
      <c r="B380" s="17"/>
      <c r="C380" s="17"/>
      <c r="D380" s="17"/>
      <c r="E380"/>
      <c r="F380"/>
      <c r="H380"/>
      <c r="I380" s="548"/>
      <c r="J380" s="538"/>
      <c r="K380"/>
      <c r="L380"/>
      <c r="M380"/>
      <c r="N380"/>
      <c r="O380"/>
      <c r="P380"/>
      <c r="Q380"/>
      <c r="R380"/>
      <c r="S380"/>
    </row>
    <row r="381" spans="1:19">
      <c r="A381" s="40"/>
      <c r="B381" s="17"/>
      <c r="C381" s="33"/>
      <c r="E381"/>
      <c r="F381"/>
      <c r="H381"/>
      <c r="I381" s="548"/>
      <c r="J381" s="538"/>
      <c r="K381"/>
      <c r="L381"/>
      <c r="M381"/>
      <c r="N381"/>
      <c r="O381"/>
      <c r="P381"/>
      <c r="Q381"/>
      <c r="R381"/>
      <c r="S381"/>
    </row>
    <row r="382" spans="1:19">
      <c r="A382" s="40"/>
      <c r="B382" s="17"/>
      <c r="C382" s="33"/>
      <c r="E382"/>
      <c r="F382"/>
      <c r="H382"/>
      <c r="I382" s="548"/>
      <c r="J382" s="538"/>
      <c r="K382"/>
      <c r="L382"/>
      <c r="M382"/>
      <c r="N382"/>
      <c r="O382"/>
      <c r="P382"/>
      <c r="Q382"/>
      <c r="R382"/>
      <c r="S382"/>
    </row>
    <row r="383" spans="1:19">
      <c r="A383" s="40"/>
      <c r="B383" s="17"/>
      <c r="C383" s="17"/>
      <c r="D383" s="33"/>
      <c r="E383"/>
      <c r="F383"/>
      <c r="H383"/>
      <c r="I383" s="548"/>
      <c r="J383" s="538"/>
      <c r="K383"/>
      <c r="L383"/>
      <c r="M383"/>
      <c r="N383"/>
      <c r="O383"/>
      <c r="P383"/>
      <c r="Q383"/>
      <c r="R383"/>
      <c r="S383"/>
    </row>
    <row r="384" spans="1:19">
      <c r="A384" s="40"/>
      <c r="B384" s="17"/>
      <c r="C384" s="17"/>
      <c r="D384" s="33"/>
      <c r="E384"/>
      <c r="F384"/>
      <c r="H384"/>
      <c r="I384" s="548"/>
      <c r="J384" s="538"/>
      <c r="K384"/>
      <c r="L384"/>
      <c r="M384"/>
      <c r="N384"/>
      <c r="O384"/>
      <c r="P384"/>
      <c r="Q384"/>
      <c r="R384"/>
      <c r="S384"/>
    </row>
    <row r="385" spans="1:19">
      <c r="A385" s="40"/>
      <c r="B385" s="17"/>
      <c r="C385" s="17"/>
      <c r="D385" s="20"/>
      <c r="E385"/>
      <c r="F385"/>
      <c r="H385"/>
      <c r="I385" s="548"/>
      <c r="J385" s="538"/>
      <c r="K385"/>
      <c r="L385"/>
      <c r="M385"/>
      <c r="N385"/>
      <c r="O385"/>
      <c r="P385"/>
      <c r="Q385"/>
      <c r="R385"/>
      <c r="S385"/>
    </row>
    <row r="386" spans="1:19">
      <c r="A386" s="40"/>
      <c r="B386" s="17"/>
      <c r="C386" s="17"/>
      <c r="D386" s="17"/>
      <c r="E386"/>
      <c r="F386"/>
      <c r="H386"/>
      <c r="I386" s="548"/>
      <c r="J386" s="538"/>
      <c r="K386"/>
      <c r="L386"/>
      <c r="M386"/>
      <c r="N386"/>
      <c r="O386"/>
      <c r="P386"/>
      <c r="Q386"/>
      <c r="R386"/>
      <c r="S386"/>
    </row>
    <row r="387" spans="1:19">
      <c r="A387" s="24"/>
      <c r="B387" s="17"/>
      <c r="C387" s="17"/>
      <c r="D387" s="17"/>
      <c r="E387" s="17"/>
      <c r="F387" s="20"/>
      <c r="G387" s="625"/>
      <c r="H387" s="5"/>
      <c r="I387" s="553"/>
      <c r="J387" s="543"/>
      <c r="K387" s="5"/>
      <c r="L387" s="5"/>
      <c r="M387" s="5"/>
      <c r="N387" s="5"/>
      <c r="O387" s="5"/>
      <c r="R387" s="26"/>
    </row>
    <row r="388" spans="1:19">
      <c r="A388" s="17"/>
      <c r="B388" s="17"/>
      <c r="C388" s="17"/>
      <c r="D388" s="17"/>
      <c r="E388" s="17"/>
      <c r="G388" s="608"/>
      <c r="H388" s="11"/>
      <c r="I388" s="550"/>
      <c r="J388" s="540"/>
      <c r="K388" s="11"/>
      <c r="L388" s="11"/>
      <c r="M388" s="11"/>
      <c r="N388" s="11"/>
      <c r="O388" s="11"/>
      <c r="R388" s="21"/>
    </row>
    <row r="390" spans="1:19">
      <c r="G390" s="19" t="s">
        <v>247</v>
      </c>
    </row>
  </sheetData>
  <sheetProtection algorithmName="SHA-512" hashValue="kmCBwQk2393er2fLDSHLs3XMCUqv0SJ/imVkt6eojsSRYy411+DMWse6Snc7SJqZ2u1CXNmkjgC+9MbcyrA9TA==" saltValue="yNpu+pYt1GaB3uBE43/hbQ==" spinCount="100000" sheet="1" objects="1" scenarios="1"/>
  <mergeCells count="20">
    <mergeCell ref="A1:D1"/>
    <mergeCell ref="E1:G1"/>
    <mergeCell ref="A2:D2"/>
    <mergeCell ref="E2:G2"/>
    <mergeCell ref="A3:D3"/>
    <mergeCell ref="E3:G3"/>
    <mergeCell ref="A354:D354"/>
    <mergeCell ref="A220:D220"/>
    <mergeCell ref="A293:D293"/>
    <mergeCell ref="A345:D345"/>
    <mergeCell ref="E4:G4"/>
    <mergeCell ref="A7:D7"/>
    <mergeCell ref="A31:D31"/>
    <mergeCell ref="A218:D218"/>
    <mergeCell ref="A4:D4"/>
    <mergeCell ref="A5:D5"/>
    <mergeCell ref="A6:D6"/>
    <mergeCell ref="E5:G5"/>
    <mergeCell ref="E6:G6"/>
    <mergeCell ref="E7:G7"/>
  </mergeCells>
  <dataValidations disablePrompts="1" count="6">
    <dataValidation allowBlank="1" showErrorMessage="1" prompt="_x000a__x000a_" sqref="R387:R388" xr:uid="{00000000-0002-0000-0300-000000000000}"/>
    <dataValidation allowBlank="1" showErrorMessage="1" sqref="F387:O387 H29:O32 G30:G32" xr:uid="{00000000-0002-0000-0300-000001000000}"/>
    <dataValidation type="whole" allowBlank="1" showErrorMessage="1" error="Amount must be rounded to the nearest dollar._x000a_" prompt="_x000a__x000a_" sqref="J11:J15 J54 J18:J19" xr:uid="{00000000-0002-0000-0300-000002000000}">
      <formula1>-999999999999999</formula1>
      <formula2>99999999999999900000</formula2>
    </dataValidation>
    <dataValidation type="whole" allowBlank="1" showErrorMessage="1" prompt="_x000a__x000a_" sqref="J16:J17" xr:uid="{00000000-0002-0000-0300-000003000000}">
      <formula1>0</formula1>
      <formula2>9999999999999990</formula2>
    </dataValidation>
    <dataValidation type="date" allowBlank="1" showErrorMessage="1" error="Please enter a date between 05/02/06 and 12/15/06_x000a_" sqref="H6:I6 L6:O6" xr:uid="{00000000-0002-0000-0300-000004000000}">
      <formula1>38839</formula1>
      <formula2>39066</formula2>
    </dataValidation>
    <dataValidation allowBlank="1" sqref="H3:I5 L3:O5 J3:K4" xr:uid="{00000000-0002-0000-0300-000005000000}"/>
  </dataValidations>
  <pageMargins left="0.69" right="0.2" top="0.65" bottom="0.47" header="0.3" footer="0.24"/>
  <pageSetup scale="63" orientation="landscape" cellComments="asDisplayed" r:id="rId1"/>
  <headerFooter>
    <oddHeader>&amp;C&amp;"Times New Roman,Bold"Attachment 11
Internal Service Fund Financial Statement Template
&amp;A</oddHeader>
    <oddFooter>&amp;L&amp;"Times New Roman,Regular"&amp;F \ &amp;A&amp;R&amp;"Times New Roman,Regular" Page &amp;P of &amp;N</oddFooter>
  </headerFooter>
  <rowBreaks count="3" manualBreakCount="3">
    <brk id="96" max="7" man="1"/>
    <brk id="219" max="7" man="1"/>
    <brk id="294"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213"/>
  <sheetViews>
    <sheetView showGridLines="0" topLeftCell="A50" zoomScaleNormal="100" workbookViewId="0">
      <selection activeCell="C51" sqref="C51"/>
    </sheetView>
  </sheetViews>
  <sheetFormatPr defaultColWidth="8.88671875" defaultRowHeight="13.2"/>
  <cols>
    <col min="1" max="1" width="9.44140625" style="11" customWidth="1"/>
    <col min="2" max="2" width="20.6640625" style="11" customWidth="1"/>
    <col min="3" max="3" width="18.5546875" style="207" customWidth="1"/>
    <col min="4" max="4" width="18.6640625" style="92" customWidth="1"/>
    <col min="5" max="5" width="36.6640625" style="11" customWidth="1"/>
    <col min="6" max="6" width="24.6640625" style="11" customWidth="1"/>
    <col min="7" max="7" width="30.6640625" style="11" customWidth="1"/>
    <col min="8" max="9" width="25.6640625" style="11" customWidth="1"/>
    <col min="10" max="10" width="8.88671875" style="11" customWidth="1"/>
    <col min="11" max="16384" width="8.88671875" style="11"/>
  </cols>
  <sheetData>
    <row r="1" spans="1:9">
      <c r="A1" s="1124" t="s">
        <v>562</v>
      </c>
      <c r="B1" s="1125"/>
      <c r="C1" s="1126"/>
      <c r="D1" s="1133" t="str">
        <f>'Internal Service Template'!E1</f>
        <v/>
      </c>
      <c r="E1" s="1134"/>
      <c r="F1" s="1134"/>
    </row>
    <row r="2" spans="1:9">
      <c r="A2" s="1124" t="s">
        <v>177</v>
      </c>
      <c r="B2" s="1125"/>
      <c r="C2" s="1126"/>
      <c r="D2" s="1133" t="str">
        <f>IF('Internal Service Template'!E2="","",'Internal Service Template'!E2)</f>
        <v/>
      </c>
      <c r="E2" s="1134"/>
      <c r="F2" s="1134"/>
    </row>
    <row r="3" spans="1:9">
      <c r="A3" s="1124" t="s">
        <v>586</v>
      </c>
      <c r="B3" s="1125"/>
      <c r="C3" s="1126"/>
      <c r="D3" s="1142" t="str">
        <f>IF('Internal Service Template'!E3="","",'Internal Service Template'!E3)</f>
        <v/>
      </c>
      <c r="E3" s="1143"/>
      <c r="F3" s="1143"/>
    </row>
    <row r="4" spans="1:9">
      <c r="A4" s="1124" t="s">
        <v>587</v>
      </c>
      <c r="B4" s="1125"/>
      <c r="C4" s="1126"/>
      <c r="D4" s="1127" t="str">
        <f>IF('Internal Service Template'!E4="","",'Internal Service Template'!E4)</f>
        <v/>
      </c>
      <c r="E4" s="1128"/>
      <c r="F4" s="1128"/>
    </row>
    <row r="5" spans="1:9">
      <c r="A5" s="1124" t="s">
        <v>2770</v>
      </c>
      <c r="B5" s="1125"/>
      <c r="C5" s="1126"/>
      <c r="D5" s="1129" t="str">
        <f>IF('Internal Service Template'!E5="","",'Internal Service Template'!E5)</f>
        <v/>
      </c>
      <c r="E5" s="1130"/>
      <c r="F5" s="1130"/>
    </row>
    <row r="6" spans="1:9">
      <c r="A6" s="1124" t="s">
        <v>588</v>
      </c>
      <c r="B6" s="1125"/>
      <c r="C6" s="1126"/>
      <c r="D6" s="1131" t="str">
        <f>IF('Internal Service Template'!E6="","",'Internal Service Template'!E6)</f>
        <v/>
      </c>
      <c r="E6" s="1132"/>
      <c r="F6" s="1132"/>
    </row>
    <row r="7" spans="1:9">
      <c r="A7" s="1124" t="s">
        <v>93</v>
      </c>
      <c r="B7" s="1125"/>
      <c r="C7" s="1126"/>
      <c r="D7" s="1133" t="str">
        <f>'Internal Service Template'!E7</f>
        <v/>
      </c>
      <c r="E7" s="1134"/>
      <c r="F7" s="1134"/>
    </row>
    <row r="8" spans="1:9">
      <c r="A8" s="13"/>
      <c r="B8" s="13"/>
      <c r="C8" s="1135"/>
      <c r="D8" s="1136"/>
      <c r="E8" s="1136"/>
      <c r="F8" s="1136"/>
      <c r="G8" s="1136"/>
      <c r="H8" s="92"/>
    </row>
    <row r="9" spans="1:9">
      <c r="A9" s="86"/>
      <c r="B9" s="85"/>
      <c r="C9" s="303"/>
      <c r="D9" s="303"/>
      <c r="E9" s="303"/>
      <c r="F9" s="303"/>
      <c r="G9" s="303"/>
      <c r="H9" s="92"/>
    </row>
    <row r="10" spans="1:9">
      <c r="A10" s="94" t="s">
        <v>667</v>
      </c>
      <c r="B10" s="11" t="s">
        <v>2602</v>
      </c>
      <c r="H10" s="304">
        <f>'Internal Service Template'!O40</f>
        <v>0</v>
      </c>
    </row>
    <row r="11" spans="1:9">
      <c r="A11" s="94"/>
      <c r="B11" s="11" t="s">
        <v>94</v>
      </c>
      <c r="G11" s="75"/>
      <c r="H11" s="559" t="str">
        <f>IF(H10&lt;0,"Answer Required","")</f>
        <v/>
      </c>
    </row>
    <row r="12" spans="1:9">
      <c r="A12" s="94"/>
      <c r="H12" s="305"/>
    </row>
    <row r="13" spans="1:9">
      <c r="A13" s="94" t="s">
        <v>668</v>
      </c>
      <c r="B13" s="11" t="s">
        <v>95</v>
      </c>
    </row>
    <row r="14" spans="1:9">
      <c r="A14" s="94"/>
      <c r="B14" s="11" t="s">
        <v>669</v>
      </c>
      <c r="H14" s="306">
        <f>'Internal Service Template'!O41</f>
        <v>0</v>
      </c>
    </row>
    <row r="15" spans="1:9" ht="13.8">
      <c r="A15" s="94"/>
      <c r="B15" s="11" t="s">
        <v>456</v>
      </c>
      <c r="G15" s="466"/>
      <c r="H15" s="307"/>
      <c r="I15" s="178" t="str">
        <f>IF(AND(H14&lt;&gt;0,H15=""),"Answer Required","")</f>
        <v/>
      </c>
    </row>
    <row r="16" spans="1:9">
      <c r="A16" s="94"/>
      <c r="B16" s="11" t="s">
        <v>425</v>
      </c>
      <c r="H16" s="559" t="str">
        <f>IF(H14&lt;0,"Answer Required","")</f>
        <v/>
      </c>
    </row>
    <row r="17" spans="1:9">
      <c r="A17" s="94"/>
      <c r="H17" s="75"/>
    </row>
    <row r="18" spans="1:9">
      <c r="A18" s="94" t="s">
        <v>0</v>
      </c>
      <c r="B18" s="11" t="s">
        <v>1</v>
      </c>
      <c r="G18" s="75"/>
      <c r="H18" s="308"/>
    </row>
    <row r="19" spans="1:9">
      <c r="A19" s="94"/>
      <c r="B19" s="11" t="s">
        <v>851</v>
      </c>
      <c r="G19" s="75"/>
      <c r="H19" s="308"/>
    </row>
    <row r="20" spans="1:9">
      <c r="A20" s="94"/>
      <c r="B20" s="11" t="s">
        <v>874</v>
      </c>
      <c r="G20" s="75"/>
      <c r="H20" s="307"/>
    </row>
    <row r="21" spans="1:9">
      <c r="A21" s="94"/>
      <c r="B21" s="11" t="s">
        <v>875</v>
      </c>
      <c r="G21" s="75"/>
      <c r="H21" s="307"/>
    </row>
    <row r="22" spans="1:9">
      <c r="A22" s="94"/>
      <c r="B22" s="11" t="s">
        <v>852</v>
      </c>
      <c r="G22" s="75"/>
      <c r="H22" s="309">
        <f>H20+H21</f>
        <v>0</v>
      </c>
    </row>
    <row r="23" spans="1:9">
      <c r="A23" s="94"/>
      <c r="B23" s="11" t="s">
        <v>2771</v>
      </c>
      <c r="G23" s="75"/>
      <c r="H23" s="307"/>
    </row>
    <row r="24" spans="1:9">
      <c r="A24" s="94"/>
      <c r="G24" s="75"/>
      <c r="H24" s="308"/>
    </row>
    <row r="25" spans="1:9">
      <c r="A25" s="94" t="s">
        <v>2</v>
      </c>
      <c r="B25" s="11" t="s">
        <v>2772</v>
      </c>
      <c r="G25" s="75"/>
      <c r="H25" s="310">
        <f>IFERROR(H15+H23,)</f>
        <v>0</v>
      </c>
    </row>
    <row r="26" spans="1:9">
      <c r="A26" s="94"/>
    </row>
    <row r="27" spans="1:9">
      <c r="A27" s="94" t="s">
        <v>670</v>
      </c>
      <c r="B27" s="11" t="s">
        <v>867</v>
      </c>
      <c r="H27" s="205" t="s">
        <v>320</v>
      </c>
    </row>
    <row r="28" spans="1:9" ht="13.8">
      <c r="A28" s="94"/>
      <c r="B28" s="11" t="s">
        <v>2773</v>
      </c>
      <c r="H28" s="307"/>
      <c r="I28" s="178" t="str">
        <f>IF(AND(H25&gt;0,H28=""),"Answer Required","")</f>
        <v/>
      </c>
    </row>
    <row r="29" spans="1:9">
      <c r="A29" s="94"/>
      <c r="E29" s="189"/>
      <c r="F29" s="189"/>
      <c r="G29" s="189"/>
    </row>
    <row r="30" spans="1:9">
      <c r="A30" s="311"/>
      <c r="B30" s="93" t="s">
        <v>2762</v>
      </c>
      <c r="C30" s="68"/>
      <c r="D30" s="68"/>
      <c r="E30" s="189"/>
      <c r="F30" s="189"/>
      <c r="G30" s="189"/>
      <c r="H30" s="307"/>
    </row>
    <row r="31" spans="1:9">
      <c r="A31" s="94"/>
    </row>
    <row r="32" spans="1:9">
      <c r="A32" s="94"/>
      <c r="B32" s="11" t="s">
        <v>2763</v>
      </c>
      <c r="C32" s="11"/>
      <c r="D32" s="11"/>
      <c r="F32" s="205"/>
    </row>
    <row r="33" spans="1:9">
      <c r="A33" s="94"/>
      <c r="B33" s="11" t="s">
        <v>2764</v>
      </c>
      <c r="C33" s="11"/>
      <c r="D33" s="11"/>
      <c r="F33" s="205"/>
      <c r="I33" s="205"/>
    </row>
    <row r="34" spans="1:9">
      <c r="A34" s="94"/>
      <c r="B34" s="11" t="s">
        <v>420</v>
      </c>
      <c r="C34" s="11"/>
      <c r="D34" s="11"/>
      <c r="H34" s="307"/>
      <c r="I34" s="305"/>
    </row>
    <row r="35" spans="1:9">
      <c r="A35" s="94"/>
      <c r="B35" s="11" t="s">
        <v>38</v>
      </c>
      <c r="C35" s="11"/>
      <c r="D35" s="11"/>
      <c r="H35" s="307"/>
      <c r="I35" s="305"/>
    </row>
    <row r="36" spans="1:9">
      <c r="A36" s="94"/>
      <c r="B36" s="11" t="s">
        <v>606</v>
      </c>
      <c r="C36" s="11"/>
      <c r="D36" s="11"/>
      <c r="H36" s="307"/>
      <c r="I36" s="305"/>
    </row>
    <row r="37" spans="1:9">
      <c r="A37" s="94"/>
      <c r="B37" s="11" t="s">
        <v>19</v>
      </c>
      <c r="C37" s="11"/>
      <c r="D37" s="11"/>
    </row>
    <row r="38" spans="1:9">
      <c r="A38" s="94"/>
      <c r="H38" s="312"/>
    </row>
    <row r="39" spans="1:9" ht="13.8" thickBot="1">
      <c r="A39" s="94"/>
      <c r="B39" s="11" t="s">
        <v>2581</v>
      </c>
      <c r="H39" s="313">
        <f>IF((H28+H30+H34+H35+H36)=H25,H28+H30+H34+H35+H36,"ERROR")</f>
        <v>0</v>
      </c>
    </row>
    <row r="40" spans="1:9" ht="13.8" thickTop="1">
      <c r="A40" s="94"/>
      <c r="G40" s="166" t="s">
        <v>44</v>
      </c>
      <c r="H40" s="314">
        <f>SUM(H28+H30+H34+H35+H36)-H25</f>
        <v>0</v>
      </c>
    </row>
    <row r="41" spans="1:9">
      <c r="A41" s="94"/>
      <c r="B41" s="11" t="s">
        <v>505</v>
      </c>
      <c r="H41" s="3" t="str">
        <f>IF(H28&gt;250000,"Answer Required","N/A")</f>
        <v>N/A</v>
      </c>
    </row>
    <row r="42" spans="1:9">
      <c r="A42" s="94"/>
    </row>
    <row r="43" spans="1:9">
      <c r="A43" s="94" t="s">
        <v>506</v>
      </c>
      <c r="B43" s="11" t="s">
        <v>2714</v>
      </c>
    </row>
    <row r="44" spans="1:9">
      <c r="A44" s="94" t="s">
        <v>115</v>
      </c>
      <c r="B44" s="92" t="s">
        <v>2715</v>
      </c>
    </row>
    <row r="45" spans="1:9">
      <c r="A45" s="94" t="s">
        <v>662</v>
      </c>
    </row>
    <row r="46" spans="1:9" hidden="1">
      <c r="A46" s="94"/>
      <c r="H46" s="207"/>
    </row>
    <row r="47" spans="1:9" hidden="1">
      <c r="A47" s="94"/>
    </row>
    <row r="48" spans="1:9" hidden="1">
      <c r="A48" s="94"/>
      <c r="B48" s="205"/>
      <c r="C48" s="13"/>
      <c r="D48" s="13"/>
      <c r="E48" s="13"/>
      <c r="F48" s="13"/>
      <c r="G48" s="13"/>
      <c r="H48" s="205"/>
    </row>
    <row r="49" spans="1:9" ht="30.75" customHeight="1">
      <c r="A49" s="94"/>
      <c r="B49" s="205"/>
      <c r="C49" s="205"/>
      <c r="D49" s="205"/>
      <c r="E49" s="205"/>
      <c r="F49" s="1137" t="s">
        <v>2711</v>
      </c>
      <c r="G49" s="1138"/>
      <c r="H49" s="205"/>
    </row>
    <row r="50" spans="1:9" ht="45.75" customHeight="1">
      <c r="A50" s="94"/>
      <c r="B50" s="146" t="s">
        <v>2776</v>
      </c>
      <c r="C50" s="73" t="s">
        <v>2724</v>
      </c>
      <c r="D50" s="73" t="s">
        <v>889</v>
      </c>
      <c r="E50" s="73" t="s">
        <v>896</v>
      </c>
      <c r="F50" s="73" t="s">
        <v>2712</v>
      </c>
      <c r="G50" s="73" t="s">
        <v>2713</v>
      </c>
      <c r="H50" s="146" t="s">
        <v>2725</v>
      </c>
      <c r="I50" s="337" t="s">
        <v>63</v>
      </c>
    </row>
    <row r="51" spans="1:9">
      <c r="A51" s="94"/>
      <c r="B51" s="315"/>
      <c r="C51" s="316"/>
      <c r="D51" s="316"/>
      <c r="E51" s="317" t="str">
        <f>IF(D51="","",IFERROR(VLOOKUP(D51,'Fund Vlookup'!B:C,2,FALSE),"Verify fund number and Contact DOA"))</f>
        <v/>
      </c>
      <c r="F51" s="335"/>
      <c r="G51" s="335"/>
      <c r="H51" s="316" t="str">
        <f>IF(OR(F51&lt;&gt;"",G51&lt;&gt;""),"Answer Required","")</f>
        <v/>
      </c>
      <c r="I51" s="336" t="str">
        <f>IF(H51="","",IF(H51="No", "Answer Required","N/A"))</f>
        <v/>
      </c>
    </row>
    <row r="52" spans="1:9">
      <c r="A52" s="94"/>
      <c r="B52" s="315"/>
      <c r="C52" s="316"/>
      <c r="D52" s="316"/>
      <c r="E52" s="317" t="str">
        <f>IF(D52="","",IFERROR(VLOOKUP(D52,'Fund Vlookup'!B:C,2,FALSE),"Verify fund number and Contact DOA"))</f>
        <v/>
      </c>
      <c r="F52" s="307"/>
      <c r="G52" s="307"/>
      <c r="H52" s="12" t="str">
        <f t="shared" ref="H52:H83" si="0">IF(OR(F52&lt;&gt;"",G52&lt;&gt;""),"Answer Required","")</f>
        <v/>
      </c>
      <c r="I52" s="318" t="str">
        <f t="shared" ref="I52:I83" si="1">IF(H52="","",IF(H52="No", "Answer Required","N/A"))</f>
        <v/>
      </c>
    </row>
    <row r="53" spans="1:9">
      <c r="A53" s="94"/>
      <c r="B53" s="315"/>
      <c r="C53" s="316"/>
      <c r="D53" s="316"/>
      <c r="E53" s="317" t="str">
        <f>IF(D53="","",IFERROR(VLOOKUP(D53,'Fund Vlookup'!B:C,2,FALSE),"Verify fund number and Contact DOA"))</f>
        <v/>
      </c>
      <c r="F53" s="307"/>
      <c r="G53" s="307"/>
      <c r="H53" s="12" t="str">
        <f t="shared" si="0"/>
        <v/>
      </c>
      <c r="I53" s="318" t="str">
        <f t="shared" si="1"/>
        <v/>
      </c>
    </row>
    <row r="54" spans="1:9">
      <c r="A54" s="94"/>
      <c r="B54" s="315"/>
      <c r="C54" s="316"/>
      <c r="D54" s="316"/>
      <c r="E54" s="317" t="str">
        <f>IF(D54="","",IFERROR(VLOOKUP(D54,'Fund Vlookup'!B:C,2,FALSE),"Verify fund number and Contact DOA"))</f>
        <v/>
      </c>
      <c r="F54" s="307"/>
      <c r="G54" s="307"/>
      <c r="H54" s="12" t="str">
        <f t="shared" si="0"/>
        <v/>
      </c>
      <c r="I54" s="318" t="str">
        <f t="shared" si="1"/>
        <v/>
      </c>
    </row>
    <row r="55" spans="1:9">
      <c r="A55" s="94"/>
      <c r="B55" s="315"/>
      <c r="C55" s="316"/>
      <c r="D55" s="316"/>
      <c r="E55" s="317" t="str">
        <f>IF(D55="","",IFERROR(VLOOKUP(D55,'Fund Vlookup'!B:C,2,FALSE),"Verify fund number and Contact DOA"))</f>
        <v/>
      </c>
      <c r="F55" s="307"/>
      <c r="G55" s="307"/>
      <c r="H55" s="12" t="str">
        <f t="shared" si="0"/>
        <v/>
      </c>
      <c r="I55" s="318" t="str">
        <f t="shared" si="1"/>
        <v/>
      </c>
    </row>
    <row r="56" spans="1:9">
      <c r="A56" s="94"/>
      <c r="B56" s="315"/>
      <c r="C56" s="316"/>
      <c r="D56" s="316"/>
      <c r="E56" s="317" t="str">
        <f>IF(D56="","",IFERROR(VLOOKUP(D56,'Fund Vlookup'!B:C,2,FALSE),"Verify fund number and Contact DOA"))</f>
        <v/>
      </c>
      <c r="F56" s="307"/>
      <c r="G56" s="307"/>
      <c r="H56" s="12" t="str">
        <f t="shared" si="0"/>
        <v/>
      </c>
      <c r="I56" s="318" t="str">
        <f t="shared" si="1"/>
        <v/>
      </c>
    </row>
    <row r="57" spans="1:9">
      <c r="A57" s="94"/>
      <c r="B57" s="315"/>
      <c r="C57" s="316"/>
      <c r="D57" s="316"/>
      <c r="E57" s="317" t="str">
        <f>IF(D57="","",IFERROR(VLOOKUP(D57,'Fund Vlookup'!B:C,2,FALSE),"Verify fund number and Contact DOA"))</f>
        <v/>
      </c>
      <c r="F57" s="307"/>
      <c r="G57" s="307"/>
      <c r="H57" s="12" t="str">
        <f t="shared" si="0"/>
        <v/>
      </c>
      <c r="I57" s="318" t="str">
        <f t="shared" si="1"/>
        <v/>
      </c>
    </row>
    <row r="58" spans="1:9">
      <c r="A58" s="94"/>
      <c r="B58" s="315"/>
      <c r="C58" s="316"/>
      <c r="D58" s="316"/>
      <c r="E58" s="317" t="str">
        <f>IF(D58="","",IFERROR(VLOOKUP(D58,'Fund Vlookup'!B:C,2,FALSE),"Verify fund number and Contact DOA"))</f>
        <v/>
      </c>
      <c r="F58" s="307"/>
      <c r="G58" s="307"/>
      <c r="H58" s="12" t="str">
        <f t="shared" si="0"/>
        <v/>
      </c>
      <c r="I58" s="318" t="str">
        <f t="shared" si="1"/>
        <v/>
      </c>
    </row>
    <row r="59" spans="1:9">
      <c r="A59" s="94"/>
      <c r="B59" s="315"/>
      <c r="C59" s="316"/>
      <c r="D59" s="316"/>
      <c r="E59" s="317" t="str">
        <f>IF(D59="","",IFERROR(VLOOKUP(D59,'Fund Vlookup'!B:C,2,FALSE),"Verify fund number and Contact DOA"))</f>
        <v/>
      </c>
      <c r="F59" s="307"/>
      <c r="G59" s="307"/>
      <c r="H59" s="12" t="str">
        <f t="shared" si="0"/>
        <v/>
      </c>
      <c r="I59" s="318" t="str">
        <f t="shared" si="1"/>
        <v/>
      </c>
    </row>
    <row r="60" spans="1:9">
      <c r="A60" s="94"/>
      <c r="B60" s="315"/>
      <c r="C60" s="316"/>
      <c r="D60" s="316"/>
      <c r="E60" s="317" t="str">
        <f>IF(D60="","",IFERROR(VLOOKUP(D60,'Fund Vlookup'!B:C,2,FALSE),"Verify fund number and Contact DOA"))</f>
        <v/>
      </c>
      <c r="F60" s="307"/>
      <c r="G60" s="307"/>
      <c r="H60" s="12" t="str">
        <f t="shared" si="0"/>
        <v/>
      </c>
      <c r="I60" s="318" t="str">
        <f t="shared" si="1"/>
        <v/>
      </c>
    </row>
    <row r="61" spans="1:9">
      <c r="A61" s="94"/>
      <c r="B61" s="315"/>
      <c r="C61" s="316"/>
      <c r="D61" s="316"/>
      <c r="E61" s="317" t="str">
        <f>IF(D61="","",IFERROR(VLOOKUP(D61,'Fund Vlookup'!B:C,2,FALSE),"Verify fund number and Contact DOA"))</f>
        <v/>
      </c>
      <c r="F61" s="307"/>
      <c r="G61" s="307"/>
      <c r="H61" s="12" t="str">
        <f t="shared" si="0"/>
        <v/>
      </c>
      <c r="I61" s="318" t="str">
        <f t="shared" si="1"/>
        <v/>
      </c>
    </row>
    <row r="62" spans="1:9">
      <c r="A62" s="94"/>
      <c r="B62" s="315"/>
      <c r="C62" s="316"/>
      <c r="D62" s="316"/>
      <c r="E62" s="317" t="str">
        <f>IF(D62="","",IFERROR(VLOOKUP(D62,'Fund Vlookup'!B:C,2,FALSE),"Verify fund number and Contact DOA"))</f>
        <v/>
      </c>
      <c r="F62" s="307"/>
      <c r="G62" s="307"/>
      <c r="H62" s="12" t="str">
        <f t="shared" si="0"/>
        <v/>
      </c>
      <c r="I62" s="318" t="str">
        <f t="shared" si="1"/>
        <v/>
      </c>
    </row>
    <row r="63" spans="1:9">
      <c r="A63" s="94"/>
      <c r="B63" s="315"/>
      <c r="C63" s="316"/>
      <c r="D63" s="316"/>
      <c r="E63" s="317" t="str">
        <f>IF(D63="","",IFERROR(VLOOKUP(D63,'Fund Vlookup'!B:C,2,FALSE),"Verify fund number and Contact DOA"))</f>
        <v/>
      </c>
      <c r="F63" s="307"/>
      <c r="G63" s="307"/>
      <c r="H63" s="12" t="str">
        <f t="shared" si="0"/>
        <v/>
      </c>
      <c r="I63" s="318" t="str">
        <f t="shared" si="1"/>
        <v/>
      </c>
    </row>
    <row r="64" spans="1:9">
      <c r="A64" s="94"/>
      <c r="B64" s="315"/>
      <c r="C64" s="316"/>
      <c r="D64" s="316"/>
      <c r="E64" s="317" t="str">
        <f>IF(D64="","",IFERROR(VLOOKUP(D64,'Fund Vlookup'!B:C,2,FALSE),"Verify fund number and Contact DOA"))</f>
        <v/>
      </c>
      <c r="F64" s="307"/>
      <c r="G64" s="307"/>
      <c r="H64" s="12" t="str">
        <f t="shared" si="0"/>
        <v/>
      </c>
      <c r="I64" s="318" t="str">
        <f t="shared" si="1"/>
        <v/>
      </c>
    </row>
    <row r="65" spans="1:9">
      <c r="A65" s="94"/>
      <c r="B65" s="315"/>
      <c r="C65" s="316"/>
      <c r="D65" s="316"/>
      <c r="E65" s="317" t="str">
        <f>IF(D65="","",IFERROR(VLOOKUP(D65,'Fund Vlookup'!B:C,2,FALSE),"Verify fund number and Contact DOA"))</f>
        <v/>
      </c>
      <c r="F65" s="307"/>
      <c r="G65" s="307"/>
      <c r="H65" s="12" t="str">
        <f t="shared" si="0"/>
        <v/>
      </c>
      <c r="I65" s="318" t="str">
        <f t="shared" si="1"/>
        <v/>
      </c>
    </row>
    <row r="66" spans="1:9">
      <c r="A66" s="94"/>
      <c r="B66" s="315"/>
      <c r="C66" s="316"/>
      <c r="D66" s="316"/>
      <c r="E66" s="317" t="str">
        <f>IF(D66="","",IFERROR(VLOOKUP(D66,'Fund Vlookup'!B:C,2,FALSE),"Verify fund number and Contact DOA"))</f>
        <v/>
      </c>
      <c r="F66" s="307"/>
      <c r="G66" s="307"/>
      <c r="H66" s="12" t="str">
        <f t="shared" si="0"/>
        <v/>
      </c>
      <c r="I66" s="318" t="str">
        <f t="shared" si="1"/>
        <v/>
      </c>
    </row>
    <row r="67" spans="1:9">
      <c r="A67" s="94"/>
      <c r="B67" s="315"/>
      <c r="C67" s="316"/>
      <c r="D67" s="316"/>
      <c r="E67" s="317" t="str">
        <f>IF(D67="","",IFERROR(VLOOKUP(D67,'Fund Vlookup'!B:C,2,FALSE),"Verify fund number and Contact DOA"))</f>
        <v/>
      </c>
      <c r="F67" s="307"/>
      <c r="G67" s="307"/>
      <c r="H67" s="12" t="str">
        <f t="shared" si="0"/>
        <v/>
      </c>
      <c r="I67" s="318" t="str">
        <f t="shared" si="1"/>
        <v/>
      </c>
    </row>
    <row r="68" spans="1:9">
      <c r="A68" s="94"/>
      <c r="B68" s="315"/>
      <c r="C68" s="316"/>
      <c r="D68" s="316"/>
      <c r="E68" s="317" t="str">
        <f>IF(D68="","",IFERROR(VLOOKUP(D68,'Fund Vlookup'!B:C,2,FALSE),"Verify fund number and Contact DOA"))</f>
        <v/>
      </c>
      <c r="F68" s="307"/>
      <c r="G68" s="307"/>
      <c r="H68" s="12" t="str">
        <f t="shared" si="0"/>
        <v/>
      </c>
      <c r="I68" s="318" t="str">
        <f t="shared" si="1"/>
        <v/>
      </c>
    </row>
    <row r="69" spans="1:9">
      <c r="A69" s="94"/>
      <c r="B69" s="315"/>
      <c r="C69" s="316"/>
      <c r="D69" s="316"/>
      <c r="E69" s="317" t="str">
        <f>IF(D69="","",IFERROR(VLOOKUP(D69,'Fund Vlookup'!B:C,2,FALSE),"Verify fund number and Contact DOA"))</f>
        <v/>
      </c>
      <c r="F69" s="307"/>
      <c r="G69" s="307"/>
      <c r="H69" s="12" t="str">
        <f t="shared" si="0"/>
        <v/>
      </c>
      <c r="I69" s="318" t="str">
        <f t="shared" si="1"/>
        <v/>
      </c>
    </row>
    <row r="70" spans="1:9">
      <c r="A70" s="94"/>
      <c r="B70" s="315"/>
      <c r="C70" s="316"/>
      <c r="D70" s="316"/>
      <c r="E70" s="317" t="str">
        <f>IF(D70="","",IFERROR(VLOOKUP(D70,'Fund Vlookup'!B:C,2,FALSE),"Verify fund number and Contact DOA"))</f>
        <v/>
      </c>
      <c r="F70" s="307"/>
      <c r="G70" s="307"/>
      <c r="H70" s="12" t="str">
        <f t="shared" si="0"/>
        <v/>
      </c>
      <c r="I70" s="318" t="str">
        <f t="shared" si="1"/>
        <v/>
      </c>
    </row>
    <row r="71" spans="1:9">
      <c r="A71" s="94"/>
      <c r="B71" s="315"/>
      <c r="C71" s="316"/>
      <c r="D71" s="316"/>
      <c r="E71" s="317" t="str">
        <f>IF(D71="","",IFERROR(VLOOKUP(D71,'Fund Vlookup'!B:C,2,FALSE),"Verify fund number and Contact DOA"))</f>
        <v/>
      </c>
      <c r="F71" s="307"/>
      <c r="G71" s="307"/>
      <c r="H71" s="12" t="str">
        <f t="shared" si="0"/>
        <v/>
      </c>
      <c r="I71" s="318" t="str">
        <f t="shared" si="1"/>
        <v/>
      </c>
    </row>
    <row r="72" spans="1:9">
      <c r="A72" s="94"/>
      <c r="B72" s="315"/>
      <c r="C72" s="316"/>
      <c r="D72" s="316"/>
      <c r="E72" s="317" t="str">
        <f>IF(D72="","",IFERROR(VLOOKUP(D72,'Fund Vlookup'!B:C,2,FALSE),"Verify fund number and Contact DOA"))</f>
        <v/>
      </c>
      <c r="F72" s="307"/>
      <c r="G72" s="307"/>
      <c r="H72" s="12" t="str">
        <f t="shared" si="0"/>
        <v/>
      </c>
      <c r="I72" s="318" t="str">
        <f t="shared" si="1"/>
        <v/>
      </c>
    </row>
    <row r="73" spans="1:9">
      <c r="A73" s="94"/>
      <c r="B73" s="315"/>
      <c r="C73" s="316"/>
      <c r="D73" s="316"/>
      <c r="E73" s="317" t="str">
        <f>IF(D73="","",IFERROR(VLOOKUP(D73,'Fund Vlookup'!B:C,2,FALSE),"Verify fund number and Contact DOA"))</f>
        <v/>
      </c>
      <c r="F73" s="307"/>
      <c r="G73" s="307"/>
      <c r="H73" s="12" t="str">
        <f t="shared" si="0"/>
        <v/>
      </c>
      <c r="I73" s="318" t="str">
        <f t="shared" si="1"/>
        <v/>
      </c>
    </row>
    <row r="74" spans="1:9">
      <c r="A74" s="94"/>
      <c r="B74" s="315"/>
      <c r="C74" s="316"/>
      <c r="D74" s="316"/>
      <c r="E74" s="317" t="str">
        <f>IF(D74="","",IFERROR(VLOOKUP(D74,'Fund Vlookup'!B:C,2,FALSE),"Verify fund number and Contact DOA"))</f>
        <v/>
      </c>
      <c r="F74" s="307"/>
      <c r="G74" s="307"/>
      <c r="H74" s="12" t="str">
        <f t="shared" si="0"/>
        <v/>
      </c>
      <c r="I74" s="318" t="str">
        <f t="shared" si="1"/>
        <v/>
      </c>
    </row>
    <row r="75" spans="1:9">
      <c r="A75" s="94"/>
      <c r="B75" s="315"/>
      <c r="C75" s="316"/>
      <c r="D75" s="316"/>
      <c r="E75" s="317" t="str">
        <f>IF(D75="","",IFERROR(VLOOKUP(D75,'Fund Vlookup'!B:C,2,FALSE),"Verify fund number and Contact DOA"))</f>
        <v/>
      </c>
      <c r="F75" s="307"/>
      <c r="G75" s="307"/>
      <c r="H75" s="12" t="str">
        <f t="shared" si="0"/>
        <v/>
      </c>
      <c r="I75" s="318" t="str">
        <f t="shared" si="1"/>
        <v/>
      </c>
    </row>
    <row r="76" spans="1:9">
      <c r="A76" s="94"/>
      <c r="B76" s="315"/>
      <c r="C76" s="316"/>
      <c r="D76" s="316"/>
      <c r="E76" s="317" t="str">
        <f>IF(D76="","",IFERROR(VLOOKUP(D76,'Fund Vlookup'!B:C,2,FALSE),"Verify fund number and Contact DOA"))</f>
        <v/>
      </c>
      <c r="F76" s="307"/>
      <c r="G76" s="307"/>
      <c r="H76" s="12" t="str">
        <f t="shared" si="0"/>
        <v/>
      </c>
      <c r="I76" s="318" t="str">
        <f t="shared" si="1"/>
        <v/>
      </c>
    </row>
    <row r="77" spans="1:9">
      <c r="A77" s="94"/>
      <c r="B77" s="315"/>
      <c r="C77" s="316"/>
      <c r="D77" s="316"/>
      <c r="E77" s="317" t="str">
        <f>IF(D77="","",IFERROR(VLOOKUP(D77,'Fund Vlookup'!B:C,2,FALSE),"Verify fund number and Contact DOA"))</f>
        <v/>
      </c>
      <c r="F77" s="307"/>
      <c r="G77" s="307"/>
      <c r="H77" s="12" t="str">
        <f t="shared" si="0"/>
        <v/>
      </c>
      <c r="I77" s="318" t="str">
        <f t="shared" si="1"/>
        <v/>
      </c>
    </row>
    <row r="78" spans="1:9">
      <c r="A78" s="94"/>
      <c r="B78" s="315"/>
      <c r="C78" s="316"/>
      <c r="D78" s="316"/>
      <c r="E78" s="317" t="str">
        <f>IF(D78="","",IFERROR(VLOOKUP(D78,'Fund Vlookup'!B:C,2,FALSE),"Verify fund number and Contact DOA"))</f>
        <v/>
      </c>
      <c r="F78" s="307"/>
      <c r="G78" s="307"/>
      <c r="H78" s="12" t="str">
        <f t="shared" si="0"/>
        <v/>
      </c>
      <c r="I78" s="318" t="str">
        <f t="shared" si="1"/>
        <v/>
      </c>
    </row>
    <row r="79" spans="1:9">
      <c r="A79" s="94"/>
      <c r="B79" s="315"/>
      <c r="C79" s="316"/>
      <c r="D79" s="316"/>
      <c r="E79" s="317" t="str">
        <f>IF(D79="","",IFERROR(VLOOKUP(D79,'Fund Vlookup'!B:C,2,FALSE),"Verify fund number and Contact DOA"))</f>
        <v/>
      </c>
      <c r="F79" s="307"/>
      <c r="G79" s="307"/>
      <c r="H79" s="12" t="str">
        <f t="shared" si="0"/>
        <v/>
      </c>
      <c r="I79" s="318" t="str">
        <f t="shared" si="1"/>
        <v/>
      </c>
    </row>
    <row r="80" spans="1:9">
      <c r="A80" s="94"/>
      <c r="B80" s="315"/>
      <c r="C80" s="316"/>
      <c r="D80" s="316"/>
      <c r="E80" s="317" t="str">
        <f>IF(D80="","",IFERROR(VLOOKUP(D80,'Fund Vlookup'!B:C,2,FALSE),"Verify fund number and Contact DOA"))</f>
        <v/>
      </c>
      <c r="F80" s="307"/>
      <c r="G80" s="307"/>
      <c r="H80" s="12" t="str">
        <f t="shared" si="0"/>
        <v/>
      </c>
      <c r="I80" s="318" t="str">
        <f t="shared" si="1"/>
        <v/>
      </c>
    </row>
    <row r="81" spans="1:9">
      <c r="A81" s="94"/>
      <c r="B81" s="315"/>
      <c r="C81" s="316"/>
      <c r="D81" s="316"/>
      <c r="E81" s="317" t="str">
        <f>IF(D81="","",IFERROR(VLOOKUP(D81,'Fund Vlookup'!B:C,2,FALSE),"Verify fund number and Contact DOA"))</f>
        <v/>
      </c>
      <c r="F81" s="307"/>
      <c r="G81" s="307"/>
      <c r="H81" s="12" t="str">
        <f t="shared" si="0"/>
        <v/>
      </c>
      <c r="I81" s="318" t="str">
        <f t="shared" si="1"/>
        <v/>
      </c>
    </row>
    <row r="82" spans="1:9">
      <c r="A82" s="94"/>
      <c r="B82" s="315"/>
      <c r="C82" s="316"/>
      <c r="D82" s="316"/>
      <c r="E82" s="317" t="str">
        <f>IF(D82="","",IFERROR(VLOOKUP(D82,'Fund Vlookup'!B:C,2,FALSE),"Verify fund number and Contact DOA"))</f>
        <v/>
      </c>
      <c r="F82" s="307"/>
      <c r="G82" s="307"/>
      <c r="H82" s="12" t="str">
        <f t="shared" si="0"/>
        <v/>
      </c>
      <c r="I82" s="318" t="str">
        <f t="shared" si="1"/>
        <v/>
      </c>
    </row>
    <row r="83" spans="1:9">
      <c r="A83" s="94"/>
      <c r="B83" s="315"/>
      <c r="C83" s="316"/>
      <c r="D83" s="316"/>
      <c r="E83" s="317" t="str">
        <f>IF(D83="","",IFERROR(VLOOKUP(D83,'Fund Vlookup'!B:C,2,FALSE),"Verify fund number and Contact DOA"))</f>
        <v/>
      </c>
      <c r="F83" s="307"/>
      <c r="G83" s="307"/>
      <c r="H83" s="12" t="str">
        <f t="shared" si="0"/>
        <v/>
      </c>
      <c r="I83" s="318" t="str">
        <f t="shared" si="1"/>
        <v/>
      </c>
    </row>
    <row r="84" spans="1:9" ht="13.8" thickBot="1">
      <c r="B84" s="207"/>
      <c r="C84" s="11"/>
      <c r="E84" s="338" t="s">
        <v>342</v>
      </c>
      <c r="F84" s="319">
        <f>SUM(F51:F83)</f>
        <v>0</v>
      </c>
      <c r="G84" s="302">
        <f>SUM(G51:G83)</f>
        <v>0</v>
      </c>
    </row>
    <row r="85" spans="1:9" ht="20.100000000000001" customHeight="1" thickTop="1">
      <c r="A85" s="94"/>
      <c r="B85" s="320"/>
      <c r="D85" s="11"/>
      <c r="E85" s="195"/>
      <c r="F85" s="164"/>
    </row>
    <row r="86" spans="1:9">
      <c r="A86" s="94"/>
      <c r="B86" s="320"/>
      <c r="D86" s="11"/>
      <c r="F86" s="321"/>
    </row>
    <row r="87" spans="1:9">
      <c r="A87" s="94" t="s">
        <v>314</v>
      </c>
      <c r="B87" s="11" t="s">
        <v>507</v>
      </c>
      <c r="D87" s="11"/>
      <c r="F87" s="321"/>
    </row>
    <row r="88" spans="1:9">
      <c r="B88" s="92" t="s">
        <v>2582</v>
      </c>
      <c r="D88" s="11"/>
      <c r="F88" s="321"/>
    </row>
    <row r="89" spans="1:9" hidden="1">
      <c r="B89" s="320"/>
      <c r="D89" s="11"/>
      <c r="F89" s="321"/>
    </row>
    <row r="90" spans="1:9" hidden="1">
      <c r="B90" s="205"/>
      <c r="C90" s="13"/>
      <c r="D90" s="13"/>
      <c r="E90" s="13"/>
      <c r="F90" s="13"/>
      <c r="G90" s="205"/>
    </row>
    <row r="91" spans="1:9">
      <c r="B91" s="205"/>
      <c r="C91" s="205"/>
      <c r="D91" s="205"/>
      <c r="E91" s="205"/>
      <c r="F91" s="13"/>
      <c r="G91" s="205"/>
    </row>
    <row r="92" spans="1:9" ht="30" customHeight="1">
      <c r="B92" s="146" t="s">
        <v>2774</v>
      </c>
      <c r="C92" s="73" t="s">
        <v>2724</v>
      </c>
      <c r="D92" s="73" t="s">
        <v>889</v>
      </c>
      <c r="E92" s="73" t="s">
        <v>896</v>
      </c>
      <c r="F92" s="73" t="s">
        <v>341</v>
      </c>
      <c r="G92" s="146" t="s">
        <v>2775</v>
      </c>
      <c r="H92" s="337" t="s">
        <v>63</v>
      </c>
    </row>
    <row r="93" spans="1:9">
      <c r="A93" s="94"/>
      <c r="B93" s="315"/>
      <c r="C93" s="316"/>
      <c r="D93" s="316"/>
      <c r="E93" s="317" t="str">
        <f>IF(D93="","",IFERROR(VLOOKUP(D93,'Fund Vlookup'!B:C,2,FALSE),"Verify fund number and Contact DOA"))</f>
        <v/>
      </c>
      <c r="F93" s="335"/>
      <c r="G93" s="339" t="str">
        <f t="shared" ref="G93:G102" si="2">IF(F93&lt;&gt;"","Answer Required","")</f>
        <v/>
      </c>
      <c r="H93" s="336" t="str">
        <f t="shared" ref="H93:H102" si="3">IF(G93="","",IF(G93="No", "Answer Required","N/A"))</f>
        <v/>
      </c>
    </row>
    <row r="94" spans="1:9">
      <c r="A94" s="94"/>
      <c r="B94" s="315"/>
      <c r="C94" s="316"/>
      <c r="D94" s="316"/>
      <c r="E94" s="317" t="str">
        <f>IF(D94="","",IFERROR(VLOOKUP(D94,'Fund Vlookup'!B:C,2,FALSE),"Verify fund number and Contact DOA"))</f>
        <v/>
      </c>
      <c r="F94" s="307"/>
      <c r="G94" s="322" t="str">
        <f t="shared" si="2"/>
        <v/>
      </c>
      <c r="H94" s="318" t="str">
        <f t="shared" si="3"/>
        <v/>
      </c>
    </row>
    <row r="95" spans="1:9">
      <c r="A95" s="94"/>
      <c r="B95" s="315"/>
      <c r="C95" s="316"/>
      <c r="D95" s="316"/>
      <c r="E95" s="317" t="str">
        <f>IF(D95="","",IFERROR(VLOOKUP(D95,'Fund Vlookup'!B:C,2,FALSE),"Verify fund number and Contact DOA"))</f>
        <v/>
      </c>
      <c r="F95" s="307"/>
      <c r="G95" s="322" t="str">
        <f t="shared" si="2"/>
        <v/>
      </c>
      <c r="H95" s="318" t="str">
        <f t="shared" si="3"/>
        <v/>
      </c>
    </row>
    <row r="96" spans="1:9">
      <c r="A96" s="94"/>
      <c r="B96" s="315"/>
      <c r="C96" s="316"/>
      <c r="D96" s="316"/>
      <c r="E96" s="317" t="str">
        <f>IF(D96="","",IFERROR(VLOOKUP(D96,'Fund Vlookup'!B:C,2,FALSE),"Verify fund number and Contact DOA"))</f>
        <v/>
      </c>
      <c r="F96" s="307"/>
      <c r="G96" s="322" t="str">
        <f t="shared" si="2"/>
        <v/>
      </c>
      <c r="H96" s="318" t="str">
        <f t="shared" si="3"/>
        <v/>
      </c>
    </row>
    <row r="97" spans="1:8">
      <c r="A97" s="94"/>
      <c r="B97" s="315"/>
      <c r="C97" s="316"/>
      <c r="D97" s="316"/>
      <c r="E97" s="317" t="str">
        <f>IF(D97="","",IFERROR(VLOOKUP(D97,'Fund Vlookup'!B:C,2,FALSE),"Verify fund number and Contact DOA"))</f>
        <v/>
      </c>
      <c r="F97" s="307"/>
      <c r="G97" s="322" t="str">
        <f t="shared" si="2"/>
        <v/>
      </c>
      <c r="H97" s="318" t="str">
        <f t="shared" si="3"/>
        <v/>
      </c>
    </row>
    <row r="98" spans="1:8">
      <c r="A98" s="94"/>
      <c r="B98" s="315"/>
      <c r="C98" s="316"/>
      <c r="D98" s="316"/>
      <c r="E98" s="317" t="str">
        <f>IF(D98="","",IFERROR(VLOOKUP(D98,'Fund Vlookup'!B:C,2,FALSE),"Verify fund number and Contact DOA"))</f>
        <v/>
      </c>
      <c r="F98" s="307"/>
      <c r="G98" s="322" t="str">
        <f t="shared" si="2"/>
        <v/>
      </c>
      <c r="H98" s="318" t="str">
        <f t="shared" si="3"/>
        <v/>
      </c>
    </row>
    <row r="99" spans="1:8">
      <c r="A99" s="94"/>
      <c r="B99" s="315"/>
      <c r="C99" s="316"/>
      <c r="D99" s="316"/>
      <c r="E99" s="317" t="str">
        <f>IF(D99="","",IFERROR(VLOOKUP(D99,'Fund Vlookup'!B:C,2,FALSE),"Verify fund number and Contact DOA"))</f>
        <v/>
      </c>
      <c r="F99" s="307"/>
      <c r="G99" s="322" t="str">
        <f t="shared" si="2"/>
        <v/>
      </c>
      <c r="H99" s="318" t="str">
        <f t="shared" si="3"/>
        <v/>
      </c>
    </row>
    <row r="100" spans="1:8">
      <c r="A100" s="94"/>
      <c r="B100" s="315"/>
      <c r="C100" s="316"/>
      <c r="D100" s="316"/>
      <c r="E100" s="317" t="str">
        <f>IF(D100="","",IFERROR(VLOOKUP(D100,'Fund Vlookup'!B:C,2,FALSE),"Verify fund number and Contact DOA"))</f>
        <v/>
      </c>
      <c r="F100" s="307"/>
      <c r="G100" s="322" t="str">
        <f t="shared" si="2"/>
        <v/>
      </c>
      <c r="H100" s="318" t="str">
        <f t="shared" si="3"/>
        <v/>
      </c>
    </row>
    <row r="101" spans="1:8">
      <c r="A101" s="94"/>
      <c r="B101" s="315"/>
      <c r="C101" s="316"/>
      <c r="D101" s="316"/>
      <c r="E101" s="317" t="str">
        <f>IF(D101="","",IFERROR(VLOOKUP(D101,'Fund Vlookup'!B:C,2,FALSE),"Verify fund number and Contact DOA"))</f>
        <v/>
      </c>
      <c r="F101" s="307"/>
      <c r="G101" s="322" t="str">
        <f t="shared" si="2"/>
        <v/>
      </c>
      <c r="H101" s="318" t="str">
        <f t="shared" si="3"/>
        <v/>
      </c>
    </row>
    <row r="102" spans="1:8">
      <c r="A102" s="94"/>
      <c r="B102" s="315"/>
      <c r="C102" s="316"/>
      <c r="D102" s="316"/>
      <c r="E102" s="317" t="str">
        <f>IF(D102="","",IFERROR(VLOOKUP(D102,'Fund Vlookup'!B:C,2,FALSE),"Verify fund number and Contact DOA"))</f>
        <v/>
      </c>
      <c r="F102" s="307"/>
      <c r="G102" s="322" t="str">
        <f t="shared" si="2"/>
        <v/>
      </c>
      <c r="H102" s="318" t="str">
        <f t="shared" si="3"/>
        <v/>
      </c>
    </row>
    <row r="103" spans="1:8" ht="13.8" thickBot="1">
      <c r="B103" s="207"/>
      <c r="C103" s="11"/>
      <c r="E103" s="338" t="s">
        <v>342</v>
      </c>
      <c r="F103" s="319">
        <f>SUM(F93:F102)</f>
        <v>0</v>
      </c>
    </row>
    <row r="104" spans="1:8" ht="13.8" thickTop="1">
      <c r="A104" s="94"/>
      <c r="B104" s="94"/>
      <c r="D104" s="11"/>
      <c r="F104" s="321"/>
    </row>
    <row r="105" spans="1:8">
      <c r="A105" s="94"/>
      <c r="B105" s="94"/>
      <c r="D105" s="11"/>
      <c r="F105" s="321"/>
    </row>
    <row r="106" spans="1:8">
      <c r="A106" s="94" t="s">
        <v>315</v>
      </c>
      <c r="B106" s="92" t="s">
        <v>2585</v>
      </c>
      <c r="D106" s="11"/>
      <c r="F106" s="321"/>
    </row>
    <row r="107" spans="1:8">
      <c r="B107" s="92" t="s">
        <v>2586</v>
      </c>
      <c r="D107" s="11"/>
      <c r="F107" s="321"/>
    </row>
    <row r="108" spans="1:8">
      <c r="B108" s="92" t="s">
        <v>2587</v>
      </c>
      <c r="D108" s="11"/>
      <c r="F108" s="321"/>
      <c r="G108" s="323">
        <f>'Internal Service Template'!O44+'Internal Service Template'!O49+'Internal Service Template'!O78</f>
        <v>0</v>
      </c>
    </row>
    <row r="109" spans="1:8">
      <c r="B109" s="94"/>
      <c r="D109" s="11"/>
      <c r="F109" s="321"/>
      <c r="G109" s="324" t="str">
        <f>IF(G108=SUM('Tab 1B-CE.&amp;Inv. Not w Tr '!Y:Y)+H22,"Agrees","Error")</f>
        <v>Agrees</v>
      </c>
    </row>
    <row r="110" spans="1:8">
      <c r="B110" s="94"/>
      <c r="D110" s="11"/>
      <c r="F110" s="321"/>
      <c r="G110" s="325" t="s">
        <v>44</v>
      </c>
      <c r="H110" s="326">
        <f>G108-SUM('Tab 1B-CE.&amp;Inv. Not w Tr '!Y:Y)-H22</f>
        <v>0</v>
      </c>
    </row>
    <row r="111" spans="1:8">
      <c r="B111" s="92" t="s">
        <v>2765</v>
      </c>
      <c r="D111" s="11"/>
      <c r="F111" s="321"/>
      <c r="G111" s="327"/>
    </row>
    <row r="112" spans="1:8">
      <c r="B112" s="92" t="s">
        <v>2588</v>
      </c>
      <c r="D112" s="11"/>
      <c r="F112" s="321"/>
      <c r="G112" s="4" t="str">
        <f>IF(G108=0,"N/A","Answer Required")</f>
        <v>N/A</v>
      </c>
    </row>
    <row r="113" spans="1:8">
      <c r="B113" s="92" t="s">
        <v>2766</v>
      </c>
      <c r="D113" s="11"/>
      <c r="F113" s="321"/>
      <c r="G113" s="327"/>
    </row>
    <row r="114" spans="1:8" ht="45" customHeight="1">
      <c r="B114" s="1139" t="str">
        <f>IF($G$112="Yes","Answer Required","N/A")</f>
        <v>N/A</v>
      </c>
      <c r="C114" s="1140"/>
      <c r="D114" s="1140"/>
      <c r="E114" s="1140"/>
      <c r="F114" s="1141"/>
      <c r="G114" s="327"/>
    </row>
    <row r="115" spans="1:8">
      <c r="B115" s="94"/>
      <c r="D115" s="11"/>
      <c r="F115" s="321"/>
      <c r="G115" s="327"/>
    </row>
    <row r="116" spans="1:8">
      <c r="A116" s="94" t="s">
        <v>316</v>
      </c>
      <c r="B116" s="92" t="s">
        <v>121</v>
      </c>
      <c r="D116" s="11"/>
      <c r="F116" s="321"/>
    </row>
    <row r="117" spans="1:8">
      <c r="A117" s="92"/>
      <c r="B117" s="92" t="s">
        <v>122</v>
      </c>
      <c r="D117" s="11"/>
      <c r="F117" s="321"/>
    </row>
    <row r="118" spans="1:8">
      <c r="A118" s="92"/>
      <c r="B118" s="92" t="s">
        <v>2583</v>
      </c>
      <c r="D118" s="11"/>
      <c r="F118" s="321"/>
      <c r="G118" s="328"/>
    </row>
    <row r="119" spans="1:8">
      <c r="A119" s="92"/>
      <c r="B119" s="94"/>
      <c r="D119" s="11"/>
      <c r="F119" s="321"/>
      <c r="G119" s="324" t="str">
        <f>IF(G118='Tab 1C-Foreign Currency Inv'!BS63,"Agrees","Error")</f>
        <v>Agrees</v>
      </c>
    </row>
    <row r="120" spans="1:8">
      <c r="A120" s="92"/>
      <c r="B120" s="94"/>
      <c r="D120" s="11"/>
      <c r="F120" s="321"/>
      <c r="G120" s="325" t="s">
        <v>44</v>
      </c>
      <c r="H120" s="326">
        <f>G118-'Tab 1C-Foreign Currency Inv'!BS63</f>
        <v>0</v>
      </c>
    </row>
    <row r="121" spans="1:8">
      <c r="A121" s="92"/>
      <c r="B121" s="94"/>
      <c r="D121" s="11"/>
      <c r="F121" s="321"/>
      <c r="G121" s="205"/>
    </row>
    <row r="122" spans="1:8">
      <c r="A122" s="94" t="s">
        <v>317</v>
      </c>
      <c r="B122" s="92" t="s">
        <v>2584</v>
      </c>
      <c r="D122" s="11"/>
      <c r="F122" s="321"/>
      <c r="G122" s="205"/>
    </row>
    <row r="123" spans="1:8">
      <c r="A123" s="92"/>
      <c r="B123" s="92" t="s">
        <v>2594</v>
      </c>
      <c r="D123" s="11"/>
      <c r="F123" s="321"/>
    </row>
    <row r="124" spans="1:8">
      <c r="A124" s="92"/>
      <c r="B124" s="92" t="s">
        <v>2767</v>
      </c>
      <c r="D124" s="11"/>
      <c r="F124" s="321"/>
      <c r="G124" s="206" t="str">
        <f>IF(('Internal Service Template'!G44+'Internal Service Template'!G49)&gt;(SUM('Tab 1B-CE.&amp;Inv. Not w Tr '!R:R)+H20),"Yes","No")</f>
        <v>No</v>
      </c>
    </row>
    <row r="125" spans="1:8" hidden="1">
      <c r="A125" s="92"/>
      <c r="B125" s="94"/>
      <c r="D125" s="11"/>
      <c r="F125" s="321"/>
      <c r="G125" s="205"/>
    </row>
    <row r="126" spans="1:8" hidden="1">
      <c r="A126" s="92"/>
      <c r="B126" s="92"/>
      <c r="D126" s="11"/>
      <c r="F126" s="321"/>
      <c r="G126" s="205"/>
    </row>
    <row r="127" spans="1:8" hidden="1">
      <c r="A127" s="92"/>
      <c r="B127" s="92"/>
      <c r="D127" s="11"/>
      <c r="F127" s="321"/>
      <c r="G127" s="130"/>
    </row>
    <row r="128" spans="1:8" hidden="1">
      <c r="A128" s="92"/>
      <c r="B128" s="94"/>
      <c r="D128" s="11"/>
      <c r="F128" s="321"/>
      <c r="G128" s="76"/>
    </row>
    <row r="129" spans="1:7" hidden="1">
      <c r="A129" s="92"/>
      <c r="B129" s="94"/>
      <c r="D129" s="11"/>
      <c r="F129" s="321"/>
      <c r="G129" s="76"/>
    </row>
    <row r="130" spans="1:7" hidden="1">
      <c r="A130" s="92"/>
      <c r="B130" s="92"/>
      <c r="D130" s="11"/>
      <c r="F130" s="321"/>
      <c r="G130" s="329"/>
    </row>
    <row r="131" spans="1:7" hidden="1">
      <c r="A131" s="92"/>
      <c r="B131" s="92"/>
      <c r="D131" s="11"/>
      <c r="F131" s="321"/>
      <c r="G131" s="330"/>
    </row>
    <row r="132" spans="1:7">
      <c r="A132" s="92"/>
      <c r="B132" s="94"/>
      <c r="D132" s="11"/>
      <c r="F132" s="321"/>
      <c r="G132" s="205"/>
    </row>
    <row r="133" spans="1:7">
      <c r="A133" s="94" t="s">
        <v>318</v>
      </c>
      <c r="B133" s="92" t="s">
        <v>580</v>
      </c>
      <c r="D133" s="11"/>
      <c r="F133" s="321"/>
    </row>
    <row r="134" spans="1:7">
      <c r="A134" s="92" t="s">
        <v>19</v>
      </c>
      <c r="B134" s="92" t="s">
        <v>2777</v>
      </c>
      <c r="D134" s="11"/>
      <c r="F134" s="321"/>
      <c r="G134" s="4" t="str">
        <f>IF(G108=0,"N/A","Answer Required")</f>
        <v>N/A</v>
      </c>
    </row>
    <row r="135" spans="1:7">
      <c r="A135" s="92" t="s">
        <v>520</v>
      </c>
      <c r="B135" s="92" t="s">
        <v>2768</v>
      </c>
      <c r="D135" s="11"/>
      <c r="F135" s="321"/>
    </row>
    <row r="136" spans="1:7">
      <c r="B136" s="92"/>
      <c r="C136" s="92"/>
      <c r="D136" s="11"/>
    </row>
    <row r="137" spans="1:7" ht="30" customHeight="1">
      <c r="B137" s="1123" t="s">
        <v>838</v>
      </c>
      <c r="C137" s="1123"/>
      <c r="D137" s="1123"/>
      <c r="E137" s="146" t="s">
        <v>2778</v>
      </c>
      <c r="F137" s="73" t="s">
        <v>839</v>
      </c>
      <c r="G137" s="331"/>
    </row>
    <row r="138" spans="1:7">
      <c r="B138" s="1122" t="str">
        <f>IF(G134="Yes","Answer Required","")</f>
        <v/>
      </c>
      <c r="C138" s="1122"/>
      <c r="D138" s="1122"/>
      <c r="E138" s="332" t="str">
        <f t="shared" ref="E138:E147" si="4">IF(B138="","","Answer Required")</f>
        <v/>
      </c>
      <c r="F138" s="340" t="str">
        <f>IF(E138="","","Answer Required")</f>
        <v/>
      </c>
    </row>
    <row r="139" spans="1:7">
      <c r="B139" s="1122"/>
      <c r="C139" s="1122"/>
      <c r="D139" s="1122"/>
      <c r="E139" s="332" t="str">
        <f t="shared" si="4"/>
        <v/>
      </c>
      <c r="F139" s="333" t="str">
        <f t="shared" ref="F139:F147" si="5">IF(E139="","","Answer Required")</f>
        <v/>
      </c>
    </row>
    <row r="140" spans="1:7">
      <c r="B140" s="1122"/>
      <c r="C140" s="1122"/>
      <c r="D140" s="1122"/>
      <c r="E140" s="332" t="str">
        <f t="shared" si="4"/>
        <v/>
      </c>
      <c r="F140" s="333" t="str">
        <f t="shared" si="5"/>
        <v/>
      </c>
    </row>
    <row r="141" spans="1:7">
      <c r="B141" s="1122"/>
      <c r="C141" s="1122"/>
      <c r="D141" s="1122"/>
      <c r="E141" s="332" t="str">
        <f t="shared" si="4"/>
        <v/>
      </c>
      <c r="F141" s="333" t="str">
        <f t="shared" si="5"/>
        <v/>
      </c>
    </row>
    <row r="142" spans="1:7">
      <c r="B142" s="1122"/>
      <c r="C142" s="1122"/>
      <c r="D142" s="1122"/>
      <c r="E142" s="332" t="str">
        <f t="shared" si="4"/>
        <v/>
      </c>
      <c r="F142" s="333" t="str">
        <f t="shared" si="5"/>
        <v/>
      </c>
    </row>
    <row r="143" spans="1:7">
      <c r="B143" s="1122"/>
      <c r="C143" s="1122"/>
      <c r="D143" s="1122"/>
      <c r="E143" s="332" t="str">
        <f t="shared" si="4"/>
        <v/>
      </c>
      <c r="F143" s="333" t="str">
        <f t="shared" si="5"/>
        <v/>
      </c>
    </row>
    <row r="144" spans="1:7">
      <c r="B144" s="1122"/>
      <c r="C144" s="1122"/>
      <c r="D144" s="1122"/>
      <c r="E144" s="332" t="str">
        <f t="shared" si="4"/>
        <v/>
      </c>
      <c r="F144" s="333" t="str">
        <f t="shared" si="5"/>
        <v/>
      </c>
    </row>
    <row r="145" spans="1:7">
      <c r="B145" s="1122"/>
      <c r="C145" s="1122"/>
      <c r="D145" s="1122"/>
      <c r="E145" s="332" t="str">
        <f t="shared" si="4"/>
        <v/>
      </c>
      <c r="F145" s="333" t="str">
        <f t="shared" si="5"/>
        <v/>
      </c>
    </row>
    <row r="146" spans="1:7">
      <c r="B146" s="1122"/>
      <c r="C146" s="1122"/>
      <c r="D146" s="1122"/>
      <c r="E146" s="332" t="str">
        <f t="shared" si="4"/>
        <v/>
      </c>
      <c r="F146" s="333" t="str">
        <f t="shared" si="5"/>
        <v/>
      </c>
    </row>
    <row r="147" spans="1:7">
      <c r="B147" s="1122"/>
      <c r="C147" s="1122"/>
      <c r="D147" s="1122"/>
      <c r="E147" s="332" t="str">
        <f t="shared" si="4"/>
        <v/>
      </c>
      <c r="F147" s="333" t="str">
        <f t="shared" si="5"/>
        <v/>
      </c>
    </row>
    <row r="148" spans="1:7" ht="13.8" thickBot="1">
      <c r="B148" s="334"/>
      <c r="C148" s="334"/>
      <c r="E148" s="342" t="s">
        <v>652</v>
      </c>
      <c r="F148" s="341">
        <f>SUM(F138:F147)</f>
        <v>0</v>
      </c>
    </row>
    <row r="149" spans="1:7" ht="13.8" thickTop="1">
      <c r="B149" s="334"/>
      <c r="C149" s="334"/>
    </row>
    <row r="150" spans="1:7" hidden="1">
      <c r="B150" s="334"/>
      <c r="C150" s="334"/>
    </row>
    <row r="151" spans="1:7" hidden="1">
      <c r="B151" s="334"/>
      <c r="C151" s="334"/>
    </row>
    <row r="152" spans="1:7" hidden="1">
      <c r="B152" s="334"/>
      <c r="C152" s="334"/>
    </row>
    <row r="153" spans="1:7">
      <c r="A153" s="13"/>
      <c r="B153" s="207"/>
      <c r="C153" s="92"/>
      <c r="D153" s="11"/>
      <c r="G153" s="312"/>
    </row>
    <row r="154" spans="1:7">
      <c r="A154" s="94" t="s">
        <v>319</v>
      </c>
      <c r="B154" s="96" t="s">
        <v>2769</v>
      </c>
      <c r="C154" s="92"/>
      <c r="D154" s="11"/>
      <c r="G154" s="312"/>
    </row>
    <row r="155" spans="1:7">
      <c r="B155" s="92" t="s">
        <v>149</v>
      </c>
      <c r="C155" s="92"/>
      <c r="D155" s="11"/>
      <c r="G155" s="312"/>
    </row>
    <row r="156" spans="1:7">
      <c r="B156" s="92" t="s">
        <v>426</v>
      </c>
      <c r="C156" s="92"/>
      <c r="D156" s="11"/>
      <c r="G156" s="312"/>
    </row>
    <row r="157" spans="1:7">
      <c r="B157" s="1113"/>
      <c r="C157" s="1114"/>
      <c r="D157" s="1114"/>
      <c r="E157" s="1114"/>
      <c r="F157" s="1114"/>
      <c r="G157" s="1115"/>
    </row>
    <row r="158" spans="1:7">
      <c r="B158" s="1116"/>
      <c r="C158" s="1117"/>
      <c r="D158" s="1117"/>
      <c r="E158" s="1117"/>
      <c r="F158" s="1117"/>
      <c r="G158" s="1118"/>
    </row>
    <row r="159" spans="1:7">
      <c r="B159" s="1116"/>
      <c r="C159" s="1117"/>
      <c r="D159" s="1117"/>
      <c r="E159" s="1117"/>
      <c r="F159" s="1117"/>
      <c r="G159" s="1118"/>
    </row>
    <row r="160" spans="1:7">
      <c r="B160" s="1116"/>
      <c r="C160" s="1117"/>
      <c r="D160" s="1117"/>
      <c r="E160" s="1117"/>
      <c r="F160" s="1117"/>
      <c r="G160" s="1118"/>
    </row>
    <row r="161" spans="1:7">
      <c r="B161" s="1116"/>
      <c r="C161" s="1117"/>
      <c r="D161" s="1117"/>
      <c r="E161" s="1117"/>
      <c r="F161" s="1117"/>
      <c r="G161" s="1118"/>
    </row>
    <row r="162" spans="1:7">
      <c r="B162" s="1116"/>
      <c r="C162" s="1117"/>
      <c r="D162" s="1117"/>
      <c r="E162" s="1117"/>
      <c r="F162" s="1117"/>
      <c r="G162" s="1118"/>
    </row>
    <row r="163" spans="1:7">
      <c r="B163" s="1116"/>
      <c r="C163" s="1117"/>
      <c r="D163" s="1117"/>
      <c r="E163" s="1117"/>
      <c r="F163" s="1117"/>
      <c r="G163" s="1118"/>
    </row>
    <row r="164" spans="1:7">
      <c r="B164" s="1116"/>
      <c r="C164" s="1117"/>
      <c r="D164" s="1117"/>
      <c r="E164" s="1117"/>
      <c r="F164" s="1117"/>
      <c r="G164" s="1118"/>
    </row>
    <row r="165" spans="1:7">
      <c r="B165" s="1119"/>
      <c r="C165" s="1120"/>
      <c r="D165" s="1120"/>
      <c r="E165" s="1120"/>
      <c r="F165" s="1120"/>
      <c r="G165" s="1121"/>
    </row>
    <row r="166" spans="1:7">
      <c r="B166" s="67"/>
      <c r="C166" s="67"/>
      <c r="D166" s="67"/>
      <c r="E166" s="67"/>
      <c r="F166" s="67"/>
      <c r="G166" s="67"/>
    </row>
    <row r="167" spans="1:7" ht="75" customHeight="1">
      <c r="A167" s="427" t="s">
        <v>153</v>
      </c>
      <c r="B167" s="1095" t="s">
        <v>2873</v>
      </c>
      <c r="C167" s="1095"/>
      <c r="D167" s="1095"/>
      <c r="E167" s="1095"/>
      <c r="F167" s="1095"/>
      <c r="G167" s="1095"/>
    </row>
    <row r="168" spans="1:7" hidden="1">
      <c r="A168" s="94"/>
      <c r="B168" s="92"/>
      <c r="D168" s="11"/>
      <c r="F168" s="321"/>
    </row>
    <row r="169" spans="1:7" hidden="1">
      <c r="A169" s="94"/>
      <c r="B169" s="92"/>
      <c r="D169" s="11"/>
      <c r="F169" s="321"/>
    </row>
    <row r="170" spans="1:7">
      <c r="A170" s="94"/>
      <c r="B170" s="1113"/>
      <c r="C170" s="1114"/>
      <c r="D170" s="1114"/>
      <c r="E170" s="1114"/>
      <c r="F170" s="1114"/>
      <c r="G170" s="1115"/>
    </row>
    <row r="171" spans="1:7">
      <c r="A171" s="94"/>
      <c r="B171" s="1116"/>
      <c r="C171" s="1117"/>
      <c r="D171" s="1117"/>
      <c r="E171" s="1117"/>
      <c r="F171" s="1117"/>
      <c r="G171" s="1118"/>
    </row>
    <row r="172" spans="1:7">
      <c r="A172" s="94"/>
      <c r="B172" s="1116"/>
      <c r="C172" s="1117"/>
      <c r="D172" s="1117"/>
      <c r="E172" s="1117"/>
      <c r="F172" s="1117"/>
      <c r="G172" s="1118"/>
    </row>
    <row r="173" spans="1:7">
      <c r="A173" s="94"/>
      <c r="B173" s="1116"/>
      <c r="C173" s="1117"/>
      <c r="D173" s="1117"/>
      <c r="E173" s="1117"/>
      <c r="F173" s="1117"/>
      <c r="G173" s="1118"/>
    </row>
    <row r="174" spans="1:7">
      <c r="A174" s="94"/>
      <c r="B174" s="1116"/>
      <c r="C174" s="1117"/>
      <c r="D174" s="1117"/>
      <c r="E174" s="1117"/>
      <c r="F174" s="1117"/>
      <c r="G174" s="1118"/>
    </row>
    <row r="175" spans="1:7">
      <c r="A175" s="94"/>
      <c r="B175" s="1119"/>
      <c r="C175" s="1120"/>
      <c r="D175" s="1120"/>
      <c r="E175" s="1120"/>
      <c r="F175" s="1120"/>
      <c r="G175" s="1121"/>
    </row>
    <row r="176" spans="1:7">
      <c r="B176" s="67"/>
      <c r="C176" s="67"/>
      <c r="D176" s="67"/>
      <c r="E176" s="67"/>
      <c r="F176" s="67"/>
      <c r="G176" s="67"/>
    </row>
    <row r="177" spans="1:7" ht="12" customHeight="1">
      <c r="B177" s="67"/>
      <c r="C177" s="67"/>
      <c r="D177" s="67"/>
      <c r="E177" s="67"/>
      <c r="F177" s="67"/>
      <c r="G177" s="67"/>
    </row>
    <row r="178" spans="1:7" ht="12.75" customHeight="1"/>
    <row r="188" spans="1:7" ht="18.75" customHeight="1"/>
    <row r="189" spans="1:7" hidden="1">
      <c r="A189" s="11" t="s">
        <v>260</v>
      </c>
    </row>
    <row r="190" spans="1:7" hidden="1">
      <c r="A190" s="11" t="s">
        <v>261</v>
      </c>
    </row>
    <row r="191" spans="1:7" hidden="1">
      <c r="A191" s="11" t="s">
        <v>262</v>
      </c>
    </row>
    <row r="192" spans="1:7" hidden="1"/>
    <row r="193" spans="1:1" ht="13.8" hidden="1">
      <c r="A193" s="343" t="s">
        <v>2779</v>
      </c>
    </row>
    <row r="194" spans="1:1" ht="13.8" hidden="1">
      <c r="A194" s="343" t="s">
        <v>2780</v>
      </c>
    </row>
    <row r="195" spans="1:1" ht="13.8" hidden="1">
      <c r="A195" s="343" t="s">
        <v>2781</v>
      </c>
    </row>
    <row r="196" spans="1:1" ht="13.8" hidden="1">
      <c r="A196" s="343" t="s">
        <v>2782</v>
      </c>
    </row>
    <row r="197" spans="1:1" ht="13.8" hidden="1">
      <c r="A197" s="343" t="s">
        <v>2783</v>
      </c>
    </row>
    <row r="198" spans="1:1" ht="13.8" hidden="1">
      <c r="A198" s="343" t="s">
        <v>2784</v>
      </c>
    </row>
    <row r="199" spans="1:1" ht="13.8" hidden="1">
      <c r="A199" s="343" t="s">
        <v>2785</v>
      </c>
    </row>
    <row r="200" spans="1:1" ht="13.8" hidden="1">
      <c r="A200" s="343" t="s">
        <v>2786</v>
      </c>
    </row>
    <row r="201" spans="1:1" ht="13.8" hidden="1">
      <c r="A201" s="343" t="s">
        <v>2787</v>
      </c>
    </row>
    <row r="202" spans="1:1" ht="13.8" hidden="1">
      <c r="A202" s="343" t="s">
        <v>2788</v>
      </c>
    </row>
    <row r="203" spans="1:1" ht="13.8" hidden="1">
      <c r="A203" s="343" t="s">
        <v>2789</v>
      </c>
    </row>
    <row r="204" spans="1:1" ht="13.8" hidden="1">
      <c r="A204" s="343" t="s">
        <v>2790</v>
      </c>
    </row>
    <row r="205" spans="1:1" ht="13.8" hidden="1">
      <c r="A205" s="343" t="s">
        <v>2791</v>
      </c>
    </row>
    <row r="206" spans="1:1" ht="13.8" hidden="1">
      <c r="A206" s="343" t="s">
        <v>2893</v>
      </c>
    </row>
    <row r="207" spans="1:1" ht="13.8" hidden="1">
      <c r="A207" s="343" t="s">
        <v>2792</v>
      </c>
    </row>
    <row r="208" spans="1:1" ht="13.8" hidden="1">
      <c r="A208" s="343" t="s">
        <v>2793</v>
      </c>
    </row>
    <row r="209" spans="1:1" ht="13.8" hidden="1">
      <c r="A209" s="343" t="s">
        <v>2794</v>
      </c>
    </row>
    <row r="210" spans="1:1" ht="13.8" hidden="1">
      <c r="A210" s="343" t="s">
        <v>2795</v>
      </c>
    </row>
    <row r="211" spans="1:1" ht="13.8" hidden="1">
      <c r="A211" s="343" t="s">
        <v>2894</v>
      </c>
    </row>
    <row r="212" spans="1:1" ht="13.8" hidden="1">
      <c r="A212" s="343" t="s">
        <v>2796</v>
      </c>
    </row>
    <row r="213" spans="1:1" ht="13.8" hidden="1">
      <c r="A213" s="343" t="s">
        <v>2797</v>
      </c>
    </row>
  </sheetData>
  <sheetProtection algorithmName="SHA-512" hashValue="cM3qBMj39OWiGbs3/KD3Twybt3uqkJzenMha6ODuoxzJuKIIT2hI9ykjIB0peQqnOGSpp2wpJv8dJZKH40yH8A==" saltValue="/KraXKx0p7ouS/bGrvJJ4w==" spinCount="100000" sheet="1" objects="1" scenarios="1"/>
  <mergeCells count="31">
    <mergeCell ref="A1:C1"/>
    <mergeCell ref="D1:F1"/>
    <mergeCell ref="A2:C2"/>
    <mergeCell ref="D2:F2"/>
    <mergeCell ref="A3:C3"/>
    <mergeCell ref="D3:F3"/>
    <mergeCell ref="B137:D137"/>
    <mergeCell ref="A4:C4"/>
    <mergeCell ref="D4:F4"/>
    <mergeCell ref="A5:C5"/>
    <mergeCell ref="D5:F5"/>
    <mergeCell ref="A6:C6"/>
    <mergeCell ref="D6:F6"/>
    <mergeCell ref="A7:C7"/>
    <mergeCell ref="D7:F7"/>
    <mergeCell ref="C8:G8"/>
    <mergeCell ref="F49:G49"/>
    <mergeCell ref="B114:F114"/>
    <mergeCell ref="B170:G175"/>
    <mergeCell ref="B167:G167"/>
    <mergeCell ref="B138:D138"/>
    <mergeCell ref="B139:D139"/>
    <mergeCell ref="B140:D140"/>
    <mergeCell ref="B141:D141"/>
    <mergeCell ref="B142:D142"/>
    <mergeCell ref="B143:D143"/>
    <mergeCell ref="B144:D144"/>
    <mergeCell ref="B145:D145"/>
    <mergeCell ref="B146:D146"/>
    <mergeCell ref="B147:D147"/>
    <mergeCell ref="B157:G165"/>
  </mergeCells>
  <conditionalFormatting sqref="B138:B147">
    <cfRule type="containsText" dxfId="155" priority="9" operator="containsText" text="Answer Required">
      <formula>NOT(ISERROR(SEARCH("Answer Required",B138)))</formula>
    </cfRule>
  </conditionalFormatting>
  <conditionalFormatting sqref="B114:F114">
    <cfRule type="containsText" dxfId="154" priority="22" operator="containsText" text="Answer Required">
      <formula>NOT(ISERROR(SEARCH("Answer Required",B114)))</formula>
    </cfRule>
  </conditionalFormatting>
  <conditionalFormatting sqref="E138:F147">
    <cfRule type="containsText" dxfId="153" priority="25" operator="containsText" text="Answer Required">
      <formula>NOT(ISERROR(SEARCH("Answer Required",E138)))</formula>
    </cfRule>
  </conditionalFormatting>
  <conditionalFormatting sqref="G112">
    <cfRule type="cellIs" dxfId="152" priority="23" operator="equal">
      <formula>"Answer Required"</formula>
    </cfRule>
  </conditionalFormatting>
  <conditionalFormatting sqref="G130">
    <cfRule type="cellIs" dxfId="151" priority="29" operator="equal">
      <formula>"Answer Required"</formula>
    </cfRule>
  </conditionalFormatting>
  <conditionalFormatting sqref="G134">
    <cfRule type="cellIs" dxfId="150" priority="30" operator="equal">
      <formula>"Answer Required"</formula>
    </cfRule>
  </conditionalFormatting>
  <conditionalFormatting sqref="G93:H102">
    <cfRule type="cellIs" dxfId="149" priority="20" operator="equal">
      <formula>"Answer Required"</formula>
    </cfRule>
  </conditionalFormatting>
  <conditionalFormatting sqref="G15:I15">
    <cfRule type="cellIs" dxfId="148" priority="5" operator="equal">
      <formula>"Answer Required"</formula>
    </cfRule>
  </conditionalFormatting>
  <conditionalFormatting sqref="H11">
    <cfRule type="containsText" dxfId="147" priority="2" operator="containsText" text="Answer Required">
      <formula>NOT(ISERROR(SEARCH("Answer Required",H11)))</formula>
    </cfRule>
  </conditionalFormatting>
  <conditionalFormatting sqref="H16">
    <cfRule type="containsText" dxfId="146" priority="1" operator="containsText" text="Answer Required">
      <formula>NOT(ISERROR(SEARCH("Answer Required",H16)))</formula>
    </cfRule>
  </conditionalFormatting>
  <conditionalFormatting sqref="H41">
    <cfRule type="containsText" dxfId="145" priority="24" operator="containsText" text="Answer Required">
      <formula>NOT(ISERROR(SEARCH("Answer Required",H41)))</formula>
    </cfRule>
  </conditionalFormatting>
  <conditionalFormatting sqref="H51:I83">
    <cfRule type="cellIs" dxfId="144" priority="18" operator="equal">
      <formula>"Answer Required"</formula>
    </cfRule>
  </conditionalFormatting>
  <conditionalFormatting sqref="I28">
    <cfRule type="cellIs" dxfId="143" priority="4" operator="equal">
      <formula>"Answer Required"</formula>
    </cfRule>
  </conditionalFormatting>
  <dataValidations count="13">
    <dataValidation allowBlank="1" showInputMessage="1" showErrorMessage="1" error="Enter a whole number." sqref="G15" xr:uid="{00000000-0002-0000-0400-000000000000}"/>
    <dataValidation type="list" allowBlank="1" showInputMessage="1" showErrorMessage="1" error="Please use drop-down list to select Yes or No." sqref="G112 G134" xr:uid="{00000000-0002-0000-0400-000004000000}">
      <formula1>$A$189:$A$190</formula1>
    </dataValidation>
    <dataValidation type="whole" allowBlank="1" showInputMessage="1" showErrorMessage="1" error="Enter a whole number." sqref="H15" xr:uid="{00000000-0002-0000-0400-000005000000}">
      <formula1>-9999999999999</formula1>
      <formula2>9999999999999</formula2>
    </dataValidation>
    <dataValidation type="list" allowBlank="1" showInputMessage="1" showErrorMessage="1" error="Use the drop-down list to enter yes or no." sqref="G93:G102 H51:H83" xr:uid="{00000000-0002-0000-0400-000006000000}">
      <formula1>$A$189:$A$190</formula1>
    </dataValidation>
    <dataValidation type="whole" allowBlank="1" showInputMessage="1" showErrorMessage="1" error="Please enter a valid Cardinal fund number between 01000 and 99999._x000a_" sqref="D51:D83 D93:D102" xr:uid="{00000000-0002-0000-0400-000007000000}">
      <formula1>1000</formula1>
      <formula2>99999</formula2>
    </dataValidation>
    <dataValidation type="whole" allowBlank="1" showInputMessage="1" showErrorMessage="1" errorTitle="Enter Whole Number" error="Please enter a whole number." promptTitle="Enter a whole number" sqref="G118 H20:H21 H23 H28 H30 H34:H36 F93:F102 F51:G83 F138:F147" xr:uid="{00000000-0002-0000-0400-000009000000}">
      <formula1>-9999999999999</formula1>
      <formula2>9999999999999</formula2>
    </dataValidation>
    <dataValidation type="whole" allowBlank="1" showInputMessage="1" showErrorMessage="1" errorTitle="Enter Whole Number" error="Please enter a whole number." promptTitle="Enter a whole number" sqref="H22" xr:uid="{00000000-0002-0000-0400-00000A000000}">
      <formula1>-999999999999999</formula1>
      <formula2>9999999999999990</formula2>
    </dataValidation>
    <dataValidation type="list" allowBlank="1" showInputMessage="1" showErrorMessage="1" error="Please use drop-down list to select Yes, No or N/A" sqref="G130" xr:uid="{00000000-0002-0000-0400-00000B000000}">
      <formula1>$A$189:$A$191</formula1>
    </dataValidation>
    <dataValidation type="date" allowBlank="1" showInputMessage="1" showErrorMessage="1" error="Enter a date between 6/1/03 and 12/15/03" prompt="If this submission is a revision to a previous submission for which DOA acknowledged receipt and acceptance, COMPLETE THE REVISION CONTROL LOG TAB" sqref="D9:E9" xr:uid="{00000000-0002-0000-0400-00000C000000}">
      <formula1>37773</formula1>
      <formula2>37970</formula2>
    </dataValidation>
    <dataValidation type="whole" allowBlank="1" showInputMessage="1" showErrorMessage="1" errorTitle="Enter Whole Number" error="Please enter a whole number." promptTitle="Enter a whole number" sqref="I34:I36 H14 H10 H12" xr:uid="{00000000-0002-0000-0400-00000D000000}">
      <formula1>-999999999999</formula1>
      <formula2>999999999999</formula2>
    </dataValidation>
    <dataValidation type="whole" allowBlank="1" showInputMessage="1" showErrorMessage="1" errorTitle="Enter Whole Number" error="Please enter a whole number._x000a_" promptTitle="Enter a whole number" sqref="G108" xr:uid="{00000000-0002-0000-0400-00000E000000}">
      <formula1>-99999999999999</formula1>
      <formula2>999999999999999</formula2>
    </dataValidation>
    <dataValidation type="whole" allowBlank="1" showInputMessage="1" showErrorMessage="1" errorTitle="Enter Whole Number" error="The agency did not enter a whole number, please round the amount.  Enter a whole number ONLY." promptTitle="Enter a whole number" sqref="G154:G156 H38 H40" xr:uid="{00000000-0002-0000-0400-00000F000000}">
      <formula1>-9999999999</formula1>
      <formula2>9999999999</formula2>
    </dataValidation>
    <dataValidation allowBlank="1" showInputMessage="1" showErrorMessage="1" errorTitle="Enter Whole Number" error="The agency did not enter a whole number, please round the amount.  Enter a whole number ONLY." promptTitle="Enter a whole number" sqref="G153 H39" xr:uid="{00000000-0002-0000-0400-000010000000}"/>
  </dataValidations>
  <pageMargins left="0.7" right="0.2" top="0.75" bottom="0.75" header="0.3" footer="0.3"/>
  <pageSetup scale="46" fitToHeight="0" orientation="portrait" cellComments="asDisplayed" r:id="rId1"/>
  <headerFooter>
    <oddHeader>&amp;C&amp;"Arial,Bold"Attachment 11
Internal Service Fund Financial Statement Template
&amp;A</oddHeader>
    <oddFooter>&amp;L&amp;F&amp;A&amp;R Page &amp;P</oddFooter>
  </headerFooter>
  <rowBreaks count="1" manualBreakCount="1">
    <brk id="105"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AI171"/>
  <sheetViews>
    <sheetView showGridLines="0" showZeros="0" zoomScale="85" zoomScaleNormal="85" workbookViewId="0">
      <pane xSplit="5" ySplit="11" topLeftCell="L12" activePane="bottomRight" state="frozen"/>
      <selection pane="topRight" activeCell="F1" sqref="F1"/>
      <selection pane="bottomLeft" activeCell="A6" sqref="A6"/>
      <selection pane="bottomRight" activeCell="C3" sqref="C3:E3"/>
    </sheetView>
  </sheetViews>
  <sheetFormatPr defaultColWidth="9.109375" defaultRowHeight="13.8"/>
  <cols>
    <col min="1" max="1" width="10.6640625" style="403" customWidth="1"/>
    <col min="2" max="2" width="60.6640625" style="403" customWidth="1"/>
    <col min="3" max="3" width="40.6640625" style="403" customWidth="1"/>
    <col min="4" max="4" width="15.109375" style="403" customWidth="1"/>
    <col min="5" max="5" width="16.6640625" style="403" customWidth="1"/>
    <col min="6" max="6" width="17.88671875" style="403" bestFit="1" customWidth="1"/>
    <col min="7" max="7" width="17.44140625" style="403" customWidth="1"/>
    <col min="8" max="8" width="18" style="403" customWidth="1"/>
    <col min="9" max="9" width="20" style="403" bestFit="1" customWidth="1"/>
    <col min="10" max="10" width="18.6640625" style="403" customWidth="1"/>
    <col min="11" max="11" width="18" style="403" customWidth="1"/>
    <col min="12" max="12" width="18.5546875" style="403" customWidth="1"/>
    <col min="13" max="13" width="20.6640625" style="403" customWidth="1"/>
    <col min="14" max="15" width="18.6640625" style="403" customWidth="1"/>
    <col min="16" max="16" width="20.6640625" style="403" customWidth="1"/>
    <col min="17" max="17" width="15.109375" style="453" customWidth="1"/>
    <col min="18" max="24" width="18.6640625" style="403" customWidth="1"/>
    <col min="25" max="26" width="20.6640625" style="403" customWidth="1"/>
    <col min="27" max="31" width="18.6640625" style="403" customWidth="1"/>
    <col min="32" max="33" width="20.6640625" style="403" customWidth="1"/>
    <col min="34" max="34" width="9.5546875" style="403" customWidth="1"/>
    <col min="35" max="35" width="15.6640625" style="403" customWidth="1"/>
    <col min="36" max="16384" width="9.109375" style="403"/>
  </cols>
  <sheetData>
    <row r="1" spans="1:35" ht="21.75" customHeight="1">
      <c r="A1" s="1152" t="s">
        <v>562</v>
      </c>
      <c r="B1" s="1153"/>
      <c r="C1" s="1154" t="str">
        <f>'Internal Service Template'!E1</f>
        <v/>
      </c>
      <c r="D1" s="1154"/>
      <c r="E1" s="1154"/>
      <c r="F1" s="359"/>
      <c r="G1" s="359"/>
      <c r="H1" s="359"/>
    </row>
    <row r="2" spans="1:35" ht="30.75" customHeight="1">
      <c r="A2" s="1152" t="s">
        <v>177</v>
      </c>
      <c r="B2" s="1153"/>
      <c r="C2" s="1155" t="str">
        <f>IF('Internal Service Template'!E2="","",'Internal Service Template'!E2)</f>
        <v/>
      </c>
      <c r="D2" s="1155"/>
      <c r="E2" s="1155"/>
      <c r="F2" s="359"/>
      <c r="G2" s="359"/>
      <c r="H2" s="359"/>
      <c r="I2" s="359"/>
      <c r="J2" s="359"/>
      <c r="K2" s="359"/>
      <c r="L2" s="359"/>
      <c r="M2" s="359"/>
      <c r="N2" s="359"/>
      <c r="O2" s="359"/>
      <c r="P2" s="359"/>
    </row>
    <row r="3" spans="1:35" ht="20.25" customHeight="1">
      <c r="A3" s="1152" t="s">
        <v>586</v>
      </c>
      <c r="B3" s="1153"/>
      <c r="C3" s="1156" t="str">
        <f>IF('Internal Service Template'!E3="","",'Internal Service Template'!E3)</f>
        <v/>
      </c>
      <c r="D3" s="1156"/>
      <c r="E3" s="1156"/>
      <c r="F3" s="359"/>
      <c r="G3" s="359"/>
      <c r="H3" s="359"/>
      <c r="I3" s="359"/>
      <c r="J3" s="359"/>
      <c r="K3" s="359"/>
      <c r="L3" s="359"/>
      <c r="M3" s="359"/>
      <c r="N3" s="359"/>
      <c r="O3" s="359"/>
      <c r="P3" s="359"/>
    </row>
    <row r="4" spans="1:35" ht="20.25" customHeight="1">
      <c r="A4" s="1152" t="s">
        <v>587</v>
      </c>
      <c r="B4" s="1153"/>
      <c r="C4" s="1127" t="str">
        <f>IF('Internal Service Template'!E4="","",'Internal Service Template'!E4)</f>
        <v/>
      </c>
      <c r="D4" s="1128"/>
      <c r="E4" s="1128"/>
      <c r="F4" s="359"/>
      <c r="G4" s="359"/>
      <c r="H4" s="359"/>
      <c r="I4" s="359"/>
      <c r="J4" s="359"/>
      <c r="K4" s="359"/>
      <c r="L4" s="359"/>
      <c r="M4" s="359"/>
      <c r="N4" s="359"/>
      <c r="O4" s="359"/>
      <c r="P4" s="359"/>
    </row>
    <row r="5" spans="1:35" ht="20.25" customHeight="1">
      <c r="A5" s="1152" t="s">
        <v>2770</v>
      </c>
      <c r="B5" s="1153"/>
      <c r="C5" s="1129" t="str">
        <f>IF('Internal Service Template'!E5="","",'Internal Service Template'!E5)</f>
        <v/>
      </c>
      <c r="D5" s="1130"/>
      <c r="E5" s="1130"/>
      <c r="F5" s="359"/>
      <c r="G5" s="359"/>
      <c r="H5" s="359"/>
      <c r="I5" s="359"/>
      <c r="J5" s="359"/>
      <c r="K5" s="359"/>
      <c r="L5" s="359"/>
      <c r="M5" s="359"/>
      <c r="N5" s="359"/>
      <c r="O5" s="359"/>
      <c r="P5" s="359"/>
      <c r="Q5" s="449"/>
    </row>
    <row r="6" spans="1:35" ht="20.25" customHeight="1">
      <c r="A6" s="1152" t="s">
        <v>588</v>
      </c>
      <c r="B6" s="1153"/>
      <c r="C6" s="1157" t="str">
        <f>IF('Internal Service Template'!E6="","",'Internal Service Template'!E6)</f>
        <v/>
      </c>
      <c r="D6" s="1157"/>
      <c r="E6" s="1157"/>
      <c r="F6" s="359"/>
      <c r="G6" s="359"/>
      <c r="H6" s="359"/>
      <c r="I6" s="359"/>
      <c r="J6" s="359"/>
      <c r="K6" s="359"/>
      <c r="L6" s="359"/>
      <c r="M6" s="359"/>
      <c r="N6" s="359"/>
      <c r="O6" s="359"/>
      <c r="P6" s="359"/>
    </row>
    <row r="7" spans="1:35" ht="20.25" customHeight="1">
      <c r="A7" s="1152" t="s">
        <v>93</v>
      </c>
      <c r="B7" s="1153"/>
      <c r="C7" s="1154" t="str">
        <f>'Internal Service Template'!E7</f>
        <v/>
      </c>
      <c r="D7" s="1154"/>
      <c r="E7" s="1154"/>
      <c r="F7" s="359"/>
      <c r="G7" s="359"/>
      <c r="H7" s="359"/>
      <c r="I7" s="359"/>
      <c r="J7" s="359"/>
      <c r="K7" s="359"/>
      <c r="L7" s="359"/>
      <c r="M7" s="359"/>
      <c r="N7" s="359"/>
      <c r="O7" s="359"/>
      <c r="P7" s="359"/>
    </row>
    <row r="8" spans="1:35" ht="20.25" customHeight="1">
      <c r="F8" s="359"/>
      <c r="G8" s="359"/>
      <c r="H8" s="359"/>
      <c r="I8" s="359"/>
      <c r="J8" s="359"/>
      <c r="K8" s="359"/>
      <c r="L8" s="359"/>
      <c r="M8" s="359"/>
      <c r="N8" s="359"/>
      <c r="O8" s="359"/>
      <c r="P8" s="359"/>
    </row>
    <row r="9" spans="1:35">
      <c r="A9" s="359"/>
      <c r="B9" s="359"/>
      <c r="C9" s="359"/>
      <c r="D9" s="359"/>
      <c r="E9" s="359"/>
      <c r="F9" s="1144" t="s">
        <v>2818</v>
      </c>
      <c r="G9" s="1145"/>
      <c r="H9" s="1145"/>
      <c r="I9" s="1145"/>
      <c r="J9" s="1145"/>
      <c r="K9" s="1145"/>
      <c r="L9" s="1145"/>
      <c r="M9" s="1145"/>
      <c r="N9" s="1145"/>
      <c r="O9" s="1146"/>
      <c r="P9" s="360"/>
      <c r="Q9" s="454"/>
      <c r="R9" s="1147" t="s">
        <v>2819</v>
      </c>
      <c r="S9" s="1148"/>
      <c r="T9" s="1148"/>
      <c r="U9" s="1149"/>
      <c r="V9" s="1147" t="s">
        <v>2820</v>
      </c>
      <c r="W9" s="1148"/>
      <c r="X9" s="1149"/>
      <c r="Y9" s="359"/>
      <c r="Z9" s="359"/>
      <c r="AA9" s="359"/>
      <c r="AF9" s="359"/>
      <c r="AG9" s="359"/>
      <c r="AI9" s="359"/>
    </row>
    <row r="10" spans="1:35">
      <c r="A10" s="359"/>
      <c r="B10" s="359"/>
      <c r="C10" s="359"/>
      <c r="D10" s="359"/>
      <c r="E10" s="359"/>
      <c r="F10" s="404" t="s">
        <v>2821</v>
      </c>
      <c r="G10" s="405"/>
      <c r="H10" s="405"/>
      <c r="I10" s="405"/>
      <c r="J10" s="405"/>
      <c r="K10" s="405"/>
      <c r="L10" s="405"/>
      <c r="M10" s="405"/>
      <c r="N10" s="361"/>
      <c r="O10" s="362"/>
      <c r="P10" s="449"/>
      <c r="Q10" s="454"/>
      <c r="R10" s="363"/>
      <c r="S10" s="364"/>
      <c r="T10" s="364"/>
      <c r="U10" s="365"/>
      <c r="V10" s="1150" t="s">
        <v>2822</v>
      </c>
      <c r="W10" s="1151"/>
      <c r="X10" s="366"/>
      <c r="Y10" s="359"/>
      <c r="Z10" s="359"/>
      <c r="AA10" s="367"/>
      <c r="AB10" s="1148" t="s">
        <v>2823</v>
      </c>
      <c r="AC10" s="1148"/>
      <c r="AD10" s="1148"/>
      <c r="AE10" s="1149"/>
      <c r="AF10" s="359"/>
      <c r="AG10" s="359"/>
      <c r="AH10" s="368"/>
      <c r="AI10" s="359"/>
    </row>
    <row r="11" spans="1:35" ht="108.75" customHeight="1">
      <c r="A11" s="406" t="s">
        <v>2824</v>
      </c>
      <c r="B11" s="407" t="s">
        <v>2825</v>
      </c>
      <c r="C11" s="408" t="s">
        <v>2849</v>
      </c>
      <c r="D11" s="408" t="s">
        <v>2850</v>
      </c>
      <c r="E11" s="369" t="s">
        <v>2851</v>
      </c>
      <c r="F11" s="370" t="s">
        <v>2826</v>
      </c>
      <c r="G11" s="370" t="s">
        <v>2827</v>
      </c>
      <c r="H11" s="370" t="s">
        <v>2828</v>
      </c>
      <c r="I11" s="370" t="s">
        <v>2829</v>
      </c>
      <c r="J11" s="370" t="s">
        <v>2830</v>
      </c>
      <c r="K11" s="370" t="s">
        <v>2831</v>
      </c>
      <c r="L11" s="370" t="s">
        <v>2832</v>
      </c>
      <c r="M11" s="370" t="s">
        <v>2852</v>
      </c>
      <c r="N11" s="371" t="s">
        <v>2833</v>
      </c>
      <c r="O11" s="372" t="s">
        <v>2834</v>
      </c>
      <c r="P11" s="452" t="s">
        <v>3240</v>
      </c>
      <c r="Q11" s="455" t="s">
        <v>44</v>
      </c>
      <c r="R11" s="373" t="s">
        <v>2835</v>
      </c>
      <c r="S11" s="373" t="s">
        <v>2836</v>
      </c>
      <c r="T11" s="373" t="s">
        <v>2837</v>
      </c>
      <c r="U11" s="370" t="s">
        <v>2838</v>
      </c>
      <c r="V11" s="370" t="s">
        <v>2839</v>
      </c>
      <c r="W11" s="370" t="s">
        <v>2840</v>
      </c>
      <c r="X11" s="374" t="s">
        <v>2841</v>
      </c>
      <c r="Y11" s="375" t="s">
        <v>2842</v>
      </c>
      <c r="Z11" s="376" t="s">
        <v>44</v>
      </c>
      <c r="AA11" s="377" t="s">
        <v>2843</v>
      </c>
      <c r="AB11" s="378" t="s">
        <v>2844</v>
      </c>
      <c r="AC11" s="378" t="s">
        <v>841</v>
      </c>
      <c r="AD11" s="378" t="s">
        <v>842</v>
      </c>
      <c r="AE11" s="378" t="s">
        <v>2845</v>
      </c>
      <c r="AF11" s="375" t="s">
        <v>652</v>
      </c>
      <c r="AG11" s="379" t="s">
        <v>44</v>
      </c>
      <c r="AH11" s="379" t="s">
        <v>2846</v>
      </c>
      <c r="AI11" s="409" t="s">
        <v>2853</v>
      </c>
    </row>
    <row r="12" spans="1:35">
      <c r="A12" s="380" t="s">
        <v>686</v>
      </c>
      <c r="B12" s="381" t="s">
        <v>427</v>
      </c>
      <c r="C12" s="382"/>
      <c r="D12" s="359"/>
      <c r="E12" s="359"/>
      <c r="F12" s="359"/>
      <c r="G12" s="359"/>
      <c r="H12" s="359"/>
      <c r="I12" s="359"/>
      <c r="J12" s="359"/>
      <c r="K12" s="359"/>
      <c r="L12" s="359"/>
      <c r="M12" s="359"/>
      <c r="N12" s="359"/>
      <c r="O12" s="410"/>
      <c r="P12" s="384">
        <f>IF(SUM(F12:O12)=(SUM(R12:U12)),(SUM(F12:O12)))</f>
        <v>0</v>
      </c>
      <c r="Q12" s="456">
        <f>SUM(F12:O12)-SUM(R12:U12)</f>
        <v>0</v>
      </c>
      <c r="R12" s="385"/>
      <c r="S12" s="385"/>
      <c r="T12" s="385"/>
      <c r="U12" s="385"/>
      <c r="V12" s="385"/>
      <c r="W12" s="385"/>
      <c r="X12" s="385"/>
      <c r="Y12" s="386">
        <f t="shared" ref="Y12:Y107" si="0">IF(SUM(R12:U12)=SUM(V12:X12), SUM(V12:X12),"Error")</f>
        <v>0</v>
      </c>
      <c r="Z12" s="387">
        <f>IFERROR((SUM(R12:U12)-SUM(V12:X12)),"Error")</f>
        <v>0</v>
      </c>
      <c r="AA12" s="385"/>
      <c r="AB12" s="385"/>
      <c r="AC12" s="385"/>
      <c r="AD12" s="385"/>
      <c r="AE12" s="388"/>
      <c r="AF12" s="383">
        <f t="shared" ref="AF12:AF150" si="1">IF(SUM(AA12:AE12)=Y12,SUM(AA12:AE12),"Error")</f>
        <v>0</v>
      </c>
      <c r="AG12" s="387">
        <f>IFERROR((SUM(AA12:AE12)-Y12),"Error")</f>
        <v>0</v>
      </c>
      <c r="AH12" s="411" t="str">
        <f>IF(AND(P12=Y12,Y12=AF12),"","Error")</f>
        <v/>
      </c>
      <c r="AI12" s="359">
        <f>'Internal Service Template'!$E$2</f>
        <v>0</v>
      </c>
    </row>
    <row r="13" spans="1:35">
      <c r="A13" s="380"/>
      <c r="B13" s="359"/>
      <c r="C13" s="412"/>
      <c r="D13" s="359"/>
      <c r="E13" s="359"/>
      <c r="F13" s="359"/>
      <c r="G13" s="359"/>
      <c r="H13" s="359"/>
      <c r="I13" s="359"/>
      <c r="J13" s="359"/>
      <c r="K13" s="359"/>
      <c r="L13" s="359"/>
      <c r="M13" s="359"/>
      <c r="N13" s="359"/>
      <c r="O13" s="413"/>
      <c r="P13" s="359"/>
      <c r="Q13" s="457"/>
      <c r="R13" s="414"/>
      <c r="S13" s="414"/>
      <c r="T13" s="414"/>
      <c r="U13" s="414"/>
      <c r="V13" s="414"/>
      <c r="W13" s="414"/>
      <c r="X13" s="414"/>
      <c r="Y13" s="415"/>
      <c r="Z13" s="416"/>
      <c r="AA13" s="414"/>
      <c r="AB13" s="414"/>
      <c r="AC13" s="414"/>
      <c r="AD13" s="414"/>
      <c r="AE13" s="417"/>
      <c r="AF13" s="359"/>
      <c r="AG13" s="416"/>
      <c r="AH13" s="411"/>
      <c r="AI13" s="359"/>
    </row>
    <row r="14" spans="1:35">
      <c r="A14" s="380" t="s">
        <v>686</v>
      </c>
      <c r="B14" s="381" t="s">
        <v>796</v>
      </c>
      <c r="C14" s="389"/>
      <c r="D14" s="389"/>
      <c r="E14" s="389"/>
      <c r="F14" s="390"/>
      <c r="G14" s="390"/>
      <c r="H14" s="390"/>
      <c r="I14" s="390"/>
      <c r="J14" s="390"/>
      <c r="K14" s="390"/>
      <c r="L14" s="390"/>
      <c r="M14" s="390"/>
      <c r="N14" s="390"/>
      <c r="O14" s="391"/>
      <c r="P14" s="384">
        <f t="shared" ref="P14:P18" si="2">IF(SUM(F14:O14)=(SUM(R14:U14)),(SUM(F14:O14)))</f>
        <v>0</v>
      </c>
      <c r="Q14" s="456">
        <f t="shared" ref="Q14:Q18" si="3">SUM(F14:O14)-SUM(R14:U14)</f>
        <v>0</v>
      </c>
      <c r="R14" s="385"/>
      <c r="S14" s="385"/>
      <c r="T14" s="385"/>
      <c r="U14" s="385"/>
      <c r="V14" s="385"/>
      <c r="W14" s="385"/>
      <c r="X14" s="385"/>
      <c r="Y14" s="392">
        <f t="shared" si="0"/>
        <v>0</v>
      </c>
      <c r="Z14" s="387">
        <f t="shared" ref="Z14:Z18" si="4">IFERROR((SUM(R14:U14)-SUM(V14:X14)),"Error")</f>
        <v>0</v>
      </c>
      <c r="AA14" s="385"/>
      <c r="AB14" s="385"/>
      <c r="AC14" s="385"/>
      <c r="AD14" s="385"/>
      <c r="AE14" s="388"/>
      <c r="AF14" s="383">
        <f t="shared" si="1"/>
        <v>0</v>
      </c>
      <c r="AG14" s="387">
        <f t="shared" ref="AG14:AG18" si="5">IFERROR((SUM(AA14:AE14)-Y14),"Error")</f>
        <v>0</v>
      </c>
      <c r="AH14" s="411" t="str">
        <f t="shared" ref="AH14:AH107" si="6">IF(AND(P14=Y14,Y14=AF14),"","Error")</f>
        <v/>
      </c>
      <c r="AI14" s="359">
        <f>'Internal Service Template'!$E$2</f>
        <v>0</v>
      </c>
    </row>
    <row r="15" spans="1:35">
      <c r="A15" s="380" t="s">
        <v>686</v>
      </c>
      <c r="B15" s="381" t="s">
        <v>796</v>
      </c>
      <c r="C15" s="389"/>
      <c r="D15" s="389"/>
      <c r="E15" s="389"/>
      <c r="F15" s="390"/>
      <c r="G15" s="390"/>
      <c r="H15" s="390"/>
      <c r="I15" s="390"/>
      <c r="J15" s="390"/>
      <c r="K15" s="390"/>
      <c r="L15" s="390"/>
      <c r="M15" s="390"/>
      <c r="N15" s="390"/>
      <c r="O15" s="391"/>
      <c r="P15" s="384">
        <f t="shared" si="2"/>
        <v>0</v>
      </c>
      <c r="Q15" s="456">
        <f t="shared" si="3"/>
        <v>0</v>
      </c>
      <c r="R15" s="385"/>
      <c r="S15" s="385"/>
      <c r="T15" s="385"/>
      <c r="U15" s="385"/>
      <c r="V15" s="385"/>
      <c r="W15" s="385"/>
      <c r="X15" s="385"/>
      <c r="Y15" s="392">
        <f t="shared" ref="Y15:Y18" si="7">IF(SUM(R15:U15)=SUM(V15:X15), SUM(V15:X15),"Error")</f>
        <v>0</v>
      </c>
      <c r="Z15" s="387">
        <f t="shared" si="4"/>
        <v>0</v>
      </c>
      <c r="AA15" s="385"/>
      <c r="AB15" s="385"/>
      <c r="AC15" s="385"/>
      <c r="AD15" s="385"/>
      <c r="AE15" s="388"/>
      <c r="AF15" s="383">
        <f t="shared" si="1"/>
        <v>0</v>
      </c>
      <c r="AG15" s="387">
        <f t="shared" si="5"/>
        <v>0</v>
      </c>
      <c r="AH15" s="411" t="str">
        <f t="shared" si="6"/>
        <v/>
      </c>
      <c r="AI15" s="359">
        <f>'Internal Service Template'!$E$2</f>
        <v>0</v>
      </c>
    </row>
    <row r="16" spans="1:35">
      <c r="A16" s="380" t="s">
        <v>686</v>
      </c>
      <c r="B16" s="381" t="s">
        <v>796</v>
      </c>
      <c r="C16" s="389"/>
      <c r="D16" s="389"/>
      <c r="E16" s="389"/>
      <c r="F16" s="390"/>
      <c r="G16" s="390"/>
      <c r="H16" s="390"/>
      <c r="I16" s="390"/>
      <c r="J16" s="390"/>
      <c r="K16" s="390"/>
      <c r="L16" s="390"/>
      <c r="M16" s="390"/>
      <c r="N16" s="390"/>
      <c r="O16" s="391"/>
      <c r="P16" s="384">
        <f t="shared" si="2"/>
        <v>0</v>
      </c>
      <c r="Q16" s="456">
        <f t="shared" si="3"/>
        <v>0</v>
      </c>
      <c r="R16" s="385"/>
      <c r="S16" s="385"/>
      <c r="T16" s="385"/>
      <c r="U16" s="385"/>
      <c r="V16" s="385"/>
      <c r="W16" s="385"/>
      <c r="X16" s="385"/>
      <c r="Y16" s="392">
        <f t="shared" si="7"/>
        <v>0</v>
      </c>
      <c r="Z16" s="387">
        <f t="shared" si="4"/>
        <v>0</v>
      </c>
      <c r="AA16" s="385"/>
      <c r="AB16" s="385"/>
      <c r="AC16" s="385"/>
      <c r="AD16" s="385"/>
      <c r="AE16" s="388"/>
      <c r="AF16" s="383">
        <f t="shared" si="1"/>
        <v>0</v>
      </c>
      <c r="AG16" s="387">
        <f t="shared" si="5"/>
        <v>0</v>
      </c>
      <c r="AH16" s="411" t="str">
        <f t="shared" si="6"/>
        <v/>
      </c>
      <c r="AI16" s="359">
        <f>'Internal Service Template'!$E$2</f>
        <v>0</v>
      </c>
    </row>
    <row r="17" spans="1:35">
      <c r="A17" s="380" t="s">
        <v>686</v>
      </c>
      <c r="B17" s="381" t="s">
        <v>796</v>
      </c>
      <c r="C17" s="389"/>
      <c r="D17" s="389"/>
      <c r="E17" s="389"/>
      <c r="F17" s="390"/>
      <c r="G17" s="390"/>
      <c r="H17" s="390"/>
      <c r="I17" s="390"/>
      <c r="J17" s="390"/>
      <c r="K17" s="390"/>
      <c r="L17" s="390"/>
      <c r="M17" s="390"/>
      <c r="N17" s="390"/>
      <c r="O17" s="391"/>
      <c r="P17" s="384">
        <f t="shared" si="2"/>
        <v>0</v>
      </c>
      <c r="Q17" s="456">
        <f t="shared" si="3"/>
        <v>0</v>
      </c>
      <c r="R17" s="385"/>
      <c r="S17" s="385"/>
      <c r="T17" s="385"/>
      <c r="U17" s="385"/>
      <c r="V17" s="385"/>
      <c r="W17" s="385"/>
      <c r="X17" s="385"/>
      <c r="Y17" s="392">
        <f t="shared" si="7"/>
        <v>0</v>
      </c>
      <c r="Z17" s="387">
        <f t="shared" si="4"/>
        <v>0</v>
      </c>
      <c r="AA17" s="385"/>
      <c r="AB17" s="385"/>
      <c r="AC17" s="385"/>
      <c r="AD17" s="385"/>
      <c r="AE17" s="388"/>
      <c r="AF17" s="383">
        <f t="shared" si="1"/>
        <v>0</v>
      </c>
      <c r="AG17" s="387">
        <f t="shared" si="5"/>
        <v>0</v>
      </c>
      <c r="AH17" s="411" t="str">
        <f t="shared" si="6"/>
        <v/>
      </c>
      <c r="AI17" s="359">
        <f>'Internal Service Template'!$E$2</f>
        <v>0</v>
      </c>
    </row>
    <row r="18" spans="1:35">
      <c r="A18" s="380" t="s">
        <v>686</v>
      </c>
      <c r="B18" s="381" t="s">
        <v>796</v>
      </c>
      <c r="C18" s="389"/>
      <c r="D18" s="389"/>
      <c r="E18" s="389"/>
      <c r="F18" s="390"/>
      <c r="G18" s="390"/>
      <c r="H18" s="390"/>
      <c r="I18" s="390"/>
      <c r="J18" s="390"/>
      <c r="K18" s="390"/>
      <c r="L18" s="390"/>
      <c r="M18" s="390"/>
      <c r="N18" s="390"/>
      <c r="O18" s="391"/>
      <c r="P18" s="384">
        <f t="shared" si="2"/>
        <v>0</v>
      </c>
      <c r="Q18" s="456">
        <f t="shared" si="3"/>
        <v>0</v>
      </c>
      <c r="R18" s="385"/>
      <c r="S18" s="385"/>
      <c r="T18" s="385"/>
      <c r="U18" s="385"/>
      <c r="V18" s="385"/>
      <c r="W18" s="385"/>
      <c r="X18" s="385"/>
      <c r="Y18" s="392">
        <f t="shared" si="7"/>
        <v>0</v>
      </c>
      <c r="Z18" s="387">
        <f t="shared" si="4"/>
        <v>0</v>
      </c>
      <c r="AA18" s="385"/>
      <c r="AB18" s="385"/>
      <c r="AC18" s="385"/>
      <c r="AD18" s="385"/>
      <c r="AE18" s="388"/>
      <c r="AF18" s="383">
        <f t="shared" si="1"/>
        <v>0</v>
      </c>
      <c r="AG18" s="387">
        <f t="shared" si="5"/>
        <v>0</v>
      </c>
      <c r="AH18" s="411" t="str">
        <f t="shared" si="6"/>
        <v/>
      </c>
      <c r="AI18" s="359">
        <f>'Internal Service Template'!$E$2</f>
        <v>0</v>
      </c>
    </row>
    <row r="19" spans="1:35">
      <c r="A19" s="380"/>
      <c r="B19" s="359"/>
      <c r="C19" s="412"/>
      <c r="D19" s="359"/>
      <c r="E19" s="359"/>
      <c r="F19" s="359"/>
      <c r="G19" s="359"/>
      <c r="H19" s="359"/>
      <c r="I19" s="359"/>
      <c r="J19" s="359"/>
      <c r="K19" s="359"/>
      <c r="L19" s="359"/>
      <c r="M19" s="359"/>
      <c r="N19" s="359"/>
      <c r="O19" s="413"/>
      <c r="P19" s="359"/>
      <c r="Q19" s="457"/>
      <c r="R19" s="414"/>
      <c r="S19" s="414"/>
      <c r="T19" s="414"/>
      <c r="U19" s="414"/>
      <c r="V19" s="414"/>
      <c r="W19" s="414"/>
      <c r="X19" s="414"/>
      <c r="Y19" s="415"/>
      <c r="Z19" s="416"/>
      <c r="AA19" s="414"/>
      <c r="AB19" s="414"/>
      <c r="AC19" s="414"/>
      <c r="AD19" s="414"/>
      <c r="AE19" s="417"/>
      <c r="AF19" s="359"/>
      <c r="AG19" s="416"/>
      <c r="AH19" s="411"/>
      <c r="AI19" s="359"/>
    </row>
    <row r="20" spans="1:35">
      <c r="A20" s="380" t="s">
        <v>686</v>
      </c>
      <c r="B20" s="381" t="s">
        <v>2580</v>
      </c>
      <c r="C20" s="389"/>
      <c r="D20" s="389"/>
      <c r="E20" s="389"/>
      <c r="F20" s="390"/>
      <c r="G20" s="390"/>
      <c r="H20" s="390"/>
      <c r="I20" s="390"/>
      <c r="J20" s="390"/>
      <c r="K20" s="390"/>
      <c r="L20" s="390"/>
      <c r="M20" s="390"/>
      <c r="N20" s="390"/>
      <c r="O20" s="391"/>
      <c r="P20" s="384">
        <f t="shared" ref="P20:P24" si="8">IF(SUM(F20:O20)=(SUM(R20:U20)),(SUM(F20:O20)))</f>
        <v>0</v>
      </c>
      <c r="Q20" s="456">
        <f t="shared" ref="Q20:Q24" si="9">SUM(F20:O20)-SUM(R20:U20)</f>
        <v>0</v>
      </c>
      <c r="R20" s="385"/>
      <c r="S20" s="385"/>
      <c r="T20" s="385"/>
      <c r="U20" s="385"/>
      <c r="V20" s="385"/>
      <c r="W20" s="385"/>
      <c r="X20" s="385"/>
      <c r="Y20" s="392">
        <f t="shared" si="0"/>
        <v>0</v>
      </c>
      <c r="Z20" s="387">
        <f t="shared" ref="Z20:Z24" si="10">IFERROR((SUM(R20:U20)-SUM(V20:X20)),"Error")</f>
        <v>0</v>
      </c>
      <c r="AA20" s="385"/>
      <c r="AB20" s="385"/>
      <c r="AC20" s="385"/>
      <c r="AD20" s="385"/>
      <c r="AE20" s="388"/>
      <c r="AF20" s="383">
        <f t="shared" si="1"/>
        <v>0</v>
      </c>
      <c r="AG20" s="387">
        <f t="shared" ref="AG20:AG24" si="11">IFERROR((SUM(AA20:AE20)-Y20),"Error")</f>
        <v>0</v>
      </c>
      <c r="AH20" s="411" t="str">
        <f t="shared" si="6"/>
        <v/>
      </c>
      <c r="AI20" s="359">
        <f>'Internal Service Template'!$E$2</f>
        <v>0</v>
      </c>
    </row>
    <row r="21" spans="1:35">
      <c r="A21" s="380" t="s">
        <v>686</v>
      </c>
      <c r="B21" s="381" t="s">
        <v>2580</v>
      </c>
      <c r="C21" s="389"/>
      <c r="D21" s="389"/>
      <c r="E21" s="389"/>
      <c r="F21" s="390"/>
      <c r="G21" s="390"/>
      <c r="H21" s="390"/>
      <c r="I21" s="390"/>
      <c r="J21" s="390"/>
      <c r="K21" s="390"/>
      <c r="L21" s="390"/>
      <c r="M21" s="390"/>
      <c r="N21" s="390"/>
      <c r="O21" s="391"/>
      <c r="P21" s="384">
        <f t="shared" si="8"/>
        <v>0</v>
      </c>
      <c r="Q21" s="456">
        <f t="shared" si="9"/>
        <v>0</v>
      </c>
      <c r="R21" s="385"/>
      <c r="S21" s="385"/>
      <c r="T21" s="385"/>
      <c r="U21" s="385"/>
      <c r="V21" s="385"/>
      <c r="W21" s="385"/>
      <c r="X21" s="385"/>
      <c r="Y21" s="392">
        <f t="shared" ref="Y21:Y24" si="12">IF(SUM(R21:U21)=SUM(V21:X21), SUM(V21:X21),"Error")</f>
        <v>0</v>
      </c>
      <c r="Z21" s="387">
        <f t="shared" si="10"/>
        <v>0</v>
      </c>
      <c r="AA21" s="385"/>
      <c r="AB21" s="385"/>
      <c r="AC21" s="385"/>
      <c r="AD21" s="385"/>
      <c r="AE21" s="388"/>
      <c r="AF21" s="383">
        <f t="shared" si="1"/>
        <v>0</v>
      </c>
      <c r="AG21" s="387">
        <f t="shared" si="11"/>
        <v>0</v>
      </c>
      <c r="AH21" s="411" t="str">
        <f t="shared" si="6"/>
        <v/>
      </c>
      <c r="AI21" s="359">
        <f>'Internal Service Template'!$E$2</f>
        <v>0</v>
      </c>
    </row>
    <row r="22" spans="1:35">
      <c r="A22" s="380" t="s">
        <v>686</v>
      </c>
      <c r="B22" s="381" t="s">
        <v>2580</v>
      </c>
      <c r="C22" s="389"/>
      <c r="D22" s="389"/>
      <c r="E22" s="389"/>
      <c r="F22" s="390"/>
      <c r="G22" s="390"/>
      <c r="H22" s="390"/>
      <c r="I22" s="390"/>
      <c r="J22" s="390"/>
      <c r="K22" s="390"/>
      <c r="L22" s="390"/>
      <c r="M22" s="390"/>
      <c r="N22" s="390"/>
      <c r="O22" s="391"/>
      <c r="P22" s="384">
        <f t="shared" si="8"/>
        <v>0</v>
      </c>
      <c r="Q22" s="456">
        <f t="shared" si="9"/>
        <v>0</v>
      </c>
      <c r="R22" s="385"/>
      <c r="S22" s="385"/>
      <c r="T22" s="385"/>
      <c r="U22" s="385"/>
      <c r="V22" s="385"/>
      <c r="W22" s="385"/>
      <c r="X22" s="385"/>
      <c r="Y22" s="392">
        <f t="shared" si="12"/>
        <v>0</v>
      </c>
      <c r="Z22" s="387">
        <f t="shared" si="10"/>
        <v>0</v>
      </c>
      <c r="AA22" s="385"/>
      <c r="AB22" s="385"/>
      <c r="AC22" s="385"/>
      <c r="AD22" s="385"/>
      <c r="AE22" s="388"/>
      <c r="AF22" s="383">
        <f t="shared" si="1"/>
        <v>0</v>
      </c>
      <c r="AG22" s="387">
        <f t="shared" si="11"/>
        <v>0</v>
      </c>
      <c r="AH22" s="411" t="str">
        <f t="shared" si="6"/>
        <v/>
      </c>
      <c r="AI22" s="359">
        <f>'Internal Service Template'!$E$2</f>
        <v>0</v>
      </c>
    </row>
    <row r="23" spans="1:35">
      <c r="A23" s="380" t="s">
        <v>686</v>
      </c>
      <c r="B23" s="381" t="s">
        <v>2580</v>
      </c>
      <c r="C23" s="389"/>
      <c r="D23" s="389"/>
      <c r="E23" s="389"/>
      <c r="F23" s="390"/>
      <c r="G23" s="390"/>
      <c r="H23" s="390"/>
      <c r="I23" s="390"/>
      <c r="J23" s="390"/>
      <c r="K23" s="390"/>
      <c r="L23" s="390"/>
      <c r="M23" s="390"/>
      <c r="N23" s="390"/>
      <c r="O23" s="391"/>
      <c r="P23" s="384">
        <f t="shared" si="8"/>
        <v>0</v>
      </c>
      <c r="Q23" s="456">
        <f t="shared" si="9"/>
        <v>0</v>
      </c>
      <c r="R23" s="385"/>
      <c r="S23" s="385"/>
      <c r="T23" s="385"/>
      <c r="U23" s="385"/>
      <c r="V23" s="385"/>
      <c r="W23" s="385"/>
      <c r="X23" s="385"/>
      <c r="Y23" s="392">
        <f t="shared" si="12"/>
        <v>0</v>
      </c>
      <c r="Z23" s="387">
        <f t="shared" si="10"/>
        <v>0</v>
      </c>
      <c r="AA23" s="385"/>
      <c r="AB23" s="385"/>
      <c r="AC23" s="385"/>
      <c r="AD23" s="385"/>
      <c r="AE23" s="388"/>
      <c r="AF23" s="383">
        <f t="shared" si="1"/>
        <v>0</v>
      </c>
      <c r="AG23" s="387">
        <f t="shared" si="11"/>
        <v>0</v>
      </c>
      <c r="AH23" s="411" t="str">
        <f t="shared" si="6"/>
        <v/>
      </c>
      <c r="AI23" s="359">
        <f>'Internal Service Template'!$E$2</f>
        <v>0</v>
      </c>
    </row>
    <row r="24" spans="1:35">
      <c r="A24" s="380" t="s">
        <v>686</v>
      </c>
      <c r="B24" s="381" t="s">
        <v>2580</v>
      </c>
      <c r="C24" s="389"/>
      <c r="D24" s="389"/>
      <c r="E24" s="389"/>
      <c r="F24" s="390"/>
      <c r="G24" s="390"/>
      <c r="H24" s="390"/>
      <c r="I24" s="390"/>
      <c r="J24" s="390"/>
      <c r="K24" s="390"/>
      <c r="L24" s="390"/>
      <c r="M24" s="390"/>
      <c r="N24" s="390"/>
      <c r="O24" s="391"/>
      <c r="P24" s="384">
        <f t="shared" si="8"/>
        <v>0</v>
      </c>
      <c r="Q24" s="456">
        <f t="shared" si="9"/>
        <v>0</v>
      </c>
      <c r="R24" s="385"/>
      <c r="S24" s="385"/>
      <c r="T24" s="385"/>
      <c r="U24" s="385"/>
      <c r="V24" s="385"/>
      <c r="W24" s="385"/>
      <c r="X24" s="385"/>
      <c r="Y24" s="392">
        <f t="shared" si="12"/>
        <v>0</v>
      </c>
      <c r="Z24" s="387">
        <f t="shared" si="10"/>
        <v>0</v>
      </c>
      <c r="AA24" s="385"/>
      <c r="AB24" s="385"/>
      <c r="AC24" s="385"/>
      <c r="AD24" s="385"/>
      <c r="AE24" s="388"/>
      <c r="AF24" s="383">
        <f t="shared" si="1"/>
        <v>0</v>
      </c>
      <c r="AG24" s="387">
        <f t="shared" si="11"/>
        <v>0</v>
      </c>
      <c r="AH24" s="411" t="str">
        <f t="shared" si="6"/>
        <v/>
      </c>
      <c r="AI24" s="359">
        <f>'Internal Service Template'!$E$2</f>
        <v>0</v>
      </c>
    </row>
    <row r="25" spans="1:35">
      <c r="A25" s="380"/>
      <c r="B25" s="359"/>
      <c r="C25" s="412"/>
      <c r="D25" s="359"/>
      <c r="E25" s="359"/>
      <c r="F25" s="359"/>
      <c r="G25" s="359"/>
      <c r="H25" s="359"/>
      <c r="I25" s="359"/>
      <c r="J25" s="359"/>
      <c r="K25" s="359"/>
      <c r="L25" s="359"/>
      <c r="M25" s="359"/>
      <c r="N25" s="359"/>
      <c r="O25" s="413"/>
      <c r="P25" s="359"/>
      <c r="Q25" s="457"/>
      <c r="R25" s="414"/>
      <c r="S25" s="414"/>
      <c r="T25" s="414"/>
      <c r="U25" s="414"/>
      <c r="V25" s="414"/>
      <c r="W25" s="414"/>
      <c r="X25" s="414"/>
      <c r="Y25" s="415"/>
      <c r="Z25" s="416"/>
      <c r="AA25" s="414"/>
      <c r="AB25" s="414"/>
      <c r="AC25" s="414"/>
      <c r="AD25" s="414"/>
      <c r="AE25" s="417"/>
      <c r="AF25" s="359"/>
      <c r="AG25" s="416"/>
      <c r="AH25" s="411"/>
      <c r="AI25" s="359"/>
    </row>
    <row r="26" spans="1:35">
      <c r="A26" s="380" t="s">
        <v>686</v>
      </c>
      <c r="B26" s="381" t="s">
        <v>428</v>
      </c>
      <c r="C26" s="389"/>
      <c r="D26" s="389"/>
      <c r="E26" s="389"/>
      <c r="F26" s="390"/>
      <c r="G26" s="390"/>
      <c r="H26" s="390"/>
      <c r="I26" s="390"/>
      <c r="J26" s="390"/>
      <c r="K26" s="390"/>
      <c r="L26" s="390"/>
      <c r="M26" s="390"/>
      <c r="N26" s="390"/>
      <c r="O26" s="391"/>
      <c r="P26" s="384">
        <f t="shared" ref="P26:P30" si="13">IF(SUM(F26:O26)=(SUM(R26:U26)),(SUM(F26:O26)))</f>
        <v>0</v>
      </c>
      <c r="Q26" s="456">
        <f t="shared" ref="Q26:Q30" si="14">SUM(F26:O26)-SUM(R26:U26)</f>
        <v>0</v>
      </c>
      <c r="R26" s="385"/>
      <c r="S26" s="385"/>
      <c r="T26" s="385"/>
      <c r="U26" s="385"/>
      <c r="V26" s="385"/>
      <c r="W26" s="385"/>
      <c r="X26" s="385"/>
      <c r="Y26" s="392">
        <f t="shared" si="0"/>
        <v>0</v>
      </c>
      <c r="Z26" s="387">
        <f t="shared" ref="Z26:Z30" si="15">IFERROR((SUM(R26:U26)-SUM(V26:X26)),"Error")</f>
        <v>0</v>
      </c>
      <c r="AA26" s="385"/>
      <c r="AB26" s="385"/>
      <c r="AC26" s="385"/>
      <c r="AD26" s="385"/>
      <c r="AE26" s="388"/>
      <c r="AF26" s="383">
        <f t="shared" si="1"/>
        <v>0</v>
      </c>
      <c r="AG26" s="387">
        <f t="shared" ref="AG26:AG30" si="16">IFERROR((SUM(AA26:AE26)-Y26),"Error")</f>
        <v>0</v>
      </c>
      <c r="AH26" s="411" t="str">
        <f t="shared" si="6"/>
        <v/>
      </c>
      <c r="AI26" s="359">
        <f>'Internal Service Template'!$E$2</f>
        <v>0</v>
      </c>
    </row>
    <row r="27" spans="1:35">
      <c r="A27" s="380" t="s">
        <v>686</v>
      </c>
      <c r="B27" s="381" t="s">
        <v>428</v>
      </c>
      <c r="C27" s="389"/>
      <c r="D27" s="389"/>
      <c r="E27" s="389"/>
      <c r="F27" s="390"/>
      <c r="G27" s="390"/>
      <c r="H27" s="390"/>
      <c r="I27" s="390"/>
      <c r="J27" s="390"/>
      <c r="K27" s="390"/>
      <c r="L27" s="390"/>
      <c r="M27" s="390"/>
      <c r="N27" s="390"/>
      <c r="O27" s="391"/>
      <c r="P27" s="384">
        <f t="shared" si="13"/>
        <v>0</v>
      </c>
      <c r="Q27" s="456">
        <f t="shared" si="14"/>
        <v>0</v>
      </c>
      <c r="R27" s="385"/>
      <c r="S27" s="385"/>
      <c r="T27" s="385"/>
      <c r="U27" s="385"/>
      <c r="V27" s="385"/>
      <c r="W27" s="385"/>
      <c r="X27" s="385"/>
      <c r="Y27" s="392">
        <f t="shared" ref="Y27:Y30" si="17">IF(SUM(R27:U27)=SUM(V27:X27), SUM(V27:X27),"Error")</f>
        <v>0</v>
      </c>
      <c r="Z27" s="387">
        <f t="shared" si="15"/>
        <v>0</v>
      </c>
      <c r="AA27" s="385"/>
      <c r="AB27" s="385"/>
      <c r="AC27" s="385"/>
      <c r="AD27" s="385"/>
      <c r="AE27" s="388"/>
      <c r="AF27" s="383">
        <f t="shared" si="1"/>
        <v>0</v>
      </c>
      <c r="AG27" s="387">
        <f t="shared" si="16"/>
        <v>0</v>
      </c>
      <c r="AH27" s="411" t="str">
        <f t="shared" si="6"/>
        <v/>
      </c>
      <c r="AI27" s="359">
        <f>'Internal Service Template'!$E$2</f>
        <v>0</v>
      </c>
    </row>
    <row r="28" spans="1:35">
      <c r="A28" s="380" t="s">
        <v>686</v>
      </c>
      <c r="B28" s="381" t="s">
        <v>428</v>
      </c>
      <c r="C28" s="389"/>
      <c r="D28" s="389"/>
      <c r="E28" s="389"/>
      <c r="F28" s="390"/>
      <c r="G28" s="390"/>
      <c r="H28" s="390"/>
      <c r="I28" s="390"/>
      <c r="J28" s="390"/>
      <c r="K28" s="390"/>
      <c r="L28" s="390"/>
      <c r="M28" s="390"/>
      <c r="N28" s="390"/>
      <c r="O28" s="391"/>
      <c r="P28" s="384">
        <f t="shared" si="13"/>
        <v>0</v>
      </c>
      <c r="Q28" s="456">
        <f t="shared" si="14"/>
        <v>0</v>
      </c>
      <c r="R28" s="385"/>
      <c r="S28" s="385"/>
      <c r="T28" s="385"/>
      <c r="U28" s="385"/>
      <c r="V28" s="385"/>
      <c r="W28" s="385"/>
      <c r="X28" s="385"/>
      <c r="Y28" s="392">
        <f t="shared" si="17"/>
        <v>0</v>
      </c>
      <c r="Z28" s="387">
        <f t="shared" si="15"/>
        <v>0</v>
      </c>
      <c r="AA28" s="385"/>
      <c r="AB28" s="385"/>
      <c r="AC28" s="385"/>
      <c r="AD28" s="385"/>
      <c r="AE28" s="388"/>
      <c r="AF28" s="383">
        <f t="shared" si="1"/>
        <v>0</v>
      </c>
      <c r="AG28" s="387">
        <f t="shared" si="16"/>
        <v>0</v>
      </c>
      <c r="AH28" s="411" t="str">
        <f t="shared" si="6"/>
        <v/>
      </c>
      <c r="AI28" s="359">
        <f>'Internal Service Template'!$E$2</f>
        <v>0</v>
      </c>
    </row>
    <row r="29" spans="1:35">
      <c r="A29" s="380" t="s">
        <v>686</v>
      </c>
      <c r="B29" s="381" t="s">
        <v>428</v>
      </c>
      <c r="C29" s="389"/>
      <c r="D29" s="389"/>
      <c r="E29" s="389"/>
      <c r="F29" s="390"/>
      <c r="G29" s="390"/>
      <c r="H29" s="390"/>
      <c r="I29" s="390"/>
      <c r="J29" s="390"/>
      <c r="K29" s="390"/>
      <c r="L29" s="390"/>
      <c r="M29" s="390"/>
      <c r="N29" s="390"/>
      <c r="O29" s="391"/>
      <c r="P29" s="384">
        <f t="shared" si="13"/>
        <v>0</v>
      </c>
      <c r="Q29" s="456">
        <f t="shared" si="14"/>
        <v>0</v>
      </c>
      <c r="R29" s="385"/>
      <c r="S29" s="385"/>
      <c r="T29" s="385"/>
      <c r="U29" s="385"/>
      <c r="V29" s="385"/>
      <c r="W29" s="385"/>
      <c r="X29" s="385"/>
      <c r="Y29" s="392">
        <f t="shared" si="17"/>
        <v>0</v>
      </c>
      <c r="Z29" s="387">
        <f t="shared" si="15"/>
        <v>0</v>
      </c>
      <c r="AA29" s="385"/>
      <c r="AB29" s="385"/>
      <c r="AC29" s="385"/>
      <c r="AD29" s="385"/>
      <c r="AE29" s="388"/>
      <c r="AF29" s="383">
        <f t="shared" si="1"/>
        <v>0</v>
      </c>
      <c r="AG29" s="387">
        <f t="shared" si="16"/>
        <v>0</v>
      </c>
      <c r="AH29" s="411" t="str">
        <f t="shared" si="6"/>
        <v/>
      </c>
      <c r="AI29" s="359">
        <f>'Internal Service Template'!$E$2</f>
        <v>0</v>
      </c>
    </row>
    <row r="30" spans="1:35">
      <c r="A30" s="380" t="s">
        <v>686</v>
      </c>
      <c r="B30" s="381" t="s">
        <v>428</v>
      </c>
      <c r="C30" s="389"/>
      <c r="D30" s="389"/>
      <c r="E30" s="389"/>
      <c r="F30" s="390"/>
      <c r="G30" s="390"/>
      <c r="H30" s="390"/>
      <c r="I30" s="390"/>
      <c r="J30" s="390"/>
      <c r="K30" s="390"/>
      <c r="L30" s="390"/>
      <c r="M30" s="390"/>
      <c r="N30" s="390"/>
      <c r="O30" s="391"/>
      <c r="P30" s="384">
        <f t="shared" si="13"/>
        <v>0</v>
      </c>
      <c r="Q30" s="456">
        <f t="shared" si="14"/>
        <v>0</v>
      </c>
      <c r="R30" s="385"/>
      <c r="S30" s="385"/>
      <c r="T30" s="385"/>
      <c r="U30" s="385"/>
      <c r="V30" s="385"/>
      <c r="W30" s="385"/>
      <c r="X30" s="385"/>
      <c r="Y30" s="392">
        <f t="shared" si="17"/>
        <v>0</v>
      </c>
      <c r="Z30" s="387">
        <f t="shared" si="15"/>
        <v>0</v>
      </c>
      <c r="AA30" s="385"/>
      <c r="AB30" s="385"/>
      <c r="AC30" s="385"/>
      <c r="AD30" s="385"/>
      <c r="AE30" s="388"/>
      <c r="AF30" s="383">
        <f t="shared" si="1"/>
        <v>0</v>
      </c>
      <c r="AG30" s="387">
        <f t="shared" si="16"/>
        <v>0</v>
      </c>
      <c r="AH30" s="411" t="str">
        <f t="shared" si="6"/>
        <v/>
      </c>
      <c r="AI30" s="359">
        <f>'Internal Service Template'!$E$2</f>
        <v>0</v>
      </c>
    </row>
    <row r="31" spans="1:35">
      <c r="A31" s="380"/>
      <c r="B31" s="359"/>
      <c r="C31" s="412"/>
      <c r="D31" s="359"/>
      <c r="E31" s="359"/>
      <c r="F31" s="359"/>
      <c r="G31" s="359"/>
      <c r="H31" s="359"/>
      <c r="I31" s="359"/>
      <c r="J31" s="359"/>
      <c r="K31" s="359"/>
      <c r="L31" s="359"/>
      <c r="M31" s="359"/>
      <c r="N31" s="359"/>
      <c r="O31" s="413"/>
      <c r="P31" s="359"/>
      <c r="Q31" s="456"/>
      <c r="R31" s="414"/>
      <c r="S31" s="414"/>
      <c r="T31" s="414"/>
      <c r="U31" s="414"/>
      <c r="V31" s="414"/>
      <c r="W31" s="414"/>
      <c r="X31" s="414"/>
      <c r="Y31" s="392"/>
      <c r="Z31" s="387"/>
      <c r="AA31" s="414"/>
      <c r="AB31" s="414"/>
      <c r="AC31" s="414"/>
      <c r="AD31" s="414"/>
      <c r="AE31" s="417"/>
      <c r="AF31" s="359"/>
      <c r="AG31" s="416"/>
      <c r="AH31" s="411"/>
      <c r="AI31" s="359"/>
    </row>
    <row r="32" spans="1:35">
      <c r="A32" s="380" t="s">
        <v>686</v>
      </c>
      <c r="B32" s="381" t="s">
        <v>430</v>
      </c>
      <c r="C32" s="389"/>
      <c r="D32" s="389"/>
      <c r="E32" s="389"/>
      <c r="F32" s="390"/>
      <c r="G32" s="390"/>
      <c r="H32" s="390"/>
      <c r="I32" s="390"/>
      <c r="J32" s="390"/>
      <c r="K32" s="390"/>
      <c r="L32" s="390"/>
      <c r="M32" s="390"/>
      <c r="N32" s="390"/>
      <c r="O32" s="391"/>
      <c r="P32" s="384">
        <f t="shared" ref="P32:P36" si="18">IF(SUM(F32:O32)=(SUM(R32:U32)),(SUM(F32:O32)))</f>
        <v>0</v>
      </c>
      <c r="Q32" s="456">
        <f t="shared" ref="Q32:Q36" si="19">SUM(F32:O32)-SUM(R32:U32)</f>
        <v>0</v>
      </c>
      <c r="R32" s="385"/>
      <c r="S32" s="385"/>
      <c r="T32" s="385"/>
      <c r="U32" s="385"/>
      <c r="V32" s="385"/>
      <c r="W32" s="385"/>
      <c r="X32" s="385"/>
      <c r="Y32" s="392">
        <f t="shared" si="0"/>
        <v>0</v>
      </c>
      <c r="Z32" s="387">
        <f t="shared" ref="Z32:Z36" si="20">IFERROR((SUM(R32:U32)-SUM(V32:X32)),"Error")</f>
        <v>0</v>
      </c>
      <c r="AA32" s="385"/>
      <c r="AB32" s="385"/>
      <c r="AC32" s="385"/>
      <c r="AD32" s="385"/>
      <c r="AE32" s="388"/>
      <c r="AF32" s="383">
        <f t="shared" si="1"/>
        <v>0</v>
      </c>
      <c r="AG32" s="387">
        <f t="shared" ref="AG32:AG36" si="21">IFERROR((SUM(AA32:AE32)-Y32),"Error")</f>
        <v>0</v>
      </c>
      <c r="AH32" s="411" t="str">
        <f t="shared" si="6"/>
        <v/>
      </c>
      <c r="AI32" s="359">
        <f>'Internal Service Template'!$E$2</f>
        <v>0</v>
      </c>
    </row>
    <row r="33" spans="1:35">
      <c r="A33" s="380" t="s">
        <v>686</v>
      </c>
      <c r="B33" s="381" t="s">
        <v>430</v>
      </c>
      <c r="C33" s="389"/>
      <c r="D33" s="389"/>
      <c r="E33" s="389"/>
      <c r="F33" s="390"/>
      <c r="G33" s="390"/>
      <c r="H33" s="390"/>
      <c r="I33" s="390"/>
      <c r="J33" s="390"/>
      <c r="K33" s="390"/>
      <c r="L33" s="390"/>
      <c r="M33" s="390"/>
      <c r="N33" s="390"/>
      <c r="O33" s="391"/>
      <c r="P33" s="384">
        <f t="shared" si="18"/>
        <v>0</v>
      </c>
      <c r="Q33" s="456">
        <f t="shared" si="19"/>
        <v>0</v>
      </c>
      <c r="R33" s="385"/>
      <c r="S33" s="385"/>
      <c r="T33" s="385"/>
      <c r="U33" s="385"/>
      <c r="V33" s="385"/>
      <c r="W33" s="385"/>
      <c r="X33" s="385"/>
      <c r="Y33" s="392">
        <f t="shared" ref="Y33:Y36" si="22">IF(SUM(R33:U33)=SUM(V33:X33), SUM(V33:X33),"Error")</f>
        <v>0</v>
      </c>
      <c r="Z33" s="387">
        <f t="shared" si="20"/>
        <v>0</v>
      </c>
      <c r="AA33" s="385"/>
      <c r="AB33" s="385"/>
      <c r="AC33" s="385"/>
      <c r="AD33" s="385"/>
      <c r="AE33" s="388"/>
      <c r="AF33" s="383">
        <f t="shared" si="1"/>
        <v>0</v>
      </c>
      <c r="AG33" s="387">
        <f t="shared" si="21"/>
        <v>0</v>
      </c>
      <c r="AH33" s="411" t="str">
        <f t="shared" si="6"/>
        <v/>
      </c>
      <c r="AI33" s="359">
        <f>'Internal Service Template'!$E$2</f>
        <v>0</v>
      </c>
    </row>
    <row r="34" spans="1:35">
      <c r="A34" s="380" t="s">
        <v>686</v>
      </c>
      <c r="B34" s="381" t="s">
        <v>430</v>
      </c>
      <c r="C34" s="389"/>
      <c r="D34" s="389"/>
      <c r="E34" s="389"/>
      <c r="F34" s="390"/>
      <c r="G34" s="390"/>
      <c r="H34" s="390"/>
      <c r="I34" s="390"/>
      <c r="J34" s="390"/>
      <c r="K34" s="390"/>
      <c r="L34" s="390"/>
      <c r="M34" s="390"/>
      <c r="N34" s="390"/>
      <c r="O34" s="391"/>
      <c r="P34" s="384">
        <f t="shared" si="18"/>
        <v>0</v>
      </c>
      <c r="Q34" s="456">
        <f t="shared" si="19"/>
        <v>0</v>
      </c>
      <c r="R34" s="385"/>
      <c r="S34" s="385"/>
      <c r="T34" s="385"/>
      <c r="U34" s="385"/>
      <c r="V34" s="385"/>
      <c r="W34" s="385"/>
      <c r="X34" s="385"/>
      <c r="Y34" s="392">
        <f t="shared" si="22"/>
        <v>0</v>
      </c>
      <c r="Z34" s="387">
        <f t="shared" si="20"/>
        <v>0</v>
      </c>
      <c r="AA34" s="385"/>
      <c r="AB34" s="385"/>
      <c r="AC34" s="385"/>
      <c r="AD34" s="385"/>
      <c r="AE34" s="388"/>
      <c r="AF34" s="383">
        <f t="shared" si="1"/>
        <v>0</v>
      </c>
      <c r="AG34" s="387">
        <f t="shared" si="21"/>
        <v>0</v>
      </c>
      <c r="AH34" s="411" t="str">
        <f t="shared" si="6"/>
        <v/>
      </c>
      <c r="AI34" s="359">
        <f>'Internal Service Template'!$E$2</f>
        <v>0</v>
      </c>
    </row>
    <row r="35" spans="1:35">
      <c r="A35" s="380" t="s">
        <v>686</v>
      </c>
      <c r="B35" s="381" t="s">
        <v>430</v>
      </c>
      <c r="C35" s="389"/>
      <c r="D35" s="389"/>
      <c r="E35" s="389"/>
      <c r="F35" s="390"/>
      <c r="G35" s="390"/>
      <c r="H35" s="390"/>
      <c r="I35" s="390"/>
      <c r="J35" s="390"/>
      <c r="K35" s="390"/>
      <c r="L35" s="390"/>
      <c r="M35" s="390"/>
      <c r="N35" s="390"/>
      <c r="O35" s="391"/>
      <c r="P35" s="384">
        <f t="shared" si="18"/>
        <v>0</v>
      </c>
      <c r="Q35" s="456">
        <f t="shared" si="19"/>
        <v>0</v>
      </c>
      <c r="R35" s="385"/>
      <c r="S35" s="385"/>
      <c r="T35" s="385"/>
      <c r="U35" s="385"/>
      <c r="V35" s="385"/>
      <c r="W35" s="385"/>
      <c r="X35" s="385"/>
      <c r="Y35" s="392">
        <f t="shared" si="22"/>
        <v>0</v>
      </c>
      <c r="Z35" s="387">
        <f t="shared" si="20"/>
        <v>0</v>
      </c>
      <c r="AA35" s="385"/>
      <c r="AB35" s="385"/>
      <c r="AC35" s="385"/>
      <c r="AD35" s="385"/>
      <c r="AE35" s="388"/>
      <c r="AF35" s="383">
        <f t="shared" si="1"/>
        <v>0</v>
      </c>
      <c r="AG35" s="387">
        <f t="shared" si="21"/>
        <v>0</v>
      </c>
      <c r="AH35" s="411" t="str">
        <f t="shared" si="6"/>
        <v/>
      </c>
      <c r="AI35" s="359">
        <f>'Internal Service Template'!$E$2</f>
        <v>0</v>
      </c>
    </row>
    <row r="36" spans="1:35">
      <c r="A36" s="380" t="s">
        <v>686</v>
      </c>
      <c r="B36" s="381" t="s">
        <v>430</v>
      </c>
      <c r="C36" s="389"/>
      <c r="D36" s="389"/>
      <c r="E36" s="389"/>
      <c r="F36" s="390"/>
      <c r="G36" s="390"/>
      <c r="H36" s="390"/>
      <c r="I36" s="390"/>
      <c r="J36" s="390"/>
      <c r="K36" s="390"/>
      <c r="L36" s="390"/>
      <c r="M36" s="390"/>
      <c r="N36" s="390"/>
      <c r="O36" s="391"/>
      <c r="P36" s="384">
        <f t="shared" si="18"/>
        <v>0</v>
      </c>
      <c r="Q36" s="456">
        <f t="shared" si="19"/>
        <v>0</v>
      </c>
      <c r="R36" s="385"/>
      <c r="S36" s="385"/>
      <c r="T36" s="385"/>
      <c r="U36" s="385"/>
      <c r="V36" s="385"/>
      <c r="W36" s="385"/>
      <c r="X36" s="385"/>
      <c r="Y36" s="392">
        <f t="shared" si="22"/>
        <v>0</v>
      </c>
      <c r="Z36" s="387">
        <f t="shared" si="20"/>
        <v>0</v>
      </c>
      <c r="AA36" s="385"/>
      <c r="AB36" s="385"/>
      <c r="AC36" s="385"/>
      <c r="AD36" s="385"/>
      <c r="AE36" s="388"/>
      <c r="AF36" s="383">
        <f t="shared" si="1"/>
        <v>0</v>
      </c>
      <c r="AG36" s="387">
        <f t="shared" si="21"/>
        <v>0</v>
      </c>
      <c r="AH36" s="411" t="str">
        <f t="shared" si="6"/>
        <v/>
      </c>
      <c r="AI36" s="359">
        <f>'Internal Service Template'!$E$2</f>
        <v>0</v>
      </c>
    </row>
    <row r="37" spans="1:35">
      <c r="A37" s="380"/>
      <c r="B37" s="359"/>
      <c r="C37" s="412"/>
      <c r="D37" s="359"/>
      <c r="E37" s="359"/>
      <c r="F37" s="359"/>
      <c r="G37" s="359"/>
      <c r="H37" s="359"/>
      <c r="I37" s="359"/>
      <c r="J37" s="359"/>
      <c r="K37" s="359"/>
      <c r="L37" s="359"/>
      <c r="M37" s="359"/>
      <c r="N37" s="359"/>
      <c r="O37" s="413"/>
      <c r="P37" s="359"/>
      <c r="Q37" s="457"/>
      <c r="R37" s="414"/>
      <c r="S37" s="414"/>
      <c r="T37" s="414"/>
      <c r="U37" s="414"/>
      <c r="V37" s="364"/>
      <c r="W37" s="364"/>
      <c r="X37" s="414"/>
      <c r="Y37" s="415"/>
      <c r="Z37" s="416"/>
      <c r="AA37" s="414"/>
      <c r="AB37" s="414"/>
      <c r="AC37" s="414"/>
      <c r="AD37" s="414"/>
      <c r="AE37" s="417"/>
      <c r="AF37" s="359"/>
      <c r="AG37" s="416"/>
      <c r="AH37" s="411"/>
      <c r="AI37" s="359"/>
    </row>
    <row r="38" spans="1:35">
      <c r="A38" s="380" t="s">
        <v>686</v>
      </c>
      <c r="B38" s="381" t="s">
        <v>431</v>
      </c>
      <c r="C38" s="389"/>
      <c r="D38" s="389"/>
      <c r="E38" s="389"/>
      <c r="F38" s="390"/>
      <c r="G38" s="390"/>
      <c r="H38" s="390"/>
      <c r="I38" s="390"/>
      <c r="J38" s="390"/>
      <c r="K38" s="390"/>
      <c r="L38" s="390"/>
      <c r="M38" s="390"/>
      <c r="N38" s="390"/>
      <c r="O38" s="391"/>
      <c r="P38" s="384">
        <f t="shared" ref="P38:P42" si="23">IF(SUM(F38:O38)=(SUM(R38:U38)),(SUM(F38:O38)))</f>
        <v>0</v>
      </c>
      <c r="Q38" s="456">
        <f t="shared" ref="Q38:Q42" si="24">SUM(F38:O38)-SUM(R38:U38)</f>
        <v>0</v>
      </c>
      <c r="R38" s="385"/>
      <c r="S38" s="385"/>
      <c r="T38" s="385"/>
      <c r="U38" s="385"/>
      <c r="V38" s="384"/>
      <c r="W38" s="394"/>
      <c r="X38" s="385"/>
      <c r="Y38" s="392">
        <f t="shared" si="0"/>
        <v>0</v>
      </c>
      <c r="Z38" s="387">
        <f t="shared" ref="Z38:Z42" si="25">IFERROR((SUM(R38:U38)-SUM(V38:X38)),"Error")</f>
        <v>0</v>
      </c>
      <c r="AA38" s="385"/>
      <c r="AB38" s="385"/>
      <c r="AC38" s="385"/>
      <c r="AD38" s="385"/>
      <c r="AE38" s="388"/>
      <c r="AF38" s="383">
        <f t="shared" si="1"/>
        <v>0</v>
      </c>
      <c r="AG38" s="387">
        <f t="shared" ref="AG38:AG42" si="26">IFERROR((SUM(AA38:AE38)-Y38),"Error")</f>
        <v>0</v>
      </c>
      <c r="AH38" s="411" t="str">
        <f t="shared" si="6"/>
        <v/>
      </c>
      <c r="AI38" s="359">
        <f>'Internal Service Template'!$E$2</f>
        <v>0</v>
      </c>
    </row>
    <row r="39" spans="1:35">
      <c r="A39" s="380" t="s">
        <v>686</v>
      </c>
      <c r="B39" s="381" t="s">
        <v>431</v>
      </c>
      <c r="C39" s="389"/>
      <c r="D39" s="389"/>
      <c r="E39" s="389"/>
      <c r="F39" s="390"/>
      <c r="G39" s="390"/>
      <c r="H39" s="390"/>
      <c r="I39" s="390"/>
      <c r="J39" s="390"/>
      <c r="K39" s="390"/>
      <c r="L39" s="390"/>
      <c r="M39" s="390"/>
      <c r="N39" s="390"/>
      <c r="O39" s="391"/>
      <c r="P39" s="384">
        <f t="shared" si="23"/>
        <v>0</v>
      </c>
      <c r="Q39" s="456">
        <f t="shared" si="24"/>
        <v>0</v>
      </c>
      <c r="R39" s="385"/>
      <c r="S39" s="385"/>
      <c r="T39" s="385"/>
      <c r="U39" s="385"/>
      <c r="V39" s="384"/>
      <c r="W39" s="394"/>
      <c r="X39" s="385"/>
      <c r="Y39" s="392">
        <f t="shared" ref="Y39:Y42" si="27">IF(SUM(R39:U39)=SUM(V39:X39), SUM(V39:X39),"Error")</f>
        <v>0</v>
      </c>
      <c r="Z39" s="387">
        <f t="shared" si="25"/>
        <v>0</v>
      </c>
      <c r="AA39" s="385"/>
      <c r="AB39" s="385"/>
      <c r="AC39" s="385"/>
      <c r="AD39" s="385"/>
      <c r="AE39" s="388"/>
      <c r="AF39" s="383">
        <f t="shared" si="1"/>
        <v>0</v>
      </c>
      <c r="AG39" s="387">
        <f t="shared" si="26"/>
        <v>0</v>
      </c>
      <c r="AH39" s="411" t="str">
        <f t="shared" si="6"/>
        <v/>
      </c>
      <c r="AI39" s="359">
        <f>'Internal Service Template'!$E$2</f>
        <v>0</v>
      </c>
    </row>
    <row r="40" spans="1:35">
      <c r="A40" s="380" t="s">
        <v>686</v>
      </c>
      <c r="B40" s="381" t="s">
        <v>431</v>
      </c>
      <c r="C40" s="389"/>
      <c r="D40" s="389"/>
      <c r="E40" s="389"/>
      <c r="F40" s="390"/>
      <c r="G40" s="390"/>
      <c r="H40" s="390"/>
      <c r="I40" s="390"/>
      <c r="J40" s="390"/>
      <c r="K40" s="390"/>
      <c r="L40" s="390"/>
      <c r="M40" s="390"/>
      <c r="N40" s="390"/>
      <c r="O40" s="391"/>
      <c r="P40" s="384">
        <f t="shared" si="23"/>
        <v>0</v>
      </c>
      <c r="Q40" s="456">
        <f t="shared" si="24"/>
        <v>0</v>
      </c>
      <c r="R40" s="385"/>
      <c r="S40" s="385"/>
      <c r="T40" s="385"/>
      <c r="U40" s="385"/>
      <c r="V40" s="384"/>
      <c r="W40" s="394"/>
      <c r="X40" s="385"/>
      <c r="Y40" s="392">
        <f t="shared" si="27"/>
        <v>0</v>
      </c>
      <c r="Z40" s="387">
        <f t="shared" si="25"/>
        <v>0</v>
      </c>
      <c r="AA40" s="385"/>
      <c r="AB40" s="385"/>
      <c r="AC40" s="385"/>
      <c r="AD40" s="385"/>
      <c r="AE40" s="388"/>
      <c r="AF40" s="383">
        <f t="shared" si="1"/>
        <v>0</v>
      </c>
      <c r="AG40" s="387">
        <f t="shared" si="26"/>
        <v>0</v>
      </c>
      <c r="AH40" s="411" t="str">
        <f t="shared" si="6"/>
        <v/>
      </c>
      <c r="AI40" s="359">
        <f>'Internal Service Template'!$E$2</f>
        <v>0</v>
      </c>
    </row>
    <row r="41" spans="1:35">
      <c r="A41" s="380" t="s">
        <v>686</v>
      </c>
      <c r="B41" s="381" t="s">
        <v>431</v>
      </c>
      <c r="C41" s="389"/>
      <c r="D41" s="389"/>
      <c r="E41" s="389"/>
      <c r="F41" s="390"/>
      <c r="G41" s="390"/>
      <c r="H41" s="390"/>
      <c r="I41" s="390"/>
      <c r="J41" s="390"/>
      <c r="K41" s="390"/>
      <c r="L41" s="390"/>
      <c r="M41" s="390"/>
      <c r="N41" s="390"/>
      <c r="O41" s="391"/>
      <c r="P41" s="384">
        <f t="shared" si="23"/>
        <v>0</v>
      </c>
      <c r="Q41" s="456">
        <f t="shared" si="24"/>
        <v>0</v>
      </c>
      <c r="R41" s="385"/>
      <c r="S41" s="385"/>
      <c r="T41" s="385"/>
      <c r="U41" s="385"/>
      <c r="V41" s="384"/>
      <c r="W41" s="394"/>
      <c r="X41" s="385"/>
      <c r="Y41" s="392">
        <f t="shared" si="27"/>
        <v>0</v>
      </c>
      <c r="Z41" s="387">
        <f t="shared" si="25"/>
        <v>0</v>
      </c>
      <c r="AA41" s="385"/>
      <c r="AB41" s="385"/>
      <c r="AC41" s="385"/>
      <c r="AD41" s="385"/>
      <c r="AE41" s="388"/>
      <c r="AF41" s="383">
        <f t="shared" si="1"/>
        <v>0</v>
      </c>
      <c r="AG41" s="387">
        <f t="shared" si="26"/>
        <v>0</v>
      </c>
      <c r="AH41" s="411" t="str">
        <f t="shared" si="6"/>
        <v/>
      </c>
      <c r="AI41" s="359">
        <f>'Internal Service Template'!$E$2</f>
        <v>0</v>
      </c>
    </row>
    <row r="42" spans="1:35">
      <c r="A42" s="380" t="s">
        <v>686</v>
      </c>
      <c r="B42" s="381" t="s">
        <v>431</v>
      </c>
      <c r="C42" s="389"/>
      <c r="D42" s="389"/>
      <c r="E42" s="389"/>
      <c r="F42" s="390"/>
      <c r="G42" s="390"/>
      <c r="H42" s="390"/>
      <c r="I42" s="390"/>
      <c r="J42" s="390"/>
      <c r="K42" s="390"/>
      <c r="L42" s="390"/>
      <c r="M42" s="390"/>
      <c r="N42" s="390"/>
      <c r="O42" s="391"/>
      <c r="P42" s="384">
        <f t="shared" si="23"/>
        <v>0</v>
      </c>
      <c r="Q42" s="456">
        <f t="shared" si="24"/>
        <v>0</v>
      </c>
      <c r="R42" s="385"/>
      <c r="S42" s="385"/>
      <c r="T42" s="385"/>
      <c r="U42" s="385"/>
      <c r="V42" s="384"/>
      <c r="W42" s="394"/>
      <c r="X42" s="385"/>
      <c r="Y42" s="392">
        <f t="shared" si="27"/>
        <v>0</v>
      </c>
      <c r="Z42" s="387">
        <f t="shared" si="25"/>
        <v>0</v>
      </c>
      <c r="AA42" s="385"/>
      <c r="AB42" s="385"/>
      <c r="AC42" s="385"/>
      <c r="AD42" s="385"/>
      <c r="AE42" s="388"/>
      <c r="AF42" s="383">
        <f t="shared" si="1"/>
        <v>0</v>
      </c>
      <c r="AG42" s="387">
        <f t="shared" si="26"/>
        <v>0</v>
      </c>
      <c r="AH42" s="411" t="str">
        <f t="shared" si="6"/>
        <v/>
      </c>
      <c r="AI42" s="359">
        <f>'Internal Service Template'!$E$2</f>
        <v>0</v>
      </c>
    </row>
    <row r="43" spans="1:35">
      <c r="A43" s="380"/>
      <c r="B43" s="359"/>
      <c r="C43" s="412"/>
      <c r="D43" s="359"/>
      <c r="E43" s="359"/>
      <c r="F43" s="359"/>
      <c r="G43" s="359"/>
      <c r="H43" s="359"/>
      <c r="I43" s="359"/>
      <c r="J43" s="359"/>
      <c r="K43" s="359"/>
      <c r="L43" s="359"/>
      <c r="M43" s="359"/>
      <c r="N43" s="359"/>
      <c r="O43" s="413"/>
      <c r="P43" s="359"/>
      <c r="Q43" s="457"/>
      <c r="R43" s="414"/>
      <c r="S43" s="414"/>
      <c r="T43" s="414"/>
      <c r="U43" s="414"/>
      <c r="V43" s="418"/>
      <c r="W43" s="418"/>
      <c r="X43" s="414"/>
      <c r="Y43" s="415"/>
      <c r="Z43" s="416"/>
      <c r="AA43" s="414"/>
      <c r="AB43" s="414"/>
      <c r="AC43" s="414"/>
      <c r="AD43" s="414"/>
      <c r="AE43" s="417"/>
      <c r="AF43" s="359"/>
      <c r="AG43" s="416"/>
      <c r="AH43" s="411"/>
      <c r="AI43" s="359"/>
    </row>
    <row r="44" spans="1:35">
      <c r="A44" s="380" t="s">
        <v>686</v>
      </c>
      <c r="B44" s="381" t="s">
        <v>432</v>
      </c>
      <c r="C44" s="389"/>
      <c r="D44" s="389"/>
      <c r="E44" s="389"/>
      <c r="F44" s="390"/>
      <c r="G44" s="390"/>
      <c r="H44" s="390"/>
      <c r="I44" s="390"/>
      <c r="J44" s="390"/>
      <c r="K44" s="390"/>
      <c r="L44" s="390"/>
      <c r="M44" s="390"/>
      <c r="N44" s="390"/>
      <c r="O44" s="391"/>
      <c r="P44" s="384">
        <f t="shared" ref="P44:P48" si="28">IF(SUM(F44:O44)=(SUM(R44:U44)),(SUM(F44:O44)))</f>
        <v>0</v>
      </c>
      <c r="Q44" s="456">
        <f t="shared" ref="Q44:Q48" si="29">SUM(F44:O44)-SUM(R44:U44)</f>
        <v>0</v>
      </c>
      <c r="R44" s="385"/>
      <c r="S44" s="385"/>
      <c r="T44" s="385"/>
      <c r="U44" s="385"/>
      <c r="V44" s="385"/>
      <c r="W44" s="385"/>
      <c r="X44" s="385"/>
      <c r="Y44" s="392">
        <f t="shared" si="0"/>
        <v>0</v>
      </c>
      <c r="Z44" s="387">
        <f t="shared" ref="Z44:Z48" si="30">IFERROR((SUM(R44:U44)-SUM(V44:X44)),"Error")</f>
        <v>0</v>
      </c>
      <c r="AA44" s="385"/>
      <c r="AB44" s="385"/>
      <c r="AC44" s="385"/>
      <c r="AD44" s="385"/>
      <c r="AE44" s="388"/>
      <c r="AF44" s="383">
        <f t="shared" si="1"/>
        <v>0</v>
      </c>
      <c r="AG44" s="387">
        <f t="shared" ref="AG44:AG48" si="31">IFERROR((SUM(AA44:AE44)-Y44),"Error")</f>
        <v>0</v>
      </c>
      <c r="AH44" s="411" t="str">
        <f t="shared" si="6"/>
        <v/>
      </c>
      <c r="AI44" s="359">
        <f>'Internal Service Template'!$E$2</f>
        <v>0</v>
      </c>
    </row>
    <row r="45" spans="1:35">
      <c r="A45" s="380" t="s">
        <v>686</v>
      </c>
      <c r="B45" s="381" t="s">
        <v>432</v>
      </c>
      <c r="C45" s="389"/>
      <c r="D45" s="389"/>
      <c r="E45" s="389"/>
      <c r="F45" s="390"/>
      <c r="G45" s="390"/>
      <c r="H45" s="390"/>
      <c r="I45" s="390"/>
      <c r="J45" s="390"/>
      <c r="K45" s="390"/>
      <c r="L45" s="390"/>
      <c r="M45" s="390"/>
      <c r="N45" s="390"/>
      <c r="O45" s="391"/>
      <c r="P45" s="384">
        <f t="shared" si="28"/>
        <v>0</v>
      </c>
      <c r="Q45" s="456">
        <f t="shared" si="29"/>
        <v>0</v>
      </c>
      <c r="R45" s="385"/>
      <c r="S45" s="385"/>
      <c r="T45" s="385"/>
      <c r="U45" s="385"/>
      <c r="V45" s="385"/>
      <c r="W45" s="385"/>
      <c r="X45" s="385"/>
      <c r="Y45" s="392">
        <f t="shared" ref="Y45:Y48" si="32">IF(SUM(R45:U45)=SUM(V45:X45), SUM(V45:X45),"Error")</f>
        <v>0</v>
      </c>
      <c r="Z45" s="387">
        <f t="shared" si="30"/>
        <v>0</v>
      </c>
      <c r="AA45" s="385"/>
      <c r="AB45" s="385"/>
      <c r="AC45" s="385"/>
      <c r="AD45" s="385"/>
      <c r="AE45" s="388"/>
      <c r="AF45" s="383">
        <f t="shared" si="1"/>
        <v>0</v>
      </c>
      <c r="AG45" s="387">
        <f t="shared" si="31"/>
        <v>0</v>
      </c>
      <c r="AH45" s="411" t="str">
        <f t="shared" si="6"/>
        <v/>
      </c>
      <c r="AI45" s="359">
        <f>'Internal Service Template'!$E$2</f>
        <v>0</v>
      </c>
    </row>
    <row r="46" spans="1:35">
      <c r="A46" s="380" t="s">
        <v>686</v>
      </c>
      <c r="B46" s="381" t="s">
        <v>432</v>
      </c>
      <c r="C46" s="389"/>
      <c r="D46" s="389"/>
      <c r="E46" s="389"/>
      <c r="F46" s="390"/>
      <c r="G46" s="390"/>
      <c r="H46" s="390"/>
      <c r="I46" s="390"/>
      <c r="J46" s="390"/>
      <c r="K46" s="390"/>
      <c r="L46" s="390"/>
      <c r="M46" s="390"/>
      <c r="N46" s="390"/>
      <c r="O46" s="391"/>
      <c r="P46" s="384">
        <f t="shared" si="28"/>
        <v>0</v>
      </c>
      <c r="Q46" s="456">
        <f t="shared" si="29"/>
        <v>0</v>
      </c>
      <c r="R46" s="385"/>
      <c r="S46" s="385"/>
      <c r="T46" s="385"/>
      <c r="U46" s="385"/>
      <c r="V46" s="385"/>
      <c r="W46" s="385"/>
      <c r="X46" s="385"/>
      <c r="Y46" s="392">
        <f t="shared" si="32"/>
        <v>0</v>
      </c>
      <c r="Z46" s="387">
        <f t="shared" si="30"/>
        <v>0</v>
      </c>
      <c r="AA46" s="385"/>
      <c r="AB46" s="385"/>
      <c r="AC46" s="385"/>
      <c r="AD46" s="385"/>
      <c r="AE46" s="388"/>
      <c r="AF46" s="383">
        <f t="shared" si="1"/>
        <v>0</v>
      </c>
      <c r="AG46" s="387">
        <f t="shared" si="31"/>
        <v>0</v>
      </c>
      <c r="AH46" s="411" t="str">
        <f t="shared" si="6"/>
        <v/>
      </c>
      <c r="AI46" s="359">
        <f>'Internal Service Template'!$E$2</f>
        <v>0</v>
      </c>
    </row>
    <row r="47" spans="1:35">
      <c r="A47" s="380" t="s">
        <v>686</v>
      </c>
      <c r="B47" s="381" t="s">
        <v>432</v>
      </c>
      <c r="C47" s="389"/>
      <c r="D47" s="389"/>
      <c r="E47" s="389"/>
      <c r="F47" s="390"/>
      <c r="G47" s="390"/>
      <c r="H47" s="390"/>
      <c r="I47" s="390"/>
      <c r="J47" s="390"/>
      <c r="K47" s="390"/>
      <c r="L47" s="390"/>
      <c r="M47" s="390"/>
      <c r="N47" s="390"/>
      <c r="O47" s="391"/>
      <c r="P47" s="384">
        <f t="shared" si="28"/>
        <v>0</v>
      </c>
      <c r="Q47" s="456">
        <f t="shared" si="29"/>
        <v>0</v>
      </c>
      <c r="R47" s="385"/>
      <c r="S47" s="385"/>
      <c r="T47" s="385"/>
      <c r="U47" s="385"/>
      <c r="V47" s="385"/>
      <c r="W47" s="385"/>
      <c r="X47" s="385"/>
      <c r="Y47" s="392">
        <f t="shared" si="32"/>
        <v>0</v>
      </c>
      <c r="Z47" s="387">
        <f t="shared" si="30"/>
        <v>0</v>
      </c>
      <c r="AA47" s="385"/>
      <c r="AB47" s="385"/>
      <c r="AC47" s="385"/>
      <c r="AD47" s="385"/>
      <c r="AE47" s="388"/>
      <c r="AF47" s="383">
        <f t="shared" si="1"/>
        <v>0</v>
      </c>
      <c r="AG47" s="387">
        <f t="shared" si="31"/>
        <v>0</v>
      </c>
      <c r="AH47" s="411" t="str">
        <f t="shared" si="6"/>
        <v/>
      </c>
      <c r="AI47" s="359">
        <f>'Internal Service Template'!$E$2</f>
        <v>0</v>
      </c>
    </row>
    <row r="48" spans="1:35">
      <c r="A48" s="380" t="s">
        <v>686</v>
      </c>
      <c r="B48" s="381" t="s">
        <v>432</v>
      </c>
      <c r="C48" s="389"/>
      <c r="D48" s="389"/>
      <c r="E48" s="389"/>
      <c r="F48" s="390"/>
      <c r="G48" s="390"/>
      <c r="H48" s="390"/>
      <c r="I48" s="390"/>
      <c r="J48" s="390"/>
      <c r="K48" s="390"/>
      <c r="L48" s="390"/>
      <c r="M48" s="390"/>
      <c r="N48" s="390"/>
      <c r="O48" s="391"/>
      <c r="P48" s="384">
        <f t="shared" si="28"/>
        <v>0</v>
      </c>
      <c r="Q48" s="456">
        <f t="shared" si="29"/>
        <v>0</v>
      </c>
      <c r="R48" s="385"/>
      <c r="S48" s="385"/>
      <c r="T48" s="385"/>
      <c r="U48" s="385"/>
      <c r="V48" s="385"/>
      <c r="W48" s="385"/>
      <c r="X48" s="385"/>
      <c r="Y48" s="392">
        <f t="shared" si="32"/>
        <v>0</v>
      </c>
      <c r="Z48" s="387">
        <f t="shared" si="30"/>
        <v>0</v>
      </c>
      <c r="AA48" s="385"/>
      <c r="AB48" s="385"/>
      <c r="AC48" s="385"/>
      <c r="AD48" s="385"/>
      <c r="AE48" s="388"/>
      <c r="AF48" s="383">
        <f t="shared" si="1"/>
        <v>0</v>
      </c>
      <c r="AG48" s="387">
        <f t="shared" si="31"/>
        <v>0</v>
      </c>
      <c r="AH48" s="411" t="str">
        <f t="shared" si="6"/>
        <v/>
      </c>
      <c r="AI48" s="359">
        <f>'Internal Service Template'!$E$2</f>
        <v>0</v>
      </c>
    </row>
    <row r="49" spans="1:35">
      <c r="A49" s="380"/>
      <c r="B49" s="359"/>
      <c r="C49" s="412"/>
      <c r="D49" s="359"/>
      <c r="E49" s="359"/>
      <c r="F49" s="359"/>
      <c r="G49" s="359"/>
      <c r="H49" s="359"/>
      <c r="I49" s="359"/>
      <c r="J49" s="359"/>
      <c r="K49" s="359"/>
      <c r="L49" s="359"/>
      <c r="M49" s="359"/>
      <c r="N49" s="359"/>
      <c r="O49" s="413"/>
      <c r="P49" s="359"/>
      <c r="Q49" s="457"/>
      <c r="R49" s="414"/>
      <c r="S49" s="414"/>
      <c r="T49" s="414"/>
      <c r="U49" s="414"/>
      <c r="V49" s="414"/>
      <c r="W49" s="414"/>
      <c r="X49" s="414"/>
      <c r="Y49" s="415"/>
      <c r="Z49" s="416"/>
      <c r="AA49" s="414"/>
      <c r="AB49" s="414"/>
      <c r="AC49" s="414"/>
      <c r="AD49" s="414"/>
      <c r="AE49" s="417"/>
      <c r="AF49" s="359"/>
      <c r="AG49" s="416"/>
      <c r="AH49" s="411"/>
      <c r="AI49" s="359"/>
    </row>
    <row r="50" spans="1:35">
      <c r="A50" s="380" t="s">
        <v>686</v>
      </c>
      <c r="B50" s="381" t="s">
        <v>433</v>
      </c>
      <c r="C50" s="389"/>
      <c r="D50" s="389"/>
      <c r="E50" s="389"/>
      <c r="F50" s="390"/>
      <c r="G50" s="390"/>
      <c r="H50" s="390"/>
      <c r="I50" s="390"/>
      <c r="J50" s="390"/>
      <c r="K50" s="390"/>
      <c r="L50" s="390"/>
      <c r="M50" s="390"/>
      <c r="N50" s="390"/>
      <c r="O50" s="391"/>
      <c r="P50" s="384">
        <f t="shared" ref="P50:P54" si="33">IF(SUM(F50:O50)=(SUM(R50:U50)),(SUM(F50:O50)))</f>
        <v>0</v>
      </c>
      <c r="Q50" s="456">
        <f t="shared" ref="Q50:Q54" si="34">SUM(F50:O50)-SUM(R50:U50)</f>
        <v>0</v>
      </c>
      <c r="R50" s="385"/>
      <c r="S50" s="385"/>
      <c r="T50" s="385"/>
      <c r="U50" s="385"/>
      <c r="V50" s="385"/>
      <c r="W50" s="385"/>
      <c r="X50" s="385"/>
      <c r="Y50" s="392">
        <f t="shared" si="0"/>
        <v>0</v>
      </c>
      <c r="Z50" s="387">
        <f t="shared" ref="Z50:Z54" si="35">IFERROR((SUM(R50:U50)-SUM(V50:X50)),"Error")</f>
        <v>0</v>
      </c>
      <c r="AA50" s="385"/>
      <c r="AB50" s="385"/>
      <c r="AC50" s="385"/>
      <c r="AD50" s="385"/>
      <c r="AE50" s="388"/>
      <c r="AF50" s="383">
        <f t="shared" si="1"/>
        <v>0</v>
      </c>
      <c r="AG50" s="387">
        <f t="shared" ref="AG50:AG54" si="36">IFERROR((SUM(AA50:AE50)-Y50),"Error")</f>
        <v>0</v>
      </c>
      <c r="AH50" s="411" t="str">
        <f t="shared" si="6"/>
        <v/>
      </c>
      <c r="AI50" s="359">
        <f>'Internal Service Template'!$E$2</f>
        <v>0</v>
      </c>
    </row>
    <row r="51" spans="1:35">
      <c r="A51" s="380" t="s">
        <v>686</v>
      </c>
      <c r="B51" s="381" t="s">
        <v>433</v>
      </c>
      <c r="C51" s="389"/>
      <c r="D51" s="389"/>
      <c r="E51" s="389"/>
      <c r="F51" s="390"/>
      <c r="G51" s="390"/>
      <c r="H51" s="390"/>
      <c r="I51" s="390"/>
      <c r="J51" s="390"/>
      <c r="K51" s="390"/>
      <c r="L51" s="390"/>
      <c r="M51" s="390"/>
      <c r="N51" s="390"/>
      <c r="O51" s="391"/>
      <c r="P51" s="384">
        <f t="shared" si="33"/>
        <v>0</v>
      </c>
      <c r="Q51" s="456">
        <f t="shared" si="34"/>
        <v>0</v>
      </c>
      <c r="R51" s="385"/>
      <c r="S51" s="385"/>
      <c r="T51" s="385"/>
      <c r="U51" s="385"/>
      <c r="V51" s="385"/>
      <c r="W51" s="385"/>
      <c r="X51" s="385"/>
      <c r="Y51" s="392">
        <f t="shared" ref="Y51:Y54" si="37">IF(SUM(R51:U51)=SUM(V51:X51), SUM(V51:X51),"Error")</f>
        <v>0</v>
      </c>
      <c r="Z51" s="387">
        <f t="shared" si="35"/>
        <v>0</v>
      </c>
      <c r="AA51" s="385"/>
      <c r="AB51" s="385"/>
      <c r="AC51" s="385"/>
      <c r="AD51" s="385"/>
      <c r="AE51" s="388"/>
      <c r="AF51" s="383">
        <f t="shared" si="1"/>
        <v>0</v>
      </c>
      <c r="AG51" s="387">
        <f t="shared" si="36"/>
        <v>0</v>
      </c>
      <c r="AH51" s="411" t="str">
        <f t="shared" si="6"/>
        <v/>
      </c>
      <c r="AI51" s="359">
        <f>'Internal Service Template'!$E$2</f>
        <v>0</v>
      </c>
    </row>
    <row r="52" spans="1:35">
      <c r="A52" s="380" t="s">
        <v>686</v>
      </c>
      <c r="B52" s="381" t="s">
        <v>433</v>
      </c>
      <c r="C52" s="389"/>
      <c r="D52" s="389"/>
      <c r="E52" s="389"/>
      <c r="F52" s="390"/>
      <c r="G52" s="390"/>
      <c r="H52" s="390"/>
      <c r="I52" s="390"/>
      <c r="J52" s="390"/>
      <c r="K52" s="390"/>
      <c r="L52" s="390"/>
      <c r="M52" s="390"/>
      <c r="N52" s="390"/>
      <c r="O52" s="391"/>
      <c r="P52" s="384">
        <f t="shared" si="33"/>
        <v>0</v>
      </c>
      <c r="Q52" s="456">
        <f t="shared" si="34"/>
        <v>0</v>
      </c>
      <c r="R52" s="385"/>
      <c r="S52" s="385"/>
      <c r="T52" s="385"/>
      <c r="U52" s="385"/>
      <c r="V52" s="385"/>
      <c r="W52" s="385"/>
      <c r="X52" s="385"/>
      <c r="Y52" s="392">
        <f t="shared" si="37"/>
        <v>0</v>
      </c>
      <c r="Z52" s="387">
        <f t="shared" si="35"/>
        <v>0</v>
      </c>
      <c r="AA52" s="385"/>
      <c r="AB52" s="385"/>
      <c r="AC52" s="385"/>
      <c r="AD52" s="385"/>
      <c r="AE52" s="388"/>
      <c r="AF52" s="383">
        <f t="shared" si="1"/>
        <v>0</v>
      </c>
      <c r="AG52" s="387">
        <f t="shared" si="36"/>
        <v>0</v>
      </c>
      <c r="AH52" s="411" t="str">
        <f t="shared" si="6"/>
        <v/>
      </c>
      <c r="AI52" s="359">
        <f>'Internal Service Template'!$E$2</f>
        <v>0</v>
      </c>
    </row>
    <row r="53" spans="1:35">
      <c r="A53" s="380" t="s">
        <v>686</v>
      </c>
      <c r="B53" s="381" t="s">
        <v>433</v>
      </c>
      <c r="C53" s="389"/>
      <c r="D53" s="389"/>
      <c r="E53" s="389"/>
      <c r="F53" s="390"/>
      <c r="G53" s="390"/>
      <c r="H53" s="390"/>
      <c r="I53" s="390"/>
      <c r="J53" s="390"/>
      <c r="K53" s="390"/>
      <c r="L53" s="390"/>
      <c r="M53" s="390"/>
      <c r="N53" s="390"/>
      <c r="O53" s="391"/>
      <c r="P53" s="384">
        <f t="shared" si="33"/>
        <v>0</v>
      </c>
      <c r="Q53" s="456">
        <f t="shared" si="34"/>
        <v>0</v>
      </c>
      <c r="R53" s="385"/>
      <c r="S53" s="385"/>
      <c r="T53" s="385"/>
      <c r="U53" s="385"/>
      <c r="V53" s="385"/>
      <c r="W53" s="385"/>
      <c r="X53" s="385"/>
      <c r="Y53" s="392">
        <f t="shared" si="37"/>
        <v>0</v>
      </c>
      <c r="Z53" s="387">
        <f t="shared" si="35"/>
        <v>0</v>
      </c>
      <c r="AA53" s="385"/>
      <c r="AB53" s="385"/>
      <c r="AC53" s="385"/>
      <c r="AD53" s="385"/>
      <c r="AE53" s="388"/>
      <c r="AF53" s="383">
        <f t="shared" si="1"/>
        <v>0</v>
      </c>
      <c r="AG53" s="387">
        <f t="shared" si="36"/>
        <v>0</v>
      </c>
      <c r="AH53" s="411" t="str">
        <f t="shared" si="6"/>
        <v/>
      </c>
      <c r="AI53" s="359">
        <f>'Internal Service Template'!$E$2</f>
        <v>0</v>
      </c>
    </row>
    <row r="54" spans="1:35">
      <c r="A54" s="380" t="s">
        <v>686</v>
      </c>
      <c r="B54" s="381" t="s">
        <v>433</v>
      </c>
      <c r="C54" s="389"/>
      <c r="D54" s="389"/>
      <c r="E54" s="389"/>
      <c r="F54" s="390"/>
      <c r="G54" s="390"/>
      <c r="H54" s="390"/>
      <c r="I54" s="390"/>
      <c r="J54" s="390"/>
      <c r="K54" s="390"/>
      <c r="L54" s="390"/>
      <c r="M54" s="390"/>
      <c r="N54" s="390"/>
      <c r="O54" s="391"/>
      <c r="P54" s="384">
        <f t="shared" si="33"/>
        <v>0</v>
      </c>
      <c r="Q54" s="456">
        <f t="shared" si="34"/>
        <v>0</v>
      </c>
      <c r="R54" s="385"/>
      <c r="S54" s="385"/>
      <c r="T54" s="385"/>
      <c r="U54" s="385"/>
      <c r="V54" s="385"/>
      <c r="W54" s="385"/>
      <c r="X54" s="385"/>
      <c r="Y54" s="392">
        <f t="shared" si="37"/>
        <v>0</v>
      </c>
      <c r="Z54" s="387">
        <f t="shared" si="35"/>
        <v>0</v>
      </c>
      <c r="AA54" s="385"/>
      <c r="AB54" s="385"/>
      <c r="AC54" s="385"/>
      <c r="AD54" s="385"/>
      <c r="AE54" s="388"/>
      <c r="AF54" s="383">
        <f t="shared" si="1"/>
        <v>0</v>
      </c>
      <c r="AG54" s="387">
        <f t="shared" si="36"/>
        <v>0</v>
      </c>
      <c r="AH54" s="411" t="str">
        <f t="shared" si="6"/>
        <v/>
      </c>
      <c r="AI54" s="359">
        <f>'Internal Service Template'!$E$2</f>
        <v>0</v>
      </c>
    </row>
    <row r="55" spans="1:35">
      <c r="A55" s="380"/>
      <c r="B55" s="359"/>
      <c r="C55" s="412"/>
      <c r="D55" s="359"/>
      <c r="E55" s="359"/>
      <c r="F55" s="359"/>
      <c r="G55" s="359"/>
      <c r="H55" s="359"/>
      <c r="I55" s="359"/>
      <c r="J55" s="359"/>
      <c r="K55" s="359"/>
      <c r="L55" s="359"/>
      <c r="M55" s="359"/>
      <c r="N55" s="359"/>
      <c r="O55" s="413"/>
      <c r="P55" s="359"/>
      <c r="Q55" s="457"/>
      <c r="R55" s="414"/>
      <c r="S55" s="414"/>
      <c r="T55" s="414"/>
      <c r="U55" s="414"/>
      <c r="V55" s="414"/>
      <c r="W55" s="414"/>
      <c r="X55" s="414"/>
      <c r="Y55" s="415"/>
      <c r="Z55" s="416"/>
      <c r="AA55" s="414"/>
      <c r="AB55" s="414"/>
      <c r="AC55" s="414"/>
      <c r="AD55" s="414"/>
      <c r="AE55" s="417"/>
      <c r="AF55" s="359"/>
      <c r="AG55" s="416"/>
      <c r="AH55" s="411"/>
      <c r="AI55" s="359"/>
    </row>
    <row r="56" spans="1:35">
      <c r="A56" s="380" t="s">
        <v>686</v>
      </c>
      <c r="B56" s="381" t="s">
        <v>434</v>
      </c>
      <c r="C56" s="389"/>
      <c r="D56" s="389"/>
      <c r="E56" s="389"/>
      <c r="F56" s="390"/>
      <c r="G56" s="390"/>
      <c r="H56" s="390"/>
      <c r="I56" s="390"/>
      <c r="J56" s="390"/>
      <c r="K56" s="390"/>
      <c r="L56" s="390"/>
      <c r="M56" s="390"/>
      <c r="N56" s="390"/>
      <c r="O56" s="391"/>
      <c r="P56" s="384">
        <f t="shared" ref="P56:P60" si="38">IF(SUM(F56:O56)=(SUM(R56:U56)),(SUM(F56:O56)))</f>
        <v>0</v>
      </c>
      <c r="Q56" s="456">
        <f t="shared" ref="Q56:Q60" si="39">SUM(F56:O56)-SUM(R56:U56)</f>
        <v>0</v>
      </c>
      <c r="R56" s="385"/>
      <c r="S56" s="385"/>
      <c r="T56" s="385"/>
      <c r="U56" s="385"/>
      <c r="V56" s="385"/>
      <c r="W56" s="385"/>
      <c r="X56" s="385"/>
      <c r="Y56" s="392">
        <f t="shared" si="0"/>
        <v>0</v>
      </c>
      <c r="Z56" s="387">
        <f t="shared" ref="Z56:Z60" si="40">IFERROR((SUM(R56:U56)-SUM(V56:X56)),"Error")</f>
        <v>0</v>
      </c>
      <c r="AA56" s="385"/>
      <c r="AB56" s="385"/>
      <c r="AC56" s="385"/>
      <c r="AD56" s="385"/>
      <c r="AE56" s="388"/>
      <c r="AF56" s="383">
        <f t="shared" si="1"/>
        <v>0</v>
      </c>
      <c r="AG56" s="387">
        <f t="shared" ref="AG56:AG60" si="41">IFERROR((SUM(AA56:AE56)-Y56),"Error")</f>
        <v>0</v>
      </c>
      <c r="AH56" s="411" t="str">
        <f t="shared" si="6"/>
        <v/>
      </c>
      <c r="AI56" s="359">
        <f>'Internal Service Template'!$E$2</f>
        <v>0</v>
      </c>
    </row>
    <row r="57" spans="1:35">
      <c r="A57" s="380" t="s">
        <v>686</v>
      </c>
      <c r="B57" s="381" t="s">
        <v>434</v>
      </c>
      <c r="C57" s="389"/>
      <c r="D57" s="389"/>
      <c r="E57" s="389"/>
      <c r="F57" s="390"/>
      <c r="G57" s="390"/>
      <c r="H57" s="390"/>
      <c r="I57" s="390"/>
      <c r="J57" s="390"/>
      <c r="K57" s="390"/>
      <c r="L57" s="390"/>
      <c r="M57" s="390"/>
      <c r="N57" s="390"/>
      <c r="O57" s="391"/>
      <c r="P57" s="384">
        <f t="shared" si="38"/>
        <v>0</v>
      </c>
      <c r="Q57" s="456">
        <f t="shared" si="39"/>
        <v>0</v>
      </c>
      <c r="R57" s="385"/>
      <c r="S57" s="385"/>
      <c r="T57" s="385"/>
      <c r="U57" s="385"/>
      <c r="V57" s="385"/>
      <c r="W57" s="385"/>
      <c r="X57" s="385"/>
      <c r="Y57" s="392">
        <f t="shared" ref="Y57:Y60" si="42">IF(SUM(R57:U57)=SUM(V57:X57), SUM(V57:X57),"Error")</f>
        <v>0</v>
      </c>
      <c r="Z57" s="387">
        <f t="shared" si="40"/>
        <v>0</v>
      </c>
      <c r="AA57" s="385"/>
      <c r="AB57" s="385"/>
      <c r="AC57" s="385"/>
      <c r="AD57" s="385"/>
      <c r="AE57" s="388"/>
      <c r="AF57" s="383">
        <f t="shared" si="1"/>
        <v>0</v>
      </c>
      <c r="AG57" s="387">
        <f t="shared" si="41"/>
        <v>0</v>
      </c>
      <c r="AH57" s="411" t="str">
        <f t="shared" si="6"/>
        <v/>
      </c>
      <c r="AI57" s="359">
        <f>'Internal Service Template'!$E$2</f>
        <v>0</v>
      </c>
    </row>
    <row r="58" spans="1:35">
      <c r="A58" s="380" t="s">
        <v>686</v>
      </c>
      <c r="B58" s="381" t="s">
        <v>434</v>
      </c>
      <c r="C58" s="389"/>
      <c r="D58" s="389"/>
      <c r="E58" s="389"/>
      <c r="F58" s="390"/>
      <c r="G58" s="390"/>
      <c r="H58" s="390"/>
      <c r="I58" s="390"/>
      <c r="J58" s="390"/>
      <c r="K58" s="390"/>
      <c r="L58" s="390"/>
      <c r="M58" s="390"/>
      <c r="N58" s="390"/>
      <c r="O58" s="391"/>
      <c r="P58" s="384">
        <f t="shared" si="38"/>
        <v>0</v>
      </c>
      <c r="Q58" s="456">
        <f t="shared" si="39"/>
        <v>0</v>
      </c>
      <c r="R58" s="385"/>
      <c r="S58" s="385"/>
      <c r="T58" s="385"/>
      <c r="U58" s="385"/>
      <c r="V58" s="385"/>
      <c r="W58" s="385"/>
      <c r="X58" s="385"/>
      <c r="Y58" s="392">
        <f t="shared" si="42"/>
        <v>0</v>
      </c>
      <c r="Z58" s="387">
        <f t="shared" si="40"/>
        <v>0</v>
      </c>
      <c r="AA58" s="385"/>
      <c r="AB58" s="385"/>
      <c r="AC58" s="385"/>
      <c r="AD58" s="385"/>
      <c r="AE58" s="388"/>
      <c r="AF58" s="383">
        <f t="shared" si="1"/>
        <v>0</v>
      </c>
      <c r="AG58" s="387">
        <f t="shared" si="41"/>
        <v>0</v>
      </c>
      <c r="AH58" s="411" t="str">
        <f t="shared" si="6"/>
        <v/>
      </c>
      <c r="AI58" s="359">
        <f>'Internal Service Template'!$E$2</f>
        <v>0</v>
      </c>
    </row>
    <row r="59" spans="1:35">
      <c r="A59" s="380" t="s">
        <v>686</v>
      </c>
      <c r="B59" s="381" t="s">
        <v>434</v>
      </c>
      <c r="C59" s="389"/>
      <c r="D59" s="389"/>
      <c r="E59" s="389"/>
      <c r="F59" s="390"/>
      <c r="G59" s="390"/>
      <c r="H59" s="390"/>
      <c r="I59" s="390"/>
      <c r="J59" s="390"/>
      <c r="K59" s="390"/>
      <c r="L59" s="390"/>
      <c r="M59" s="390"/>
      <c r="N59" s="390"/>
      <c r="O59" s="391"/>
      <c r="P59" s="384">
        <f t="shared" si="38"/>
        <v>0</v>
      </c>
      <c r="Q59" s="456">
        <f t="shared" si="39"/>
        <v>0</v>
      </c>
      <c r="R59" s="385"/>
      <c r="S59" s="385"/>
      <c r="T59" s="385"/>
      <c r="U59" s="385"/>
      <c r="V59" s="385"/>
      <c r="W59" s="385"/>
      <c r="X59" s="385"/>
      <c r="Y59" s="392">
        <f t="shared" si="42"/>
        <v>0</v>
      </c>
      <c r="Z59" s="387">
        <f t="shared" si="40"/>
        <v>0</v>
      </c>
      <c r="AA59" s="385"/>
      <c r="AB59" s="385"/>
      <c r="AC59" s="385"/>
      <c r="AD59" s="385"/>
      <c r="AE59" s="388"/>
      <c r="AF59" s="383">
        <f t="shared" si="1"/>
        <v>0</v>
      </c>
      <c r="AG59" s="387">
        <f t="shared" si="41"/>
        <v>0</v>
      </c>
      <c r="AH59" s="411" t="str">
        <f t="shared" si="6"/>
        <v/>
      </c>
      <c r="AI59" s="359">
        <f>'Internal Service Template'!$E$2</f>
        <v>0</v>
      </c>
    </row>
    <row r="60" spans="1:35">
      <c r="A60" s="380" t="s">
        <v>686</v>
      </c>
      <c r="B60" s="381" t="s">
        <v>434</v>
      </c>
      <c r="C60" s="389"/>
      <c r="D60" s="389"/>
      <c r="E60" s="389"/>
      <c r="F60" s="390"/>
      <c r="G60" s="390"/>
      <c r="H60" s="390"/>
      <c r="I60" s="390"/>
      <c r="J60" s="390"/>
      <c r="K60" s="390"/>
      <c r="L60" s="390"/>
      <c r="M60" s="390"/>
      <c r="N60" s="390"/>
      <c r="O60" s="391"/>
      <c r="P60" s="384">
        <f t="shared" si="38"/>
        <v>0</v>
      </c>
      <c r="Q60" s="456">
        <f t="shared" si="39"/>
        <v>0</v>
      </c>
      <c r="R60" s="385"/>
      <c r="S60" s="385"/>
      <c r="T60" s="385"/>
      <c r="U60" s="385"/>
      <c r="V60" s="385"/>
      <c r="W60" s="385"/>
      <c r="X60" s="385"/>
      <c r="Y60" s="392">
        <f t="shared" si="42"/>
        <v>0</v>
      </c>
      <c r="Z60" s="387">
        <f t="shared" si="40"/>
        <v>0</v>
      </c>
      <c r="AA60" s="385"/>
      <c r="AB60" s="385"/>
      <c r="AC60" s="385"/>
      <c r="AD60" s="385"/>
      <c r="AE60" s="388"/>
      <c r="AF60" s="383">
        <f t="shared" si="1"/>
        <v>0</v>
      </c>
      <c r="AG60" s="387">
        <f t="shared" si="41"/>
        <v>0</v>
      </c>
      <c r="AH60" s="411" t="str">
        <f t="shared" si="6"/>
        <v/>
      </c>
      <c r="AI60" s="359">
        <f>'Internal Service Template'!$E$2</f>
        <v>0</v>
      </c>
    </row>
    <row r="61" spans="1:35">
      <c r="A61" s="380"/>
      <c r="B61" s="359"/>
      <c r="C61" s="412"/>
      <c r="D61" s="359"/>
      <c r="E61" s="359"/>
      <c r="F61" s="359"/>
      <c r="G61" s="359"/>
      <c r="H61" s="359"/>
      <c r="I61" s="359"/>
      <c r="J61" s="359"/>
      <c r="K61" s="359"/>
      <c r="L61" s="359"/>
      <c r="M61" s="359"/>
      <c r="N61" s="359"/>
      <c r="O61" s="413"/>
      <c r="P61" s="359"/>
      <c r="Q61" s="457"/>
      <c r="R61" s="414"/>
      <c r="S61" s="414"/>
      <c r="T61" s="414"/>
      <c r="U61" s="414"/>
      <c r="V61" s="414"/>
      <c r="W61" s="414"/>
      <c r="X61" s="414"/>
      <c r="Y61" s="415"/>
      <c r="Z61" s="416"/>
      <c r="AA61" s="414"/>
      <c r="AB61" s="414"/>
      <c r="AC61" s="414"/>
      <c r="AD61" s="414"/>
      <c r="AE61" s="417"/>
      <c r="AF61" s="359"/>
      <c r="AG61" s="416"/>
      <c r="AH61" s="411"/>
      <c r="AI61" s="359"/>
    </row>
    <row r="62" spans="1:35">
      <c r="A62" s="380" t="s">
        <v>686</v>
      </c>
      <c r="B62" s="381" t="s">
        <v>373</v>
      </c>
      <c r="C62" s="389"/>
      <c r="D62" s="389"/>
      <c r="E62" s="389"/>
      <c r="F62" s="390"/>
      <c r="G62" s="390"/>
      <c r="H62" s="390"/>
      <c r="I62" s="390"/>
      <c r="J62" s="390"/>
      <c r="K62" s="390"/>
      <c r="L62" s="390"/>
      <c r="M62" s="390"/>
      <c r="N62" s="390"/>
      <c r="O62" s="391"/>
      <c r="P62" s="384">
        <f t="shared" ref="P62:P66" si="43">IF(SUM(F62:O62)=(SUM(R62:U62)),(SUM(F62:O62)))</f>
        <v>0</v>
      </c>
      <c r="Q62" s="456">
        <f t="shared" ref="Q62:Q66" si="44">SUM(F62:O62)-SUM(R62:U62)</f>
        <v>0</v>
      </c>
      <c r="R62" s="385"/>
      <c r="S62" s="385"/>
      <c r="T62" s="385"/>
      <c r="U62" s="385"/>
      <c r="V62" s="385"/>
      <c r="W62" s="385"/>
      <c r="X62" s="385"/>
      <c r="Y62" s="392">
        <f t="shared" si="0"/>
        <v>0</v>
      </c>
      <c r="Z62" s="387">
        <f t="shared" ref="Z62:Z66" si="45">IFERROR((SUM(R62:U62)-SUM(V62:X62)),"Error")</f>
        <v>0</v>
      </c>
      <c r="AA62" s="385"/>
      <c r="AB62" s="385"/>
      <c r="AC62" s="385"/>
      <c r="AD62" s="385"/>
      <c r="AE62" s="388"/>
      <c r="AF62" s="383">
        <f t="shared" si="1"/>
        <v>0</v>
      </c>
      <c r="AG62" s="387">
        <f t="shared" ref="AG62:AG66" si="46">IFERROR((SUM(AA62:AE62)-Y62),"Error")</f>
        <v>0</v>
      </c>
      <c r="AH62" s="411" t="str">
        <f t="shared" si="6"/>
        <v/>
      </c>
      <c r="AI62" s="359">
        <f>'Internal Service Template'!$E$2</f>
        <v>0</v>
      </c>
    </row>
    <row r="63" spans="1:35">
      <c r="A63" s="380" t="s">
        <v>686</v>
      </c>
      <c r="B63" s="381" t="s">
        <v>373</v>
      </c>
      <c r="C63" s="389"/>
      <c r="D63" s="389"/>
      <c r="E63" s="389"/>
      <c r="F63" s="390"/>
      <c r="G63" s="390"/>
      <c r="H63" s="390"/>
      <c r="I63" s="390"/>
      <c r="J63" s="390"/>
      <c r="K63" s="390"/>
      <c r="L63" s="390"/>
      <c r="M63" s="390"/>
      <c r="N63" s="390"/>
      <c r="O63" s="391"/>
      <c r="P63" s="384">
        <f t="shared" si="43"/>
        <v>0</v>
      </c>
      <c r="Q63" s="456">
        <f t="shared" si="44"/>
        <v>0</v>
      </c>
      <c r="R63" s="385"/>
      <c r="S63" s="385"/>
      <c r="T63" s="385"/>
      <c r="U63" s="385"/>
      <c r="V63" s="385"/>
      <c r="W63" s="385"/>
      <c r="X63" s="385"/>
      <c r="Y63" s="392">
        <f t="shared" ref="Y63:Y66" si="47">IF(SUM(R63:U63)=SUM(V63:X63), SUM(V63:X63),"Error")</f>
        <v>0</v>
      </c>
      <c r="Z63" s="387">
        <f t="shared" si="45"/>
        <v>0</v>
      </c>
      <c r="AA63" s="385"/>
      <c r="AB63" s="385"/>
      <c r="AC63" s="385"/>
      <c r="AD63" s="385"/>
      <c r="AE63" s="388"/>
      <c r="AF63" s="383">
        <f t="shared" si="1"/>
        <v>0</v>
      </c>
      <c r="AG63" s="387">
        <f t="shared" si="46"/>
        <v>0</v>
      </c>
      <c r="AH63" s="411" t="str">
        <f t="shared" si="6"/>
        <v/>
      </c>
      <c r="AI63" s="359">
        <f>'Internal Service Template'!$E$2</f>
        <v>0</v>
      </c>
    </row>
    <row r="64" spans="1:35">
      <c r="A64" s="380" t="s">
        <v>686</v>
      </c>
      <c r="B64" s="381" t="s">
        <v>373</v>
      </c>
      <c r="C64" s="389"/>
      <c r="D64" s="389"/>
      <c r="E64" s="389"/>
      <c r="F64" s="390"/>
      <c r="G64" s="390"/>
      <c r="H64" s="390"/>
      <c r="I64" s="390"/>
      <c r="J64" s="390"/>
      <c r="K64" s="390"/>
      <c r="L64" s="390"/>
      <c r="M64" s="390"/>
      <c r="N64" s="390"/>
      <c r="O64" s="391"/>
      <c r="P64" s="384">
        <f t="shared" si="43"/>
        <v>0</v>
      </c>
      <c r="Q64" s="456">
        <f t="shared" si="44"/>
        <v>0</v>
      </c>
      <c r="R64" s="385"/>
      <c r="S64" s="385"/>
      <c r="T64" s="385"/>
      <c r="U64" s="385"/>
      <c r="V64" s="385"/>
      <c r="W64" s="385"/>
      <c r="X64" s="385"/>
      <c r="Y64" s="392">
        <f t="shared" si="47"/>
        <v>0</v>
      </c>
      <c r="Z64" s="387">
        <f t="shared" si="45"/>
        <v>0</v>
      </c>
      <c r="AA64" s="385"/>
      <c r="AB64" s="385"/>
      <c r="AC64" s="385"/>
      <c r="AD64" s="385"/>
      <c r="AE64" s="388"/>
      <c r="AF64" s="383">
        <f t="shared" si="1"/>
        <v>0</v>
      </c>
      <c r="AG64" s="387">
        <f t="shared" si="46"/>
        <v>0</v>
      </c>
      <c r="AH64" s="411" t="str">
        <f t="shared" si="6"/>
        <v/>
      </c>
      <c r="AI64" s="359">
        <f>'Internal Service Template'!$E$2</f>
        <v>0</v>
      </c>
    </row>
    <row r="65" spans="1:35">
      <c r="A65" s="380" t="s">
        <v>686</v>
      </c>
      <c r="B65" s="381" t="s">
        <v>373</v>
      </c>
      <c r="C65" s="389"/>
      <c r="D65" s="389"/>
      <c r="E65" s="389"/>
      <c r="F65" s="390"/>
      <c r="G65" s="390"/>
      <c r="H65" s="390"/>
      <c r="I65" s="390"/>
      <c r="J65" s="390"/>
      <c r="K65" s="390"/>
      <c r="L65" s="390"/>
      <c r="M65" s="390"/>
      <c r="N65" s="390"/>
      <c r="O65" s="391"/>
      <c r="P65" s="384">
        <f t="shared" si="43"/>
        <v>0</v>
      </c>
      <c r="Q65" s="456">
        <f t="shared" si="44"/>
        <v>0</v>
      </c>
      <c r="R65" s="385"/>
      <c r="S65" s="385"/>
      <c r="T65" s="385"/>
      <c r="U65" s="385"/>
      <c r="V65" s="385"/>
      <c r="W65" s="385"/>
      <c r="X65" s="385"/>
      <c r="Y65" s="392">
        <f t="shared" si="47"/>
        <v>0</v>
      </c>
      <c r="Z65" s="387">
        <f t="shared" si="45"/>
        <v>0</v>
      </c>
      <c r="AA65" s="385"/>
      <c r="AB65" s="385"/>
      <c r="AC65" s="385"/>
      <c r="AD65" s="385"/>
      <c r="AE65" s="388"/>
      <c r="AF65" s="383">
        <f t="shared" si="1"/>
        <v>0</v>
      </c>
      <c r="AG65" s="387">
        <f t="shared" si="46"/>
        <v>0</v>
      </c>
      <c r="AH65" s="411" t="str">
        <f t="shared" si="6"/>
        <v/>
      </c>
      <c r="AI65" s="359">
        <f>'Internal Service Template'!$E$2</f>
        <v>0</v>
      </c>
    </row>
    <row r="66" spans="1:35">
      <c r="A66" s="380" t="s">
        <v>686</v>
      </c>
      <c r="B66" s="381" t="s">
        <v>373</v>
      </c>
      <c r="C66" s="389"/>
      <c r="D66" s="389"/>
      <c r="E66" s="389"/>
      <c r="F66" s="390"/>
      <c r="G66" s="390"/>
      <c r="H66" s="390"/>
      <c r="I66" s="390"/>
      <c r="J66" s="390"/>
      <c r="K66" s="390"/>
      <c r="L66" s="390"/>
      <c r="M66" s="390"/>
      <c r="N66" s="390"/>
      <c r="O66" s="391"/>
      <c r="P66" s="384">
        <f t="shared" si="43"/>
        <v>0</v>
      </c>
      <c r="Q66" s="456">
        <f t="shared" si="44"/>
        <v>0</v>
      </c>
      <c r="R66" s="385"/>
      <c r="S66" s="385"/>
      <c r="T66" s="385"/>
      <c r="U66" s="385"/>
      <c r="V66" s="385"/>
      <c r="W66" s="385"/>
      <c r="X66" s="385"/>
      <c r="Y66" s="392">
        <f t="shared" si="47"/>
        <v>0</v>
      </c>
      <c r="Z66" s="387">
        <f t="shared" si="45"/>
        <v>0</v>
      </c>
      <c r="AA66" s="385"/>
      <c r="AB66" s="385"/>
      <c r="AC66" s="385"/>
      <c r="AD66" s="385"/>
      <c r="AE66" s="388"/>
      <c r="AF66" s="383">
        <f t="shared" si="1"/>
        <v>0</v>
      </c>
      <c r="AG66" s="387">
        <f t="shared" si="46"/>
        <v>0</v>
      </c>
      <c r="AH66" s="411" t="str">
        <f t="shared" si="6"/>
        <v/>
      </c>
      <c r="AI66" s="359">
        <f>'Internal Service Template'!$E$2</f>
        <v>0</v>
      </c>
    </row>
    <row r="67" spans="1:35">
      <c r="A67" s="380"/>
      <c r="B67" s="359"/>
      <c r="C67" s="412"/>
      <c r="D67" s="359"/>
      <c r="E67" s="359"/>
      <c r="F67" s="359"/>
      <c r="G67" s="359"/>
      <c r="H67" s="359"/>
      <c r="I67" s="359"/>
      <c r="J67" s="359"/>
      <c r="K67" s="359"/>
      <c r="L67" s="359"/>
      <c r="M67" s="359"/>
      <c r="N67" s="359"/>
      <c r="O67" s="413"/>
      <c r="P67" s="359"/>
      <c r="Q67" s="457"/>
      <c r="R67" s="414"/>
      <c r="S67" s="414"/>
      <c r="T67" s="414"/>
      <c r="U67" s="414"/>
      <c r="V67" s="414"/>
      <c r="W67" s="414"/>
      <c r="X67" s="414"/>
      <c r="Y67" s="415"/>
      <c r="Z67" s="416"/>
      <c r="AA67" s="414"/>
      <c r="AB67" s="414"/>
      <c r="AC67" s="414"/>
      <c r="AD67" s="414"/>
      <c r="AE67" s="417"/>
      <c r="AF67" s="359"/>
      <c r="AG67" s="416"/>
      <c r="AH67" s="411"/>
      <c r="AI67" s="359"/>
    </row>
    <row r="68" spans="1:35">
      <c r="A68" s="380" t="s">
        <v>686</v>
      </c>
      <c r="B68" s="381" t="s">
        <v>374</v>
      </c>
      <c r="C68" s="389"/>
      <c r="D68" s="389"/>
      <c r="E68" s="389"/>
      <c r="F68" s="390"/>
      <c r="G68" s="390"/>
      <c r="H68" s="390"/>
      <c r="I68" s="390"/>
      <c r="J68" s="390"/>
      <c r="K68" s="390"/>
      <c r="L68" s="390"/>
      <c r="M68" s="390"/>
      <c r="N68" s="390"/>
      <c r="O68" s="391"/>
      <c r="P68" s="384">
        <f t="shared" ref="P68:P72" si="48">IF(SUM(F68:O68)=(SUM(R68:U68)),(SUM(F68:O68)))</f>
        <v>0</v>
      </c>
      <c r="Q68" s="456">
        <f t="shared" ref="Q68:Q72" si="49">SUM(F68:O68)-SUM(R68:U68)</f>
        <v>0</v>
      </c>
      <c r="R68" s="385"/>
      <c r="S68" s="385"/>
      <c r="T68" s="385"/>
      <c r="U68" s="385"/>
      <c r="V68" s="385"/>
      <c r="W68" s="385"/>
      <c r="X68" s="385"/>
      <c r="Y68" s="392">
        <f t="shared" si="0"/>
        <v>0</v>
      </c>
      <c r="Z68" s="387">
        <f t="shared" ref="Z68:Z72" si="50">IFERROR((SUM(R68:U68)-SUM(V68:X68)),"Error")</f>
        <v>0</v>
      </c>
      <c r="AA68" s="385"/>
      <c r="AB68" s="385"/>
      <c r="AC68" s="385"/>
      <c r="AD68" s="385"/>
      <c r="AE68" s="388"/>
      <c r="AF68" s="383">
        <f t="shared" si="1"/>
        <v>0</v>
      </c>
      <c r="AG68" s="387">
        <f t="shared" ref="AG68:AG72" si="51">IFERROR((SUM(AA68:AE68)-Y68),"Error")</f>
        <v>0</v>
      </c>
      <c r="AH68" s="411" t="str">
        <f t="shared" si="6"/>
        <v/>
      </c>
      <c r="AI68" s="359">
        <f>'Internal Service Template'!$E$2</f>
        <v>0</v>
      </c>
    </row>
    <row r="69" spans="1:35">
      <c r="A69" s="380" t="s">
        <v>686</v>
      </c>
      <c r="B69" s="381" t="s">
        <v>374</v>
      </c>
      <c r="C69" s="389"/>
      <c r="D69" s="389"/>
      <c r="E69" s="389"/>
      <c r="F69" s="390"/>
      <c r="G69" s="390"/>
      <c r="H69" s="390"/>
      <c r="I69" s="390"/>
      <c r="J69" s="390"/>
      <c r="K69" s="390"/>
      <c r="L69" s="390"/>
      <c r="M69" s="390"/>
      <c r="N69" s="390"/>
      <c r="O69" s="391"/>
      <c r="P69" s="384">
        <f t="shared" si="48"/>
        <v>0</v>
      </c>
      <c r="Q69" s="456">
        <f t="shared" si="49"/>
        <v>0</v>
      </c>
      <c r="R69" s="385"/>
      <c r="S69" s="385"/>
      <c r="T69" s="385"/>
      <c r="U69" s="385"/>
      <c r="V69" s="385"/>
      <c r="W69" s="385"/>
      <c r="X69" s="385"/>
      <c r="Y69" s="392">
        <f t="shared" ref="Y69:Y72" si="52">IF(SUM(R69:U69)=SUM(V69:X69), SUM(V69:X69),"Error")</f>
        <v>0</v>
      </c>
      <c r="Z69" s="387">
        <f t="shared" si="50"/>
        <v>0</v>
      </c>
      <c r="AA69" s="385"/>
      <c r="AB69" s="385"/>
      <c r="AC69" s="385"/>
      <c r="AD69" s="385"/>
      <c r="AE69" s="388"/>
      <c r="AF69" s="383">
        <f t="shared" si="1"/>
        <v>0</v>
      </c>
      <c r="AG69" s="387">
        <f t="shared" si="51"/>
        <v>0</v>
      </c>
      <c r="AH69" s="411" t="str">
        <f t="shared" si="6"/>
        <v/>
      </c>
      <c r="AI69" s="359">
        <f>'Internal Service Template'!$E$2</f>
        <v>0</v>
      </c>
    </row>
    <row r="70" spans="1:35">
      <c r="A70" s="380" t="s">
        <v>686</v>
      </c>
      <c r="B70" s="381" t="s">
        <v>374</v>
      </c>
      <c r="C70" s="389"/>
      <c r="D70" s="389"/>
      <c r="E70" s="389"/>
      <c r="F70" s="390"/>
      <c r="G70" s="390"/>
      <c r="H70" s="390"/>
      <c r="I70" s="390"/>
      <c r="J70" s="390"/>
      <c r="K70" s="390"/>
      <c r="L70" s="390"/>
      <c r="M70" s="390"/>
      <c r="N70" s="390"/>
      <c r="O70" s="391"/>
      <c r="P70" s="384">
        <f t="shared" si="48"/>
        <v>0</v>
      </c>
      <c r="Q70" s="456">
        <f t="shared" si="49"/>
        <v>0</v>
      </c>
      <c r="R70" s="385"/>
      <c r="S70" s="385"/>
      <c r="T70" s="385"/>
      <c r="U70" s="385"/>
      <c r="V70" s="385"/>
      <c r="W70" s="385"/>
      <c r="X70" s="385"/>
      <c r="Y70" s="392">
        <f t="shared" si="52"/>
        <v>0</v>
      </c>
      <c r="Z70" s="387">
        <f t="shared" si="50"/>
        <v>0</v>
      </c>
      <c r="AA70" s="385"/>
      <c r="AB70" s="385"/>
      <c r="AC70" s="385"/>
      <c r="AD70" s="385"/>
      <c r="AE70" s="388"/>
      <c r="AF70" s="383">
        <f t="shared" si="1"/>
        <v>0</v>
      </c>
      <c r="AG70" s="387">
        <f t="shared" si="51"/>
        <v>0</v>
      </c>
      <c r="AH70" s="411" t="str">
        <f t="shared" si="6"/>
        <v/>
      </c>
      <c r="AI70" s="359">
        <f>'Internal Service Template'!$E$2</f>
        <v>0</v>
      </c>
    </row>
    <row r="71" spans="1:35">
      <c r="A71" s="380" t="s">
        <v>686</v>
      </c>
      <c r="B71" s="381" t="s">
        <v>374</v>
      </c>
      <c r="C71" s="389"/>
      <c r="D71" s="389"/>
      <c r="E71" s="389"/>
      <c r="F71" s="390"/>
      <c r="G71" s="390"/>
      <c r="H71" s="390"/>
      <c r="I71" s="390"/>
      <c r="J71" s="390"/>
      <c r="K71" s="390"/>
      <c r="L71" s="390"/>
      <c r="M71" s="390"/>
      <c r="N71" s="390"/>
      <c r="O71" s="391"/>
      <c r="P71" s="384">
        <f t="shared" si="48"/>
        <v>0</v>
      </c>
      <c r="Q71" s="456">
        <f t="shared" si="49"/>
        <v>0</v>
      </c>
      <c r="R71" s="385"/>
      <c r="S71" s="385"/>
      <c r="T71" s="385"/>
      <c r="U71" s="385"/>
      <c r="V71" s="385"/>
      <c r="W71" s="385"/>
      <c r="X71" s="385"/>
      <c r="Y71" s="392">
        <f t="shared" si="52"/>
        <v>0</v>
      </c>
      <c r="Z71" s="387">
        <f t="shared" si="50"/>
        <v>0</v>
      </c>
      <c r="AA71" s="385"/>
      <c r="AB71" s="385"/>
      <c r="AC71" s="385"/>
      <c r="AD71" s="385"/>
      <c r="AE71" s="388"/>
      <c r="AF71" s="383">
        <f t="shared" si="1"/>
        <v>0</v>
      </c>
      <c r="AG71" s="387">
        <f t="shared" si="51"/>
        <v>0</v>
      </c>
      <c r="AH71" s="411" t="str">
        <f t="shared" si="6"/>
        <v/>
      </c>
      <c r="AI71" s="359">
        <f>'Internal Service Template'!$E$2</f>
        <v>0</v>
      </c>
    </row>
    <row r="72" spans="1:35">
      <c r="A72" s="380" t="s">
        <v>686</v>
      </c>
      <c r="B72" s="381" t="s">
        <v>374</v>
      </c>
      <c r="C72" s="389"/>
      <c r="D72" s="389"/>
      <c r="E72" s="389"/>
      <c r="F72" s="390"/>
      <c r="G72" s="390"/>
      <c r="H72" s="390"/>
      <c r="I72" s="390"/>
      <c r="J72" s="390"/>
      <c r="K72" s="390"/>
      <c r="L72" s="390"/>
      <c r="M72" s="390"/>
      <c r="N72" s="390"/>
      <c r="O72" s="391"/>
      <c r="P72" s="384">
        <f t="shared" si="48"/>
        <v>0</v>
      </c>
      <c r="Q72" s="456">
        <f t="shared" si="49"/>
        <v>0</v>
      </c>
      <c r="R72" s="385"/>
      <c r="S72" s="385"/>
      <c r="T72" s="385"/>
      <c r="U72" s="385"/>
      <c r="V72" s="385"/>
      <c r="W72" s="385"/>
      <c r="X72" s="385"/>
      <c r="Y72" s="392">
        <f t="shared" si="52"/>
        <v>0</v>
      </c>
      <c r="Z72" s="387">
        <f t="shared" si="50"/>
        <v>0</v>
      </c>
      <c r="AA72" s="385"/>
      <c r="AB72" s="385"/>
      <c r="AC72" s="385"/>
      <c r="AD72" s="385"/>
      <c r="AE72" s="388"/>
      <c r="AF72" s="383">
        <f t="shared" si="1"/>
        <v>0</v>
      </c>
      <c r="AG72" s="387">
        <f t="shared" si="51"/>
        <v>0</v>
      </c>
      <c r="AH72" s="411" t="str">
        <f t="shared" si="6"/>
        <v/>
      </c>
      <c r="AI72" s="359">
        <f>'Internal Service Template'!$E$2</f>
        <v>0</v>
      </c>
    </row>
    <row r="73" spans="1:35">
      <c r="A73" s="380"/>
      <c r="B73" s="359"/>
      <c r="C73" s="412"/>
      <c r="D73" s="359"/>
      <c r="E73" s="359"/>
      <c r="F73" s="359"/>
      <c r="G73" s="359"/>
      <c r="H73" s="359"/>
      <c r="I73" s="359"/>
      <c r="J73" s="359"/>
      <c r="K73" s="359"/>
      <c r="L73" s="359"/>
      <c r="M73" s="359"/>
      <c r="N73" s="359"/>
      <c r="O73" s="413"/>
      <c r="P73" s="359"/>
      <c r="Q73" s="457"/>
      <c r="R73" s="414"/>
      <c r="S73" s="414"/>
      <c r="T73" s="414"/>
      <c r="U73" s="414"/>
      <c r="V73" s="414"/>
      <c r="W73" s="414"/>
      <c r="X73" s="414"/>
      <c r="Y73" s="415"/>
      <c r="Z73" s="416"/>
      <c r="AA73" s="414"/>
      <c r="AB73" s="414"/>
      <c r="AC73" s="414"/>
      <c r="AD73" s="414"/>
      <c r="AE73" s="417"/>
      <c r="AF73" s="359"/>
      <c r="AG73" s="416"/>
      <c r="AH73" s="411"/>
      <c r="AI73" s="359"/>
    </row>
    <row r="74" spans="1:35">
      <c r="A74" s="380" t="s">
        <v>686</v>
      </c>
      <c r="B74" s="381" t="s">
        <v>123</v>
      </c>
      <c r="C74" s="419" t="s">
        <v>124</v>
      </c>
      <c r="D74" s="359"/>
      <c r="E74" s="359"/>
      <c r="F74" s="390"/>
      <c r="G74" s="390"/>
      <c r="H74" s="390"/>
      <c r="I74" s="390"/>
      <c r="J74" s="390"/>
      <c r="K74" s="390"/>
      <c r="L74" s="390"/>
      <c r="M74" s="390"/>
      <c r="N74" s="390"/>
      <c r="O74" s="391"/>
      <c r="P74" s="384">
        <f t="shared" ref="P74:P111" si="53">IF(SUM(F74:O74)=(SUM(R74:U74)),(SUM(F74:O74)))</f>
        <v>0</v>
      </c>
      <c r="Q74" s="456">
        <f t="shared" ref="Q74:Q79" si="54">SUM(F74:O74)-SUM(R74:U74)</f>
        <v>0</v>
      </c>
      <c r="R74" s="385"/>
      <c r="S74" s="385"/>
      <c r="T74" s="385"/>
      <c r="U74" s="385"/>
      <c r="V74" s="385"/>
      <c r="W74" s="385"/>
      <c r="X74" s="385"/>
      <c r="Y74" s="392">
        <f t="shared" si="0"/>
        <v>0</v>
      </c>
      <c r="Z74" s="387">
        <f t="shared" ref="Z74:Z79" si="55">IFERROR((SUM(R74:U74)-SUM(V74:X74)),"Error")</f>
        <v>0</v>
      </c>
      <c r="AA74" s="385"/>
      <c r="AB74" s="385"/>
      <c r="AC74" s="385"/>
      <c r="AD74" s="385"/>
      <c r="AE74" s="388"/>
      <c r="AF74" s="383">
        <f t="shared" si="1"/>
        <v>0</v>
      </c>
      <c r="AG74" s="387">
        <f t="shared" ref="AG74:AG79" si="56">IFERROR((SUM(AA74:AE74)-Y74),"Error")</f>
        <v>0</v>
      </c>
      <c r="AH74" s="411" t="str">
        <f t="shared" si="6"/>
        <v/>
      </c>
      <c r="AI74" s="359">
        <f>'Internal Service Template'!$E$2</f>
        <v>0</v>
      </c>
    </row>
    <row r="75" spans="1:35">
      <c r="A75" s="380" t="s">
        <v>686</v>
      </c>
      <c r="B75" s="381" t="s">
        <v>123</v>
      </c>
      <c r="C75" s="419" t="s">
        <v>124</v>
      </c>
      <c r="D75" s="359"/>
      <c r="E75" s="359"/>
      <c r="F75" s="390"/>
      <c r="G75" s="390"/>
      <c r="H75" s="390"/>
      <c r="I75" s="390"/>
      <c r="J75" s="390"/>
      <c r="K75" s="390"/>
      <c r="L75" s="390"/>
      <c r="M75" s="390"/>
      <c r="N75" s="390"/>
      <c r="O75" s="391"/>
      <c r="P75" s="384">
        <f t="shared" si="53"/>
        <v>0</v>
      </c>
      <c r="Q75" s="456">
        <f t="shared" si="54"/>
        <v>0</v>
      </c>
      <c r="R75" s="385"/>
      <c r="S75" s="385"/>
      <c r="T75" s="385"/>
      <c r="U75" s="385"/>
      <c r="V75" s="385"/>
      <c r="W75" s="385"/>
      <c r="X75" s="385"/>
      <c r="Y75" s="392">
        <f t="shared" ref="Y75:Y79" si="57">IF(SUM(R75:U75)=SUM(V75:X75), SUM(V75:X75),"Error")</f>
        <v>0</v>
      </c>
      <c r="Z75" s="387">
        <f t="shared" si="55"/>
        <v>0</v>
      </c>
      <c r="AA75" s="385"/>
      <c r="AB75" s="385"/>
      <c r="AC75" s="385"/>
      <c r="AD75" s="385"/>
      <c r="AE75" s="388"/>
      <c r="AF75" s="383">
        <f t="shared" si="1"/>
        <v>0</v>
      </c>
      <c r="AG75" s="387">
        <f t="shared" si="56"/>
        <v>0</v>
      </c>
      <c r="AH75" s="411" t="str">
        <f t="shared" si="6"/>
        <v/>
      </c>
      <c r="AI75" s="359">
        <f>'Internal Service Template'!$E$2</f>
        <v>0</v>
      </c>
    </row>
    <row r="76" spans="1:35">
      <c r="A76" s="380" t="s">
        <v>686</v>
      </c>
      <c r="B76" s="381" t="s">
        <v>123</v>
      </c>
      <c r="C76" s="419" t="s">
        <v>124</v>
      </c>
      <c r="D76" s="359"/>
      <c r="E76" s="359"/>
      <c r="F76" s="390"/>
      <c r="G76" s="390"/>
      <c r="H76" s="390"/>
      <c r="I76" s="390"/>
      <c r="J76" s="390"/>
      <c r="K76" s="390"/>
      <c r="L76" s="390"/>
      <c r="M76" s="390"/>
      <c r="N76" s="390"/>
      <c r="O76" s="391"/>
      <c r="P76" s="384">
        <f t="shared" si="53"/>
        <v>0</v>
      </c>
      <c r="Q76" s="456">
        <f t="shared" si="54"/>
        <v>0</v>
      </c>
      <c r="R76" s="385"/>
      <c r="S76" s="385"/>
      <c r="T76" s="385"/>
      <c r="U76" s="385"/>
      <c r="V76" s="385"/>
      <c r="W76" s="385"/>
      <c r="X76" s="385"/>
      <c r="Y76" s="392">
        <f t="shared" si="57"/>
        <v>0</v>
      </c>
      <c r="Z76" s="387">
        <f t="shared" si="55"/>
        <v>0</v>
      </c>
      <c r="AA76" s="385"/>
      <c r="AB76" s="385"/>
      <c r="AC76" s="385"/>
      <c r="AD76" s="385"/>
      <c r="AE76" s="388"/>
      <c r="AF76" s="383">
        <f t="shared" si="1"/>
        <v>0</v>
      </c>
      <c r="AG76" s="387">
        <f t="shared" si="56"/>
        <v>0</v>
      </c>
      <c r="AH76" s="411" t="str">
        <f t="shared" si="6"/>
        <v/>
      </c>
      <c r="AI76" s="359">
        <f>'Internal Service Template'!$E$2</f>
        <v>0</v>
      </c>
    </row>
    <row r="77" spans="1:35">
      <c r="A77" s="380" t="s">
        <v>686</v>
      </c>
      <c r="B77" s="381" t="s">
        <v>123</v>
      </c>
      <c r="C77" s="419" t="s">
        <v>45</v>
      </c>
      <c r="D77" s="359"/>
      <c r="E77" s="359"/>
      <c r="F77" s="390"/>
      <c r="G77" s="390"/>
      <c r="H77" s="390"/>
      <c r="I77" s="390"/>
      <c r="J77" s="390"/>
      <c r="K77" s="390"/>
      <c r="L77" s="390"/>
      <c r="M77" s="390"/>
      <c r="N77" s="390"/>
      <c r="O77" s="391"/>
      <c r="P77" s="384">
        <f t="shared" si="53"/>
        <v>0</v>
      </c>
      <c r="Q77" s="456">
        <f t="shared" si="54"/>
        <v>0</v>
      </c>
      <c r="R77" s="385"/>
      <c r="S77" s="385"/>
      <c r="T77" s="385"/>
      <c r="U77" s="385"/>
      <c r="V77" s="385"/>
      <c r="W77" s="385"/>
      <c r="X77" s="385"/>
      <c r="Y77" s="392">
        <f t="shared" si="57"/>
        <v>0</v>
      </c>
      <c r="Z77" s="387">
        <f t="shared" si="55"/>
        <v>0</v>
      </c>
      <c r="AA77" s="385"/>
      <c r="AB77" s="383"/>
      <c r="AC77" s="383"/>
      <c r="AD77" s="383"/>
      <c r="AE77" s="393"/>
      <c r="AF77" s="383">
        <f t="shared" si="1"/>
        <v>0</v>
      </c>
      <c r="AG77" s="387">
        <f t="shared" si="56"/>
        <v>0</v>
      </c>
      <c r="AH77" s="411" t="str">
        <f t="shared" si="6"/>
        <v/>
      </c>
      <c r="AI77" s="359">
        <f>'Internal Service Template'!$E$2</f>
        <v>0</v>
      </c>
    </row>
    <row r="78" spans="1:35">
      <c r="A78" s="380" t="s">
        <v>686</v>
      </c>
      <c r="B78" s="381" t="s">
        <v>123</v>
      </c>
      <c r="C78" s="419" t="s">
        <v>45</v>
      </c>
      <c r="D78" s="359"/>
      <c r="E78" s="359"/>
      <c r="F78" s="390"/>
      <c r="G78" s="390"/>
      <c r="H78" s="390"/>
      <c r="I78" s="390"/>
      <c r="J78" s="390"/>
      <c r="K78" s="390"/>
      <c r="L78" s="390"/>
      <c r="M78" s="390"/>
      <c r="N78" s="390"/>
      <c r="O78" s="391"/>
      <c r="P78" s="384">
        <f t="shared" si="53"/>
        <v>0</v>
      </c>
      <c r="Q78" s="456">
        <f t="shared" si="54"/>
        <v>0</v>
      </c>
      <c r="R78" s="385"/>
      <c r="S78" s="385"/>
      <c r="T78" s="385"/>
      <c r="U78" s="385"/>
      <c r="V78" s="385"/>
      <c r="W78" s="385"/>
      <c r="X78" s="385"/>
      <c r="Y78" s="392">
        <f t="shared" si="57"/>
        <v>0</v>
      </c>
      <c r="Z78" s="387">
        <f t="shared" si="55"/>
        <v>0</v>
      </c>
      <c r="AA78" s="385"/>
      <c r="AB78" s="383"/>
      <c r="AC78" s="383"/>
      <c r="AD78" s="383"/>
      <c r="AE78" s="393"/>
      <c r="AF78" s="383">
        <f t="shared" si="1"/>
        <v>0</v>
      </c>
      <c r="AG78" s="387">
        <f t="shared" si="56"/>
        <v>0</v>
      </c>
      <c r="AH78" s="411" t="str">
        <f t="shared" si="6"/>
        <v/>
      </c>
      <c r="AI78" s="359">
        <f>'Internal Service Template'!$E$2</f>
        <v>0</v>
      </c>
    </row>
    <row r="79" spans="1:35">
      <c r="A79" s="380" t="s">
        <v>686</v>
      </c>
      <c r="B79" s="381" t="s">
        <v>123</v>
      </c>
      <c r="C79" s="419" t="s">
        <v>45</v>
      </c>
      <c r="D79" s="359"/>
      <c r="E79" s="359"/>
      <c r="F79" s="390"/>
      <c r="G79" s="390"/>
      <c r="H79" s="390"/>
      <c r="I79" s="390"/>
      <c r="J79" s="390"/>
      <c r="K79" s="390"/>
      <c r="L79" s="390"/>
      <c r="M79" s="390"/>
      <c r="N79" s="390"/>
      <c r="O79" s="391"/>
      <c r="P79" s="384">
        <f t="shared" si="53"/>
        <v>0</v>
      </c>
      <c r="Q79" s="456">
        <f t="shared" si="54"/>
        <v>0</v>
      </c>
      <c r="R79" s="385"/>
      <c r="S79" s="385"/>
      <c r="T79" s="385"/>
      <c r="U79" s="385"/>
      <c r="V79" s="385"/>
      <c r="W79" s="385"/>
      <c r="X79" s="385"/>
      <c r="Y79" s="392">
        <f t="shared" si="57"/>
        <v>0</v>
      </c>
      <c r="Z79" s="387">
        <f t="shared" si="55"/>
        <v>0</v>
      </c>
      <c r="AA79" s="385"/>
      <c r="AB79" s="384"/>
      <c r="AC79" s="383"/>
      <c r="AD79" s="383"/>
      <c r="AE79" s="393"/>
      <c r="AF79" s="383">
        <f t="shared" si="1"/>
        <v>0</v>
      </c>
      <c r="AG79" s="387">
        <f t="shared" si="56"/>
        <v>0</v>
      </c>
      <c r="AH79" s="411" t="str">
        <f t="shared" si="6"/>
        <v/>
      </c>
      <c r="AI79" s="359">
        <f>'Internal Service Template'!$E$2</f>
        <v>0</v>
      </c>
    </row>
    <row r="80" spans="1:35">
      <c r="A80" s="380"/>
      <c r="B80" s="359"/>
      <c r="C80" s="412"/>
      <c r="D80" s="359"/>
      <c r="E80" s="359"/>
      <c r="F80" s="359"/>
      <c r="G80" s="359"/>
      <c r="H80" s="359"/>
      <c r="I80" s="359"/>
      <c r="J80" s="359"/>
      <c r="K80" s="359"/>
      <c r="L80" s="359"/>
      <c r="M80" s="359"/>
      <c r="N80" s="359"/>
      <c r="O80" s="413"/>
      <c r="P80" s="359"/>
      <c r="Q80" s="457"/>
      <c r="R80" s="414"/>
      <c r="S80" s="414"/>
      <c r="T80" s="414"/>
      <c r="U80" s="414"/>
      <c r="V80" s="364"/>
      <c r="W80" s="364"/>
      <c r="X80" s="414"/>
      <c r="Y80" s="415"/>
      <c r="Z80" s="416"/>
      <c r="AA80" s="414"/>
      <c r="AB80" s="418"/>
      <c r="AC80" s="418"/>
      <c r="AD80" s="418"/>
      <c r="AE80" s="420"/>
      <c r="AF80" s="359"/>
      <c r="AG80" s="416"/>
      <c r="AH80" s="411"/>
      <c r="AI80" s="359"/>
    </row>
    <row r="81" spans="1:35">
      <c r="A81" s="380" t="s">
        <v>686</v>
      </c>
      <c r="B81" s="381" t="s">
        <v>125</v>
      </c>
      <c r="C81" s="389"/>
      <c r="D81" s="389"/>
      <c r="E81" s="389"/>
      <c r="F81" s="390"/>
      <c r="G81" s="390"/>
      <c r="H81" s="390"/>
      <c r="I81" s="390"/>
      <c r="J81" s="390"/>
      <c r="K81" s="390"/>
      <c r="L81" s="390"/>
      <c r="M81" s="390"/>
      <c r="N81" s="390"/>
      <c r="O81" s="390"/>
      <c r="P81" s="384">
        <f t="shared" si="53"/>
        <v>0</v>
      </c>
      <c r="Q81" s="456">
        <f t="shared" ref="Q81:Q85" si="58">SUM(F81:O81)-SUM(R81:U81)</f>
        <v>0</v>
      </c>
      <c r="R81" s="385"/>
      <c r="S81" s="385"/>
      <c r="T81" s="385"/>
      <c r="U81" s="385"/>
      <c r="V81" s="384"/>
      <c r="W81" s="394"/>
      <c r="X81" s="385"/>
      <c r="Y81" s="392">
        <f t="shared" si="0"/>
        <v>0</v>
      </c>
      <c r="Z81" s="387">
        <f t="shared" ref="Z81:Z85" si="59">IFERROR((SUM(R81:U81)-SUM(V81:X81)),"Error")</f>
        <v>0</v>
      </c>
      <c r="AA81" s="385"/>
      <c r="AB81" s="385"/>
      <c r="AC81" s="385"/>
      <c r="AD81" s="385"/>
      <c r="AE81" s="388"/>
      <c r="AF81" s="383">
        <f t="shared" si="1"/>
        <v>0</v>
      </c>
      <c r="AG81" s="387">
        <f t="shared" ref="AG81:AG85" si="60">IFERROR((SUM(AA81:AE81)-Y81),"Error")</f>
        <v>0</v>
      </c>
      <c r="AH81" s="411" t="str">
        <f t="shared" si="6"/>
        <v/>
      </c>
      <c r="AI81" s="359">
        <f>'Internal Service Template'!$E$2</f>
        <v>0</v>
      </c>
    </row>
    <row r="82" spans="1:35">
      <c r="A82" s="380" t="s">
        <v>686</v>
      </c>
      <c r="B82" s="381" t="s">
        <v>125</v>
      </c>
      <c r="C82" s="389"/>
      <c r="D82" s="389"/>
      <c r="E82" s="389"/>
      <c r="F82" s="390"/>
      <c r="G82" s="390"/>
      <c r="H82" s="390"/>
      <c r="I82" s="390"/>
      <c r="J82" s="390"/>
      <c r="K82" s="390"/>
      <c r="L82" s="390"/>
      <c r="M82" s="390"/>
      <c r="N82" s="390"/>
      <c r="O82" s="390"/>
      <c r="P82" s="384">
        <f t="shared" si="53"/>
        <v>0</v>
      </c>
      <c r="Q82" s="456">
        <f t="shared" si="58"/>
        <v>0</v>
      </c>
      <c r="R82" s="385"/>
      <c r="S82" s="385"/>
      <c r="T82" s="385"/>
      <c r="U82" s="385"/>
      <c r="V82" s="384"/>
      <c r="W82" s="394"/>
      <c r="X82" s="385"/>
      <c r="Y82" s="392">
        <f t="shared" ref="Y82:Y85" si="61">IF(SUM(R82:U82)=SUM(V82:X82), SUM(V82:X82),"Error")</f>
        <v>0</v>
      </c>
      <c r="Z82" s="387">
        <f t="shared" si="59"/>
        <v>0</v>
      </c>
      <c r="AA82" s="385"/>
      <c r="AB82" s="385"/>
      <c r="AC82" s="385"/>
      <c r="AD82" s="385"/>
      <c r="AE82" s="388"/>
      <c r="AF82" s="383">
        <f t="shared" si="1"/>
        <v>0</v>
      </c>
      <c r="AG82" s="387">
        <f t="shared" si="60"/>
        <v>0</v>
      </c>
      <c r="AH82" s="411" t="str">
        <f t="shared" si="6"/>
        <v/>
      </c>
      <c r="AI82" s="359">
        <f>'Internal Service Template'!$E$2</f>
        <v>0</v>
      </c>
    </row>
    <row r="83" spans="1:35">
      <c r="A83" s="380" t="s">
        <v>686</v>
      </c>
      <c r="B83" s="381" t="s">
        <v>125</v>
      </c>
      <c r="C83" s="389"/>
      <c r="D83" s="389"/>
      <c r="E83" s="389"/>
      <c r="F83" s="390"/>
      <c r="G83" s="390"/>
      <c r="H83" s="390"/>
      <c r="I83" s="390"/>
      <c r="J83" s="390"/>
      <c r="K83" s="390"/>
      <c r="L83" s="390"/>
      <c r="M83" s="390"/>
      <c r="N83" s="390"/>
      <c r="O83" s="390"/>
      <c r="P83" s="384">
        <f t="shared" si="53"/>
        <v>0</v>
      </c>
      <c r="Q83" s="456">
        <f t="shared" si="58"/>
        <v>0</v>
      </c>
      <c r="R83" s="385"/>
      <c r="S83" s="385"/>
      <c r="T83" s="385"/>
      <c r="U83" s="385"/>
      <c r="V83" s="384"/>
      <c r="W83" s="394"/>
      <c r="X83" s="385"/>
      <c r="Y83" s="392">
        <f t="shared" si="61"/>
        <v>0</v>
      </c>
      <c r="Z83" s="387">
        <f t="shared" si="59"/>
        <v>0</v>
      </c>
      <c r="AA83" s="385"/>
      <c r="AB83" s="385"/>
      <c r="AC83" s="385"/>
      <c r="AD83" s="385"/>
      <c r="AE83" s="388"/>
      <c r="AF83" s="383">
        <f t="shared" si="1"/>
        <v>0</v>
      </c>
      <c r="AG83" s="387">
        <f t="shared" si="60"/>
        <v>0</v>
      </c>
      <c r="AH83" s="411" t="str">
        <f t="shared" si="6"/>
        <v/>
      </c>
      <c r="AI83" s="359">
        <f>'Internal Service Template'!$E$2</f>
        <v>0</v>
      </c>
    </row>
    <row r="84" spans="1:35">
      <c r="A84" s="380" t="s">
        <v>686</v>
      </c>
      <c r="B84" s="381" t="s">
        <v>125</v>
      </c>
      <c r="C84" s="389"/>
      <c r="D84" s="389"/>
      <c r="E84" s="389"/>
      <c r="F84" s="390"/>
      <c r="G84" s="390"/>
      <c r="H84" s="390"/>
      <c r="I84" s="390"/>
      <c r="J84" s="390"/>
      <c r="K84" s="390"/>
      <c r="L84" s="390"/>
      <c r="M84" s="390"/>
      <c r="N84" s="390"/>
      <c r="O84" s="390"/>
      <c r="P84" s="384">
        <f t="shared" si="53"/>
        <v>0</v>
      </c>
      <c r="Q84" s="456">
        <f t="shared" si="58"/>
        <v>0</v>
      </c>
      <c r="R84" s="385"/>
      <c r="S84" s="385"/>
      <c r="T84" s="385"/>
      <c r="U84" s="385"/>
      <c r="V84" s="384"/>
      <c r="W84" s="394"/>
      <c r="X84" s="385"/>
      <c r="Y84" s="392">
        <f t="shared" si="61"/>
        <v>0</v>
      </c>
      <c r="Z84" s="387">
        <f t="shared" si="59"/>
        <v>0</v>
      </c>
      <c r="AA84" s="385"/>
      <c r="AB84" s="385"/>
      <c r="AC84" s="385"/>
      <c r="AD84" s="385"/>
      <c r="AE84" s="388"/>
      <c r="AF84" s="383">
        <f t="shared" si="1"/>
        <v>0</v>
      </c>
      <c r="AG84" s="387">
        <f t="shared" si="60"/>
        <v>0</v>
      </c>
      <c r="AH84" s="411" t="str">
        <f t="shared" si="6"/>
        <v/>
      </c>
      <c r="AI84" s="359">
        <f>'Internal Service Template'!$E$2</f>
        <v>0</v>
      </c>
    </row>
    <row r="85" spans="1:35">
      <c r="A85" s="380" t="s">
        <v>686</v>
      </c>
      <c r="B85" s="381" t="s">
        <v>125</v>
      </c>
      <c r="C85" s="389"/>
      <c r="D85" s="389"/>
      <c r="E85" s="389"/>
      <c r="F85" s="390"/>
      <c r="G85" s="390"/>
      <c r="H85" s="390"/>
      <c r="I85" s="390"/>
      <c r="J85" s="390"/>
      <c r="K85" s="390"/>
      <c r="L85" s="390"/>
      <c r="M85" s="390"/>
      <c r="N85" s="390"/>
      <c r="O85" s="390"/>
      <c r="P85" s="384">
        <f t="shared" si="53"/>
        <v>0</v>
      </c>
      <c r="Q85" s="456">
        <f t="shared" si="58"/>
        <v>0</v>
      </c>
      <c r="R85" s="385"/>
      <c r="S85" s="385"/>
      <c r="T85" s="385"/>
      <c r="U85" s="385"/>
      <c r="V85" s="384"/>
      <c r="W85" s="394"/>
      <c r="X85" s="385"/>
      <c r="Y85" s="392">
        <f t="shared" si="61"/>
        <v>0</v>
      </c>
      <c r="Z85" s="387">
        <f t="shared" si="59"/>
        <v>0</v>
      </c>
      <c r="AA85" s="385"/>
      <c r="AB85" s="385"/>
      <c r="AC85" s="385"/>
      <c r="AD85" s="385"/>
      <c r="AE85" s="388"/>
      <c r="AF85" s="383">
        <f t="shared" si="1"/>
        <v>0</v>
      </c>
      <c r="AG85" s="387">
        <f t="shared" si="60"/>
        <v>0</v>
      </c>
      <c r="AH85" s="411" t="str">
        <f t="shared" si="6"/>
        <v/>
      </c>
      <c r="AI85" s="359">
        <f>'Internal Service Template'!$E$2</f>
        <v>0</v>
      </c>
    </row>
    <row r="86" spans="1:35">
      <c r="A86" s="380"/>
      <c r="B86" s="359"/>
      <c r="C86" s="412"/>
      <c r="D86" s="359"/>
      <c r="E86" s="359"/>
      <c r="F86" s="359"/>
      <c r="G86" s="359"/>
      <c r="H86" s="359"/>
      <c r="I86" s="359"/>
      <c r="J86" s="359"/>
      <c r="K86" s="359"/>
      <c r="L86" s="359"/>
      <c r="M86" s="359"/>
      <c r="N86" s="359"/>
      <c r="O86" s="413"/>
      <c r="P86" s="359"/>
      <c r="Q86" s="457"/>
      <c r="R86" s="414"/>
      <c r="S86" s="414"/>
      <c r="T86" s="414"/>
      <c r="U86" s="414"/>
      <c r="V86" s="418"/>
      <c r="W86" s="418"/>
      <c r="X86" s="414"/>
      <c r="Y86" s="415"/>
      <c r="Z86" s="416"/>
      <c r="AA86" s="414"/>
      <c r="AB86" s="414"/>
      <c r="AC86" s="414"/>
      <c r="AD86" s="414"/>
      <c r="AE86" s="417"/>
      <c r="AF86" s="359"/>
      <c r="AG86" s="416"/>
      <c r="AH86" s="411"/>
      <c r="AI86" s="359"/>
    </row>
    <row r="87" spans="1:35">
      <c r="A87" s="380" t="s">
        <v>686</v>
      </c>
      <c r="B87" s="381" t="s">
        <v>126</v>
      </c>
      <c r="C87" s="389"/>
      <c r="D87" s="389"/>
      <c r="E87" s="389"/>
      <c r="F87" s="390"/>
      <c r="G87" s="390"/>
      <c r="H87" s="390"/>
      <c r="I87" s="390"/>
      <c r="J87" s="390"/>
      <c r="K87" s="390"/>
      <c r="L87" s="390"/>
      <c r="M87" s="390"/>
      <c r="N87" s="390"/>
      <c r="O87" s="390"/>
      <c r="P87" s="384">
        <f t="shared" si="53"/>
        <v>0</v>
      </c>
      <c r="Q87" s="456">
        <f t="shared" ref="Q87:Q91" si="62">SUM(F87:O87)-SUM(R87:U87)</f>
        <v>0</v>
      </c>
      <c r="R87" s="385"/>
      <c r="S87" s="385"/>
      <c r="T87" s="385"/>
      <c r="U87" s="385"/>
      <c r="V87" s="385"/>
      <c r="W87" s="385"/>
      <c r="X87" s="385"/>
      <c r="Y87" s="392">
        <f t="shared" si="0"/>
        <v>0</v>
      </c>
      <c r="Z87" s="387">
        <f t="shared" ref="Z87:Z91" si="63">IFERROR((SUM(R87:U87)-SUM(V87:X87)),"Error")</f>
        <v>0</v>
      </c>
      <c r="AA87" s="385"/>
      <c r="AB87" s="385"/>
      <c r="AC87" s="385"/>
      <c r="AD87" s="385"/>
      <c r="AE87" s="388"/>
      <c r="AF87" s="383">
        <f t="shared" si="1"/>
        <v>0</v>
      </c>
      <c r="AG87" s="387">
        <f t="shared" ref="AG87:AG91" si="64">IFERROR((SUM(AA87:AE87)-Y87),"Error")</f>
        <v>0</v>
      </c>
      <c r="AH87" s="411" t="str">
        <f t="shared" si="6"/>
        <v/>
      </c>
      <c r="AI87" s="359">
        <f>'Internal Service Template'!$E$2</f>
        <v>0</v>
      </c>
    </row>
    <row r="88" spans="1:35">
      <c r="A88" s="380" t="s">
        <v>686</v>
      </c>
      <c r="B88" s="381" t="s">
        <v>126</v>
      </c>
      <c r="C88" s="389"/>
      <c r="D88" s="389"/>
      <c r="E88" s="389"/>
      <c r="F88" s="390"/>
      <c r="G88" s="390"/>
      <c r="H88" s="390"/>
      <c r="I88" s="390"/>
      <c r="J88" s="390"/>
      <c r="K88" s="390"/>
      <c r="L88" s="390"/>
      <c r="M88" s="390"/>
      <c r="N88" s="390"/>
      <c r="O88" s="390"/>
      <c r="P88" s="384">
        <f t="shared" si="53"/>
        <v>0</v>
      </c>
      <c r="Q88" s="456">
        <f t="shared" si="62"/>
        <v>0</v>
      </c>
      <c r="R88" s="385"/>
      <c r="S88" s="385"/>
      <c r="T88" s="385"/>
      <c r="U88" s="385"/>
      <c r="V88" s="385"/>
      <c r="W88" s="385"/>
      <c r="X88" s="385"/>
      <c r="Y88" s="392">
        <f t="shared" ref="Y88:Y91" si="65">IF(SUM(R88:U88)=SUM(V88:X88), SUM(V88:X88),"Error")</f>
        <v>0</v>
      </c>
      <c r="Z88" s="387">
        <f t="shared" si="63"/>
        <v>0</v>
      </c>
      <c r="AA88" s="385"/>
      <c r="AB88" s="385"/>
      <c r="AC88" s="385"/>
      <c r="AD88" s="385"/>
      <c r="AE88" s="388"/>
      <c r="AF88" s="383">
        <f t="shared" si="1"/>
        <v>0</v>
      </c>
      <c r="AG88" s="387">
        <f t="shared" si="64"/>
        <v>0</v>
      </c>
      <c r="AH88" s="411" t="str">
        <f t="shared" si="6"/>
        <v/>
      </c>
      <c r="AI88" s="359">
        <f>'Internal Service Template'!$E$2</f>
        <v>0</v>
      </c>
    </row>
    <row r="89" spans="1:35">
      <c r="A89" s="380" t="s">
        <v>686</v>
      </c>
      <c r="B89" s="381" t="s">
        <v>126</v>
      </c>
      <c r="C89" s="389"/>
      <c r="D89" s="389"/>
      <c r="E89" s="389"/>
      <c r="F89" s="390"/>
      <c r="G89" s="390"/>
      <c r="H89" s="390"/>
      <c r="I89" s="390"/>
      <c r="J89" s="390"/>
      <c r="K89" s="390"/>
      <c r="L89" s="390"/>
      <c r="M89" s="390"/>
      <c r="N89" s="390"/>
      <c r="O89" s="390"/>
      <c r="P89" s="384">
        <f t="shared" si="53"/>
        <v>0</v>
      </c>
      <c r="Q89" s="456">
        <f t="shared" si="62"/>
        <v>0</v>
      </c>
      <c r="R89" s="385"/>
      <c r="S89" s="385"/>
      <c r="T89" s="385"/>
      <c r="U89" s="385"/>
      <c r="V89" s="385"/>
      <c r="W89" s="385"/>
      <c r="X89" s="385"/>
      <c r="Y89" s="392">
        <f t="shared" si="65"/>
        <v>0</v>
      </c>
      <c r="Z89" s="387">
        <f t="shared" si="63"/>
        <v>0</v>
      </c>
      <c r="AA89" s="385"/>
      <c r="AB89" s="385"/>
      <c r="AC89" s="385"/>
      <c r="AD89" s="385"/>
      <c r="AE89" s="388"/>
      <c r="AF89" s="383">
        <f t="shared" si="1"/>
        <v>0</v>
      </c>
      <c r="AG89" s="387">
        <f t="shared" si="64"/>
        <v>0</v>
      </c>
      <c r="AH89" s="411" t="str">
        <f t="shared" si="6"/>
        <v/>
      </c>
      <c r="AI89" s="359">
        <f>'Internal Service Template'!$E$2</f>
        <v>0</v>
      </c>
    </row>
    <row r="90" spans="1:35">
      <c r="A90" s="380" t="s">
        <v>686</v>
      </c>
      <c r="B90" s="381" t="s">
        <v>126</v>
      </c>
      <c r="C90" s="389"/>
      <c r="D90" s="389"/>
      <c r="E90" s="389"/>
      <c r="F90" s="390"/>
      <c r="G90" s="390"/>
      <c r="H90" s="390"/>
      <c r="I90" s="390"/>
      <c r="J90" s="390"/>
      <c r="K90" s="390"/>
      <c r="L90" s="390"/>
      <c r="M90" s="390"/>
      <c r="N90" s="390"/>
      <c r="O90" s="390"/>
      <c r="P90" s="384">
        <f t="shared" si="53"/>
        <v>0</v>
      </c>
      <c r="Q90" s="456">
        <f t="shared" si="62"/>
        <v>0</v>
      </c>
      <c r="R90" s="385"/>
      <c r="S90" s="385"/>
      <c r="T90" s="385"/>
      <c r="U90" s="385"/>
      <c r="V90" s="385"/>
      <c r="W90" s="385"/>
      <c r="X90" s="385"/>
      <c r="Y90" s="392">
        <f t="shared" si="65"/>
        <v>0</v>
      </c>
      <c r="Z90" s="387">
        <f t="shared" si="63"/>
        <v>0</v>
      </c>
      <c r="AA90" s="385"/>
      <c r="AB90" s="385"/>
      <c r="AC90" s="385"/>
      <c r="AD90" s="385"/>
      <c r="AE90" s="388"/>
      <c r="AF90" s="383">
        <f t="shared" si="1"/>
        <v>0</v>
      </c>
      <c r="AG90" s="387">
        <f t="shared" si="64"/>
        <v>0</v>
      </c>
      <c r="AH90" s="411" t="str">
        <f t="shared" si="6"/>
        <v/>
      </c>
      <c r="AI90" s="359">
        <f>'Internal Service Template'!$E$2</f>
        <v>0</v>
      </c>
    </row>
    <row r="91" spans="1:35">
      <c r="A91" s="380" t="s">
        <v>686</v>
      </c>
      <c r="B91" s="381" t="s">
        <v>126</v>
      </c>
      <c r="C91" s="389"/>
      <c r="D91" s="389"/>
      <c r="E91" s="389"/>
      <c r="F91" s="390"/>
      <c r="G91" s="390"/>
      <c r="H91" s="390"/>
      <c r="I91" s="390"/>
      <c r="J91" s="390"/>
      <c r="K91" s="390"/>
      <c r="L91" s="390"/>
      <c r="M91" s="390"/>
      <c r="N91" s="390"/>
      <c r="O91" s="390"/>
      <c r="P91" s="384">
        <f t="shared" si="53"/>
        <v>0</v>
      </c>
      <c r="Q91" s="456">
        <f t="shared" si="62"/>
        <v>0</v>
      </c>
      <c r="R91" s="385"/>
      <c r="S91" s="385"/>
      <c r="T91" s="385"/>
      <c r="U91" s="385"/>
      <c r="V91" s="385"/>
      <c r="W91" s="385"/>
      <c r="X91" s="385"/>
      <c r="Y91" s="392">
        <f t="shared" si="65"/>
        <v>0</v>
      </c>
      <c r="Z91" s="387">
        <f t="shared" si="63"/>
        <v>0</v>
      </c>
      <c r="AA91" s="385"/>
      <c r="AB91" s="385"/>
      <c r="AC91" s="385"/>
      <c r="AD91" s="385"/>
      <c r="AE91" s="388"/>
      <c r="AF91" s="383">
        <f t="shared" si="1"/>
        <v>0</v>
      </c>
      <c r="AG91" s="387">
        <f t="shared" si="64"/>
        <v>0</v>
      </c>
      <c r="AH91" s="411" t="str">
        <f t="shared" si="6"/>
        <v/>
      </c>
      <c r="AI91" s="359">
        <f>'Internal Service Template'!$E$2</f>
        <v>0</v>
      </c>
    </row>
    <row r="92" spans="1:35">
      <c r="A92" s="380"/>
      <c r="B92" s="359"/>
      <c r="C92" s="412"/>
      <c r="D92" s="359"/>
      <c r="E92" s="359"/>
      <c r="F92" s="359"/>
      <c r="G92" s="359"/>
      <c r="H92" s="359"/>
      <c r="I92" s="359"/>
      <c r="J92" s="359"/>
      <c r="K92" s="359"/>
      <c r="L92" s="359"/>
      <c r="M92" s="359"/>
      <c r="N92" s="359"/>
      <c r="O92" s="413"/>
      <c r="P92" s="359"/>
      <c r="Q92" s="457"/>
      <c r="R92" s="414"/>
      <c r="S92" s="414"/>
      <c r="T92" s="414"/>
      <c r="U92" s="414"/>
      <c r="V92" s="414"/>
      <c r="W92" s="414"/>
      <c r="X92" s="414"/>
      <c r="Y92" s="415"/>
      <c r="Z92" s="416"/>
      <c r="AA92" s="414"/>
      <c r="AB92" s="414"/>
      <c r="AC92" s="414"/>
      <c r="AD92" s="414"/>
      <c r="AE92" s="417"/>
      <c r="AF92" s="359"/>
      <c r="AG92" s="416"/>
      <c r="AH92" s="411"/>
      <c r="AI92" s="359"/>
    </row>
    <row r="93" spans="1:35">
      <c r="A93" s="380" t="s">
        <v>686</v>
      </c>
      <c r="B93" s="381" t="s">
        <v>127</v>
      </c>
      <c r="C93" s="389"/>
      <c r="D93" s="421"/>
      <c r="E93" s="422"/>
      <c r="F93" s="422"/>
      <c r="G93" s="422"/>
      <c r="H93" s="422"/>
      <c r="I93" s="422"/>
      <c r="J93" s="422"/>
      <c r="K93" s="422"/>
      <c r="L93" s="422"/>
      <c r="M93" s="422"/>
      <c r="N93" s="423"/>
      <c r="O93" s="390"/>
      <c r="P93" s="384">
        <f t="shared" si="53"/>
        <v>0</v>
      </c>
      <c r="Q93" s="456">
        <f>SUM(F93:O93)-SUM(R93:U93)</f>
        <v>0</v>
      </c>
      <c r="R93" s="385"/>
      <c r="S93" s="385"/>
      <c r="T93" s="385"/>
      <c r="U93" s="385"/>
      <c r="V93" s="385"/>
      <c r="W93" s="385"/>
      <c r="X93" s="385"/>
      <c r="Y93" s="392">
        <f t="shared" si="0"/>
        <v>0</v>
      </c>
      <c r="Z93" s="387">
        <f>IFERROR((SUM(R93:U93)-SUM(V93:X93)),"Error")</f>
        <v>0</v>
      </c>
      <c r="AA93" s="385"/>
      <c r="AB93" s="385"/>
      <c r="AC93" s="385"/>
      <c r="AD93" s="385"/>
      <c r="AE93" s="388"/>
      <c r="AF93" s="383">
        <f t="shared" si="1"/>
        <v>0</v>
      </c>
      <c r="AG93" s="387">
        <f>IFERROR((SUM(AA93:AE93)-Y93),"Error")</f>
        <v>0</v>
      </c>
      <c r="AH93" s="411" t="str">
        <f t="shared" si="6"/>
        <v/>
      </c>
      <c r="AI93" s="359">
        <f>'Internal Service Template'!$E$2</f>
        <v>0</v>
      </c>
    </row>
    <row r="94" spans="1:35">
      <c r="A94" s="380"/>
      <c r="B94" s="359"/>
      <c r="C94" s="412"/>
      <c r="D94" s="359"/>
      <c r="E94" s="359"/>
      <c r="F94" s="359"/>
      <c r="G94" s="359"/>
      <c r="H94" s="359"/>
      <c r="I94" s="359"/>
      <c r="J94" s="359"/>
      <c r="K94" s="359"/>
      <c r="L94" s="359"/>
      <c r="M94" s="359"/>
      <c r="N94" s="359"/>
      <c r="O94" s="413"/>
      <c r="P94" s="359"/>
      <c r="Q94" s="457"/>
      <c r="R94" s="414"/>
      <c r="S94" s="414"/>
      <c r="T94" s="414"/>
      <c r="U94" s="414"/>
      <c r="V94" s="414"/>
      <c r="W94" s="414"/>
      <c r="X94" s="414"/>
      <c r="Y94" s="415"/>
      <c r="Z94" s="416"/>
      <c r="AA94" s="414"/>
      <c r="AB94" s="414"/>
      <c r="AC94" s="414"/>
      <c r="AD94" s="414"/>
      <c r="AE94" s="417"/>
      <c r="AF94" s="359"/>
      <c r="AG94" s="416"/>
      <c r="AH94" s="411"/>
      <c r="AI94" s="359"/>
    </row>
    <row r="95" spans="1:35">
      <c r="A95" s="380" t="s">
        <v>686</v>
      </c>
      <c r="B95" s="381" t="s">
        <v>2847</v>
      </c>
      <c r="C95" s="389"/>
      <c r="D95" s="389"/>
      <c r="E95" s="389"/>
      <c r="F95" s="390"/>
      <c r="G95" s="390"/>
      <c r="H95" s="390"/>
      <c r="I95" s="390"/>
      <c r="J95" s="390"/>
      <c r="K95" s="390"/>
      <c r="L95" s="390"/>
      <c r="M95" s="390"/>
      <c r="N95" s="390"/>
      <c r="O95" s="390"/>
      <c r="P95" s="384">
        <f t="shared" si="53"/>
        <v>0</v>
      </c>
      <c r="Q95" s="456">
        <f t="shared" ref="Q95:Q99" si="66">SUM(F95:O95)-SUM(R95:U95)</f>
        <v>0</v>
      </c>
      <c r="R95" s="385"/>
      <c r="S95" s="385"/>
      <c r="T95" s="385"/>
      <c r="U95" s="385"/>
      <c r="V95" s="385"/>
      <c r="W95" s="385"/>
      <c r="X95" s="385"/>
      <c r="Y95" s="392">
        <f t="shared" si="0"/>
        <v>0</v>
      </c>
      <c r="Z95" s="387">
        <f t="shared" ref="Z95:Z99" si="67">IFERROR((SUM(R95:U95)-SUM(V95:X95)),"Error")</f>
        <v>0</v>
      </c>
      <c r="AA95" s="385"/>
      <c r="AB95" s="385"/>
      <c r="AC95" s="385"/>
      <c r="AD95" s="385"/>
      <c r="AE95" s="388"/>
      <c r="AF95" s="383">
        <f t="shared" si="1"/>
        <v>0</v>
      </c>
      <c r="AG95" s="387">
        <f>IFERROR((SUM(AA95:AE95)-Y95),"Error")</f>
        <v>0</v>
      </c>
      <c r="AH95" s="411" t="str">
        <f t="shared" si="6"/>
        <v/>
      </c>
      <c r="AI95" s="359">
        <f>'Internal Service Template'!$E$2</f>
        <v>0</v>
      </c>
    </row>
    <row r="96" spans="1:35">
      <c r="A96" s="380" t="s">
        <v>686</v>
      </c>
      <c r="B96" s="381" t="s">
        <v>2847</v>
      </c>
      <c r="C96" s="389"/>
      <c r="D96" s="389"/>
      <c r="E96" s="389"/>
      <c r="F96" s="390"/>
      <c r="G96" s="390"/>
      <c r="H96" s="390"/>
      <c r="I96" s="390"/>
      <c r="J96" s="390"/>
      <c r="K96" s="390"/>
      <c r="L96" s="390"/>
      <c r="M96" s="390"/>
      <c r="N96" s="390"/>
      <c r="O96" s="390"/>
      <c r="P96" s="384">
        <f t="shared" si="53"/>
        <v>0</v>
      </c>
      <c r="Q96" s="456">
        <f t="shared" si="66"/>
        <v>0</v>
      </c>
      <c r="R96" s="385"/>
      <c r="S96" s="385"/>
      <c r="T96" s="385"/>
      <c r="U96" s="385"/>
      <c r="V96" s="385"/>
      <c r="W96" s="385"/>
      <c r="X96" s="385"/>
      <c r="Y96" s="392">
        <f t="shared" ref="Y96:Y99" si="68">IF(SUM(R96:U96)=SUM(V96:X96), SUM(V96:X96),"Error")</f>
        <v>0</v>
      </c>
      <c r="Z96" s="387">
        <f t="shared" si="67"/>
        <v>0</v>
      </c>
      <c r="AA96" s="385"/>
      <c r="AB96" s="385"/>
      <c r="AC96" s="385"/>
      <c r="AD96" s="385"/>
      <c r="AE96" s="388"/>
      <c r="AF96" s="383">
        <f t="shared" si="1"/>
        <v>0</v>
      </c>
      <c r="AG96" s="387">
        <f t="shared" ref="AG96:AG99" si="69">IFERROR((SUM(AA96:AE96)-Y96),"Error")</f>
        <v>0</v>
      </c>
      <c r="AH96" s="411" t="str">
        <f t="shared" si="6"/>
        <v/>
      </c>
      <c r="AI96" s="359">
        <f>'Internal Service Template'!$E$2</f>
        <v>0</v>
      </c>
    </row>
    <row r="97" spans="1:35">
      <c r="A97" s="380" t="s">
        <v>686</v>
      </c>
      <c r="B97" s="381" t="s">
        <v>2847</v>
      </c>
      <c r="C97" s="389"/>
      <c r="D97" s="389"/>
      <c r="E97" s="389"/>
      <c r="F97" s="390"/>
      <c r="G97" s="390"/>
      <c r="H97" s="390"/>
      <c r="I97" s="390"/>
      <c r="J97" s="390"/>
      <c r="K97" s="390"/>
      <c r="L97" s="390"/>
      <c r="M97" s="390"/>
      <c r="N97" s="390"/>
      <c r="O97" s="390"/>
      <c r="P97" s="384">
        <f t="shared" si="53"/>
        <v>0</v>
      </c>
      <c r="Q97" s="456">
        <f t="shared" si="66"/>
        <v>0</v>
      </c>
      <c r="R97" s="385"/>
      <c r="S97" s="385"/>
      <c r="T97" s="385"/>
      <c r="U97" s="385"/>
      <c r="V97" s="385"/>
      <c r="W97" s="385"/>
      <c r="X97" s="385"/>
      <c r="Y97" s="392">
        <f t="shared" si="68"/>
        <v>0</v>
      </c>
      <c r="Z97" s="387">
        <f t="shared" si="67"/>
        <v>0</v>
      </c>
      <c r="AA97" s="385"/>
      <c r="AB97" s="385"/>
      <c r="AC97" s="385"/>
      <c r="AD97" s="385"/>
      <c r="AE97" s="388"/>
      <c r="AF97" s="383">
        <f t="shared" si="1"/>
        <v>0</v>
      </c>
      <c r="AG97" s="387">
        <f t="shared" si="69"/>
        <v>0</v>
      </c>
      <c r="AH97" s="411" t="str">
        <f t="shared" si="6"/>
        <v/>
      </c>
      <c r="AI97" s="359">
        <f>'Internal Service Template'!$E$2</f>
        <v>0</v>
      </c>
    </row>
    <row r="98" spans="1:35">
      <c r="A98" s="380" t="s">
        <v>686</v>
      </c>
      <c r="B98" s="381" t="s">
        <v>2847</v>
      </c>
      <c r="C98" s="389"/>
      <c r="D98" s="389"/>
      <c r="E98" s="389"/>
      <c r="F98" s="390"/>
      <c r="G98" s="390"/>
      <c r="H98" s="390"/>
      <c r="I98" s="390"/>
      <c r="J98" s="390"/>
      <c r="K98" s="390"/>
      <c r="L98" s="390"/>
      <c r="M98" s="390"/>
      <c r="N98" s="390"/>
      <c r="O98" s="390"/>
      <c r="P98" s="384">
        <f t="shared" si="53"/>
        <v>0</v>
      </c>
      <c r="Q98" s="456">
        <f t="shared" si="66"/>
        <v>0</v>
      </c>
      <c r="R98" s="385"/>
      <c r="S98" s="385"/>
      <c r="T98" s="385"/>
      <c r="U98" s="385"/>
      <c r="V98" s="385"/>
      <c r="W98" s="385"/>
      <c r="X98" s="385"/>
      <c r="Y98" s="392">
        <f t="shared" si="68"/>
        <v>0</v>
      </c>
      <c r="Z98" s="387">
        <f t="shared" si="67"/>
        <v>0</v>
      </c>
      <c r="AA98" s="385"/>
      <c r="AB98" s="385"/>
      <c r="AC98" s="385"/>
      <c r="AD98" s="385"/>
      <c r="AE98" s="388"/>
      <c r="AF98" s="383">
        <f t="shared" si="1"/>
        <v>0</v>
      </c>
      <c r="AG98" s="387">
        <f t="shared" si="69"/>
        <v>0</v>
      </c>
      <c r="AH98" s="411" t="str">
        <f t="shared" si="6"/>
        <v/>
      </c>
      <c r="AI98" s="359">
        <f>'Internal Service Template'!$E$2</f>
        <v>0</v>
      </c>
    </row>
    <row r="99" spans="1:35">
      <c r="A99" s="380" t="s">
        <v>686</v>
      </c>
      <c r="B99" s="381" t="s">
        <v>2847</v>
      </c>
      <c r="C99" s="389"/>
      <c r="D99" s="389"/>
      <c r="E99" s="389"/>
      <c r="F99" s="390"/>
      <c r="G99" s="390"/>
      <c r="H99" s="390"/>
      <c r="I99" s="390"/>
      <c r="J99" s="390"/>
      <c r="K99" s="390"/>
      <c r="L99" s="390"/>
      <c r="M99" s="390"/>
      <c r="N99" s="390"/>
      <c r="O99" s="390"/>
      <c r="P99" s="384">
        <f t="shared" si="53"/>
        <v>0</v>
      </c>
      <c r="Q99" s="456">
        <f t="shared" si="66"/>
        <v>0</v>
      </c>
      <c r="R99" s="385"/>
      <c r="S99" s="385"/>
      <c r="T99" s="385"/>
      <c r="U99" s="385"/>
      <c r="V99" s="385"/>
      <c r="W99" s="385"/>
      <c r="X99" s="385"/>
      <c r="Y99" s="392">
        <f t="shared" si="68"/>
        <v>0</v>
      </c>
      <c r="Z99" s="387">
        <f t="shared" si="67"/>
        <v>0</v>
      </c>
      <c r="AA99" s="385"/>
      <c r="AB99" s="385"/>
      <c r="AC99" s="385"/>
      <c r="AD99" s="385"/>
      <c r="AE99" s="388"/>
      <c r="AF99" s="383">
        <f t="shared" si="1"/>
        <v>0</v>
      </c>
      <c r="AG99" s="387">
        <f t="shared" si="69"/>
        <v>0</v>
      </c>
      <c r="AH99" s="411" t="str">
        <f t="shared" si="6"/>
        <v/>
      </c>
      <c r="AI99" s="359">
        <f>'Internal Service Template'!$E$2</f>
        <v>0</v>
      </c>
    </row>
    <row r="100" spans="1:35">
      <c r="A100" s="380"/>
      <c r="B100" s="359"/>
      <c r="C100" s="412"/>
      <c r="D100" s="359"/>
      <c r="E100" s="359"/>
      <c r="F100" s="359"/>
      <c r="G100" s="359"/>
      <c r="H100" s="359"/>
      <c r="I100" s="359"/>
      <c r="J100" s="359"/>
      <c r="K100" s="359"/>
      <c r="L100" s="359"/>
      <c r="M100" s="359"/>
      <c r="N100" s="359"/>
      <c r="O100" s="413"/>
      <c r="P100" s="359"/>
      <c r="Q100" s="457"/>
      <c r="R100" s="414"/>
      <c r="S100" s="414"/>
      <c r="T100" s="414"/>
      <c r="U100" s="414"/>
      <c r="V100" s="414"/>
      <c r="W100" s="414"/>
      <c r="X100" s="414"/>
      <c r="Y100" s="415"/>
      <c r="Z100" s="416"/>
      <c r="AA100" s="414"/>
      <c r="AB100" s="414"/>
      <c r="AC100" s="414"/>
      <c r="AD100" s="414"/>
      <c r="AE100" s="417"/>
      <c r="AF100" s="359"/>
      <c r="AG100" s="416"/>
      <c r="AH100" s="411"/>
      <c r="AI100" s="359"/>
    </row>
    <row r="101" spans="1:35">
      <c r="A101" s="380" t="s">
        <v>686</v>
      </c>
      <c r="B101" s="381" t="s">
        <v>2895</v>
      </c>
      <c r="C101" s="389"/>
      <c r="D101" s="389"/>
      <c r="E101" s="389"/>
      <c r="F101" s="390"/>
      <c r="G101" s="390"/>
      <c r="H101" s="390"/>
      <c r="I101" s="390"/>
      <c r="J101" s="390"/>
      <c r="K101" s="390"/>
      <c r="L101" s="390"/>
      <c r="M101" s="390"/>
      <c r="N101" s="390"/>
      <c r="O101" s="390"/>
      <c r="P101" s="384">
        <f t="shared" si="53"/>
        <v>0</v>
      </c>
      <c r="Q101" s="456">
        <f t="shared" ref="Q101:Q105" si="70">SUM(F101:O101)-SUM(R101:U101)</f>
        <v>0</v>
      </c>
      <c r="R101" s="385"/>
      <c r="S101" s="385"/>
      <c r="T101" s="385"/>
      <c r="U101" s="385"/>
      <c r="V101" s="385"/>
      <c r="W101" s="385"/>
      <c r="X101" s="385"/>
      <c r="Y101" s="392">
        <f t="shared" ref="Y101" si="71">IF(SUM(R101:U101)=SUM(V101:X101), SUM(V101:X101),"Error")</f>
        <v>0</v>
      </c>
      <c r="Z101" s="387">
        <f t="shared" ref="Z101:Z105" si="72">IFERROR((SUM(R101:U101)-SUM(V101:X101)),"Error")</f>
        <v>0</v>
      </c>
      <c r="AA101" s="385"/>
      <c r="AB101" s="385"/>
      <c r="AC101" s="385"/>
      <c r="AD101" s="385"/>
      <c r="AE101" s="388"/>
      <c r="AF101" s="383">
        <f t="shared" ref="AF101:AF105" si="73">IF(SUM(AA101:AE101)=Y101,SUM(AA101:AE101),"Error")</f>
        <v>0</v>
      </c>
      <c r="AG101" s="387">
        <f>IFERROR((SUM(AA101:AE101)-Y101),"Error")</f>
        <v>0</v>
      </c>
      <c r="AH101" s="411" t="str">
        <f t="shared" ref="AH101:AH105" si="74">IF(AND(P101=Y101,Y101=AF101),"","Error")</f>
        <v/>
      </c>
      <c r="AI101" s="359">
        <f>'Internal Service Template'!$E$2</f>
        <v>0</v>
      </c>
    </row>
    <row r="102" spans="1:35">
      <c r="A102" s="380" t="s">
        <v>686</v>
      </c>
      <c r="B102" s="381" t="s">
        <v>2895</v>
      </c>
      <c r="C102" s="389"/>
      <c r="D102" s="389"/>
      <c r="E102" s="389"/>
      <c r="F102" s="390"/>
      <c r="G102" s="390"/>
      <c r="H102" s="390"/>
      <c r="I102" s="390"/>
      <c r="J102" s="390"/>
      <c r="K102" s="390"/>
      <c r="L102" s="390"/>
      <c r="M102" s="390"/>
      <c r="N102" s="390"/>
      <c r="O102" s="390"/>
      <c r="P102" s="384">
        <f t="shared" si="53"/>
        <v>0</v>
      </c>
      <c r="Q102" s="456">
        <f t="shared" si="70"/>
        <v>0</v>
      </c>
      <c r="R102" s="385"/>
      <c r="S102" s="385"/>
      <c r="T102" s="385"/>
      <c r="U102" s="385"/>
      <c r="V102" s="385"/>
      <c r="W102" s="385"/>
      <c r="X102" s="385"/>
      <c r="Y102" s="392">
        <f t="shared" ref="Y102:Y105" si="75">IF(SUM(R102:U102)=SUM(V102:X102), SUM(V102:X102),"Error")</f>
        <v>0</v>
      </c>
      <c r="Z102" s="387">
        <f t="shared" si="72"/>
        <v>0</v>
      </c>
      <c r="AA102" s="385"/>
      <c r="AB102" s="385"/>
      <c r="AC102" s="385"/>
      <c r="AD102" s="385"/>
      <c r="AE102" s="388"/>
      <c r="AF102" s="383">
        <f t="shared" si="73"/>
        <v>0</v>
      </c>
      <c r="AG102" s="387">
        <f t="shared" ref="AG102:AG105" si="76">IFERROR((SUM(AA102:AE102)-Y102),"Error")</f>
        <v>0</v>
      </c>
      <c r="AH102" s="411" t="str">
        <f t="shared" si="74"/>
        <v/>
      </c>
      <c r="AI102" s="359">
        <f>'Internal Service Template'!$E$2</f>
        <v>0</v>
      </c>
    </row>
    <row r="103" spans="1:35">
      <c r="A103" s="380" t="s">
        <v>686</v>
      </c>
      <c r="B103" s="381" t="s">
        <v>2895</v>
      </c>
      <c r="C103" s="389"/>
      <c r="D103" s="389"/>
      <c r="E103" s="389"/>
      <c r="F103" s="390"/>
      <c r="G103" s="390"/>
      <c r="H103" s="390"/>
      <c r="I103" s="390"/>
      <c r="J103" s="390"/>
      <c r="K103" s="390"/>
      <c r="L103" s="390"/>
      <c r="M103" s="390"/>
      <c r="N103" s="390"/>
      <c r="O103" s="390"/>
      <c r="P103" s="384">
        <f t="shared" si="53"/>
        <v>0</v>
      </c>
      <c r="Q103" s="456">
        <f t="shared" si="70"/>
        <v>0</v>
      </c>
      <c r="R103" s="385"/>
      <c r="S103" s="385"/>
      <c r="T103" s="385"/>
      <c r="U103" s="385"/>
      <c r="V103" s="385"/>
      <c r="W103" s="385"/>
      <c r="X103" s="385"/>
      <c r="Y103" s="392">
        <f t="shared" si="75"/>
        <v>0</v>
      </c>
      <c r="Z103" s="387">
        <f t="shared" si="72"/>
        <v>0</v>
      </c>
      <c r="AA103" s="385"/>
      <c r="AB103" s="385"/>
      <c r="AC103" s="385"/>
      <c r="AD103" s="385"/>
      <c r="AE103" s="388"/>
      <c r="AF103" s="383">
        <f t="shared" si="73"/>
        <v>0</v>
      </c>
      <c r="AG103" s="387">
        <f t="shared" si="76"/>
        <v>0</v>
      </c>
      <c r="AH103" s="411" t="str">
        <f t="shared" si="74"/>
        <v/>
      </c>
      <c r="AI103" s="359">
        <f>'Internal Service Template'!$E$2</f>
        <v>0</v>
      </c>
    </row>
    <row r="104" spans="1:35">
      <c r="A104" s="380" t="s">
        <v>686</v>
      </c>
      <c r="B104" s="381" t="s">
        <v>2895</v>
      </c>
      <c r="C104" s="389"/>
      <c r="D104" s="389"/>
      <c r="E104" s="389"/>
      <c r="F104" s="390"/>
      <c r="G104" s="390"/>
      <c r="H104" s="390"/>
      <c r="I104" s="390"/>
      <c r="J104" s="390"/>
      <c r="K104" s="390"/>
      <c r="L104" s="390"/>
      <c r="M104" s="390"/>
      <c r="N104" s="390"/>
      <c r="O104" s="390"/>
      <c r="P104" s="384">
        <f t="shared" si="53"/>
        <v>0</v>
      </c>
      <c r="Q104" s="456">
        <f t="shared" si="70"/>
        <v>0</v>
      </c>
      <c r="R104" s="385"/>
      <c r="S104" s="385"/>
      <c r="T104" s="385"/>
      <c r="U104" s="385"/>
      <c r="V104" s="385"/>
      <c r="W104" s="385"/>
      <c r="X104" s="385"/>
      <c r="Y104" s="392">
        <f t="shared" si="75"/>
        <v>0</v>
      </c>
      <c r="Z104" s="387">
        <f t="shared" si="72"/>
        <v>0</v>
      </c>
      <c r="AA104" s="385"/>
      <c r="AB104" s="385"/>
      <c r="AC104" s="385"/>
      <c r="AD104" s="385"/>
      <c r="AE104" s="388"/>
      <c r="AF104" s="383">
        <f t="shared" si="73"/>
        <v>0</v>
      </c>
      <c r="AG104" s="387">
        <f t="shared" si="76"/>
        <v>0</v>
      </c>
      <c r="AH104" s="411" t="str">
        <f t="shared" si="74"/>
        <v/>
      </c>
      <c r="AI104" s="359">
        <f>'Internal Service Template'!$E$2</f>
        <v>0</v>
      </c>
    </row>
    <row r="105" spans="1:35">
      <c r="A105" s="380" t="s">
        <v>686</v>
      </c>
      <c r="B105" s="381" t="s">
        <v>2895</v>
      </c>
      <c r="C105" s="389"/>
      <c r="D105" s="389"/>
      <c r="E105" s="389"/>
      <c r="F105" s="390"/>
      <c r="G105" s="390"/>
      <c r="H105" s="390"/>
      <c r="I105" s="390"/>
      <c r="J105" s="390"/>
      <c r="K105" s="390"/>
      <c r="L105" s="390"/>
      <c r="M105" s="390"/>
      <c r="N105" s="390"/>
      <c r="O105" s="390"/>
      <c r="P105" s="384">
        <f t="shared" si="53"/>
        <v>0</v>
      </c>
      <c r="Q105" s="456">
        <f t="shared" si="70"/>
        <v>0</v>
      </c>
      <c r="R105" s="385"/>
      <c r="S105" s="385"/>
      <c r="T105" s="385"/>
      <c r="U105" s="385"/>
      <c r="V105" s="385"/>
      <c r="W105" s="385"/>
      <c r="X105" s="385"/>
      <c r="Y105" s="392">
        <f t="shared" si="75"/>
        <v>0</v>
      </c>
      <c r="Z105" s="387">
        <f t="shared" si="72"/>
        <v>0</v>
      </c>
      <c r="AA105" s="385"/>
      <c r="AB105" s="385"/>
      <c r="AC105" s="385"/>
      <c r="AD105" s="385"/>
      <c r="AE105" s="388"/>
      <c r="AF105" s="383">
        <f t="shared" si="73"/>
        <v>0</v>
      </c>
      <c r="AG105" s="387">
        <f t="shared" si="76"/>
        <v>0</v>
      </c>
      <c r="AH105" s="411" t="str">
        <f t="shared" si="74"/>
        <v/>
      </c>
      <c r="AI105" s="359">
        <f>'Internal Service Template'!$E$2</f>
        <v>0</v>
      </c>
    </row>
    <row r="106" spans="1:35">
      <c r="A106" s="380"/>
      <c r="B106" s="359"/>
      <c r="C106" s="412"/>
      <c r="D106" s="359"/>
      <c r="E106" s="359"/>
      <c r="F106" s="359"/>
      <c r="G106" s="359"/>
      <c r="H106" s="359"/>
      <c r="I106" s="359"/>
      <c r="J106" s="359"/>
      <c r="K106" s="359"/>
      <c r="L106" s="359"/>
      <c r="M106" s="359"/>
      <c r="N106" s="359"/>
      <c r="O106" s="413"/>
      <c r="P106" s="359"/>
      <c r="Q106" s="457"/>
      <c r="R106" s="414"/>
      <c r="S106" s="414"/>
      <c r="T106" s="414"/>
      <c r="U106" s="414"/>
      <c r="V106" s="414"/>
      <c r="W106" s="414"/>
      <c r="X106" s="414"/>
      <c r="Y106" s="415"/>
      <c r="Z106" s="416"/>
      <c r="AA106" s="414"/>
      <c r="AB106" s="414"/>
      <c r="AC106" s="414"/>
      <c r="AD106" s="414"/>
      <c r="AE106" s="417"/>
      <c r="AF106" s="359"/>
      <c r="AG106" s="416"/>
      <c r="AH106" s="411"/>
      <c r="AI106" s="359"/>
    </row>
    <row r="107" spans="1:35">
      <c r="A107" s="380" t="s">
        <v>686</v>
      </c>
      <c r="B107" s="381" t="s">
        <v>511</v>
      </c>
      <c r="C107" s="389"/>
      <c r="D107" s="389"/>
      <c r="E107" s="389"/>
      <c r="F107" s="390"/>
      <c r="G107" s="390"/>
      <c r="H107" s="390"/>
      <c r="I107" s="390"/>
      <c r="J107" s="390"/>
      <c r="K107" s="390"/>
      <c r="L107" s="390"/>
      <c r="M107" s="390"/>
      <c r="N107" s="390"/>
      <c r="O107" s="390"/>
      <c r="P107" s="384">
        <f t="shared" si="53"/>
        <v>0</v>
      </c>
      <c r="Q107" s="456">
        <f t="shared" ref="Q107:Q111" si="77">SUM(F107:O107)-SUM(R107:U107)</f>
        <v>0</v>
      </c>
      <c r="R107" s="385"/>
      <c r="S107" s="385"/>
      <c r="T107" s="385"/>
      <c r="U107" s="385"/>
      <c r="V107" s="385"/>
      <c r="W107" s="385"/>
      <c r="X107" s="385"/>
      <c r="Y107" s="392">
        <f t="shared" si="0"/>
        <v>0</v>
      </c>
      <c r="Z107" s="387">
        <f t="shared" ref="Z107:Z111" si="78">IFERROR((SUM(R107:U107)-SUM(V107:X107)),"Error")</f>
        <v>0</v>
      </c>
      <c r="AA107" s="385"/>
      <c r="AB107" s="385"/>
      <c r="AC107" s="385"/>
      <c r="AD107" s="385"/>
      <c r="AE107" s="388"/>
      <c r="AF107" s="383">
        <f t="shared" si="1"/>
        <v>0</v>
      </c>
      <c r="AG107" s="387">
        <f t="shared" ref="AG107:AG111" si="79">IFERROR((SUM(AA107:AE107)-Y107),"Error")</f>
        <v>0</v>
      </c>
      <c r="AH107" s="411" t="str">
        <f t="shared" si="6"/>
        <v/>
      </c>
      <c r="AI107" s="359">
        <f>'Internal Service Template'!$E$2</f>
        <v>0</v>
      </c>
    </row>
    <row r="108" spans="1:35">
      <c r="A108" s="380" t="s">
        <v>686</v>
      </c>
      <c r="B108" s="381" t="s">
        <v>511</v>
      </c>
      <c r="C108" s="389"/>
      <c r="D108" s="389"/>
      <c r="E108" s="389"/>
      <c r="F108" s="390"/>
      <c r="G108" s="390"/>
      <c r="H108" s="390"/>
      <c r="I108" s="390"/>
      <c r="J108" s="390"/>
      <c r="K108" s="390"/>
      <c r="L108" s="390"/>
      <c r="M108" s="390"/>
      <c r="N108" s="390"/>
      <c r="O108" s="390"/>
      <c r="P108" s="384">
        <f t="shared" si="53"/>
        <v>0</v>
      </c>
      <c r="Q108" s="456">
        <f t="shared" si="77"/>
        <v>0</v>
      </c>
      <c r="R108" s="385"/>
      <c r="S108" s="385"/>
      <c r="T108" s="385"/>
      <c r="U108" s="385"/>
      <c r="V108" s="385"/>
      <c r="W108" s="385"/>
      <c r="X108" s="385"/>
      <c r="Y108" s="392">
        <f t="shared" ref="Y108:Y111" si="80">IF(SUM(R108:U108)=SUM(V108:X108), SUM(V108:X108),"Error")</f>
        <v>0</v>
      </c>
      <c r="Z108" s="387">
        <f t="shared" si="78"/>
        <v>0</v>
      </c>
      <c r="AA108" s="385"/>
      <c r="AB108" s="385"/>
      <c r="AC108" s="385"/>
      <c r="AD108" s="385"/>
      <c r="AE108" s="388"/>
      <c r="AF108" s="383">
        <f t="shared" si="1"/>
        <v>0</v>
      </c>
      <c r="AG108" s="387">
        <f t="shared" si="79"/>
        <v>0</v>
      </c>
      <c r="AH108" s="411" t="str">
        <f t="shared" ref="AH108:AH111" si="81">IF(AND(P108=Y108,Y108=AF108),"","Error")</f>
        <v/>
      </c>
      <c r="AI108" s="359">
        <f>'Internal Service Template'!$E$2</f>
        <v>0</v>
      </c>
    </row>
    <row r="109" spans="1:35">
      <c r="A109" s="380" t="s">
        <v>686</v>
      </c>
      <c r="B109" s="381" t="s">
        <v>511</v>
      </c>
      <c r="C109" s="389"/>
      <c r="D109" s="389"/>
      <c r="E109" s="389"/>
      <c r="F109" s="390"/>
      <c r="G109" s="390"/>
      <c r="H109" s="390"/>
      <c r="I109" s="390"/>
      <c r="J109" s="390"/>
      <c r="K109" s="390"/>
      <c r="L109" s="390"/>
      <c r="M109" s="390"/>
      <c r="N109" s="390"/>
      <c r="O109" s="390"/>
      <c r="P109" s="384">
        <f t="shared" si="53"/>
        <v>0</v>
      </c>
      <c r="Q109" s="456">
        <f t="shared" si="77"/>
        <v>0</v>
      </c>
      <c r="R109" s="385"/>
      <c r="S109" s="385"/>
      <c r="T109" s="385"/>
      <c r="U109" s="385"/>
      <c r="V109" s="385"/>
      <c r="W109" s="385"/>
      <c r="X109" s="385"/>
      <c r="Y109" s="392">
        <f t="shared" si="80"/>
        <v>0</v>
      </c>
      <c r="Z109" s="387">
        <f t="shared" si="78"/>
        <v>0</v>
      </c>
      <c r="AA109" s="385"/>
      <c r="AB109" s="385"/>
      <c r="AC109" s="385"/>
      <c r="AD109" s="385"/>
      <c r="AE109" s="388"/>
      <c r="AF109" s="383">
        <f t="shared" si="1"/>
        <v>0</v>
      </c>
      <c r="AG109" s="387">
        <f t="shared" si="79"/>
        <v>0</v>
      </c>
      <c r="AH109" s="411" t="str">
        <f t="shared" si="81"/>
        <v/>
      </c>
      <c r="AI109" s="359">
        <f>'Internal Service Template'!$E$2</f>
        <v>0</v>
      </c>
    </row>
    <row r="110" spans="1:35">
      <c r="A110" s="380" t="s">
        <v>686</v>
      </c>
      <c r="B110" s="381" t="s">
        <v>511</v>
      </c>
      <c r="C110" s="389"/>
      <c r="D110" s="389"/>
      <c r="E110" s="389"/>
      <c r="F110" s="390"/>
      <c r="G110" s="390"/>
      <c r="H110" s="390"/>
      <c r="I110" s="390"/>
      <c r="J110" s="390"/>
      <c r="K110" s="390"/>
      <c r="L110" s="390"/>
      <c r="M110" s="390"/>
      <c r="N110" s="390"/>
      <c r="O110" s="390"/>
      <c r="P110" s="384">
        <f t="shared" si="53"/>
        <v>0</v>
      </c>
      <c r="Q110" s="456">
        <f t="shared" si="77"/>
        <v>0</v>
      </c>
      <c r="R110" s="385"/>
      <c r="S110" s="385"/>
      <c r="T110" s="385"/>
      <c r="U110" s="385"/>
      <c r="V110" s="385"/>
      <c r="W110" s="385"/>
      <c r="X110" s="385"/>
      <c r="Y110" s="392">
        <f t="shared" si="80"/>
        <v>0</v>
      </c>
      <c r="Z110" s="387">
        <f t="shared" si="78"/>
        <v>0</v>
      </c>
      <c r="AA110" s="385"/>
      <c r="AB110" s="385"/>
      <c r="AC110" s="385"/>
      <c r="AD110" s="385"/>
      <c r="AE110" s="388"/>
      <c r="AF110" s="383">
        <f t="shared" si="1"/>
        <v>0</v>
      </c>
      <c r="AG110" s="387">
        <f t="shared" si="79"/>
        <v>0</v>
      </c>
      <c r="AH110" s="411" t="str">
        <f t="shared" si="81"/>
        <v/>
      </c>
      <c r="AI110" s="359">
        <f>'Internal Service Template'!$E$2</f>
        <v>0</v>
      </c>
    </row>
    <row r="111" spans="1:35">
      <c r="A111" s="380" t="s">
        <v>686</v>
      </c>
      <c r="B111" s="381" t="s">
        <v>511</v>
      </c>
      <c r="C111" s="389"/>
      <c r="D111" s="389"/>
      <c r="E111" s="389"/>
      <c r="F111" s="390"/>
      <c r="G111" s="390"/>
      <c r="H111" s="390"/>
      <c r="I111" s="390"/>
      <c r="J111" s="390"/>
      <c r="K111" s="390"/>
      <c r="L111" s="390"/>
      <c r="M111" s="390"/>
      <c r="N111" s="390"/>
      <c r="O111" s="390"/>
      <c r="P111" s="384">
        <f t="shared" si="53"/>
        <v>0</v>
      </c>
      <c r="Q111" s="456">
        <f t="shared" si="77"/>
        <v>0</v>
      </c>
      <c r="R111" s="385"/>
      <c r="S111" s="385"/>
      <c r="T111" s="385"/>
      <c r="U111" s="385"/>
      <c r="V111" s="385"/>
      <c r="W111" s="385"/>
      <c r="X111" s="385"/>
      <c r="Y111" s="392">
        <f t="shared" si="80"/>
        <v>0</v>
      </c>
      <c r="Z111" s="387">
        <f t="shared" si="78"/>
        <v>0</v>
      </c>
      <c r="AA111" s="385"/>
      <c r="AB111" s="385"/>
      <c r="AC111" s="385"/>
      <c r="AD111" s="385"/>
      <c r="AE111" s="388"/>
      <c r="AF111" s="383">
        <f t="shared" si="1"/>
        <v>0</v>
      </c>
      <c r="AG111" s="387">
        <f t="shared" si="79"/>
        <v>0</v>
      </c>
      <c r="AH111" s="411" t="str">
        <f t="shared" si="81"/>
        <v/>
      </c>
      <c r="AI111" s="359">
        <f>'Internal Service Template'!$E$2</f>
        <v>0</v>
      </c>
    </row>
    <row r="112" spans="1:35">
      <c r="A112" s="380"/>
      <c r="B112" s="359"/>
      <c r="C112" s="412"/>
      <c r="D112" s="359"/>
      <c r="E112" s="359"/>
      <c r="F112" s="359"/>
      <c r="G112" s="359"/>
      <c r="H112" s="359"/>
      <c r="I112" s="359"/>
      <c r="J112" s="359"/>
      <c r="K112" s="359"/>
      <c r="L112" s="359"/>
      <c r="M112" s="359"/>
      <c r="N112" s="359"/>
      <c r="O112" s="424"/>
      <c r="P112" s="359"/>
      <c r="Q112" s="457"/>
      <c r="R112" s="364"/>
      <c r="S112" s="364"/>
      <c r="T112" s="364"/>
      <c r="U112" s="364"/>
      <c r="V112" s="414"/>
      <c r="W112" s="414"/>
      <c r="X112" s="414"/>
      <c r="Y112" s="415"/>
      <c r="Z112" s="416"/>
      <c r="AA112" s="414"/>
      <c r="AB112" s="414"/>
      <c r="AC112" s="414"/>
      <c r="AD112" s="414"/>
      <c r="AE112" s="417"/>
      <c r="AF112" s="359"/>
      <c r="AG112" s="416"/>
      <c r="AH112" s="411"/>
      <c r="AI112" s="359"/>
    </row>
    <row r="113" spans="1:35">
      <c r="A113" s="380" t="s">
        <v>687</v>
      </c>
      <c r="B113" s="381" t="s">
        <v>128</v>
      </c>
      <c r="C113" s="389"/>
      <c r="D113" s="389"/>
      <c r="E113" s="389"/>
      <c r="F113" s="397"/>
      <c r="G113" s="397"/>
      <c r="H113" s="397"/>
      <c r="I113" s="398"/>
      <c r="J113" s="398"/>
      <c r="K113" s="398"/>
      <c r="L113" s="398"/>
      <c r="M113" s="398"/>
      <c r="N113" s="398"/>
      <c r="O113" s="398"/>
      <c r="P113" s="395"/>
      <c r="Q113" s="458"/>
      <c r="R113" s="381"/>
      <c r="S113" s="381"/>
      <c r="T113" s="381"/>
      <c r="U113" s="425"/>
      <c r="V113" s="385"/>
      <c r="W113" s="385"/>
      <c r="X113" s="385"/>
      <c r="Y113" s="392">
        <f t="shared" ref="Y113:Y154" si="82">SUM(V113:X113)</f>
        <v>0</v>
      </c>
      <c r="Z113" s="387"/>
      <c r="AA113" s="385"/>
      <c r="AB113" s="385"/>
      <c r="AC113" s="385"/>
      <c r="AD113" s="385"/>
      <c r="AE113" s="388"/>
      <c r="AF113" s="383">
        <f t="shared" si="1"/>
        <v>0</v>
      </c>
      <c r="AG113" s="387">
        <f t="shared" ref="AG113:AG117" si="83">IFERROR((SUM(AA113:AE113)-Y113),"Error")</f>
        <v>0</v>
      </c>
      <c r="AH113" s="411"/>
      <c r="AI113" s="359">
        <f>'Internal Service Template'!$E$2</f>
        <v>0</v>
      </c>
    </row>
    <row r="114" spans="1:35">
      <c r="A114" s="380" t="s">
        <v>687</v>
      </c>
      <c r="B114" s="381" t="s">
        <v>128</v>
      </c>
      <c r="C114" s="389"/>
      <c r="D114" s="389"/>
      <c r="E114" s="389"/>
      <c r="F114" s="397"/>
      <c r="G114" s="397"/>
      <c r="H114" s="397"/>
      <c r="I114" s="398"/>
      <c r="J114" s="398"/>
      <c r="K114" s="398"/>
      <c r="L114" s="398"/>
      <c r="M114" s="398"/>
      <c r="N114" s="398"/>
      <c r="O114" s="398"/>
      <c r="P114" s="395"/>
      <c r="Q114" s="458"/>
      <c r="R114" s="381"/>
      <c r="S114" s="381"/>
      <c r="T114" s="381"/>
      <c r="U114" s="425"/>
      <c r="V114" s="385"/>
      <c r="W114" s="385"/>
      <c r="X114" s="385"/>
      <c r="Y114" s="392">
        <f t="shared" si="82"/>
        <v>0</v>
      </c>
      <c r="Z114" s="387"/>
      <c r="AA114" s="385"/>
      <c r="AB114" s="385"/>
      <c r="AC114" s="385"/>
      <c r="AD114" s="385"/>
      <c r="AE114" s="388"/>
      <c r="AF114" s="383">
        <f t="shared" ref="AF114:AF117" si="84">IF(SUM(AA114:AE114)=Y114,SUM(AA114:AE114),"Error")</f>
        <v>0</v>
      </c>
      <c r="AG114" s="387">
        <f t="shared" si="83"/>
        <v>0</v>
      </c>
      <c r="AH114" s="411"/>
      <c r="AI114" s="359">
        <f>'Internal Service Template'!$E$2</f>
        <v>0</v>
      </c>
    </row>
    <row r="115" spans="1:35">
      <c r="A115" s="380" t="s">
        <v>687</v>
      </c>
      <c r="B115" s="381" t="s">
        <v>128</v>
      </c>
      <c r="C115" s="389"/>
      <c r="D115" s="389"/>
      <c r="E115" s="389"/>
      <c r="F115" s="397"/>
      <c r="G115" s="397"/>
      <c r="H115" s="397"/>
      <c r="I115" s="398"/>
      <c r="J115" s="398"/>
      <c r="K115" s="398"/>
      <c r="L115" s="398"/>
      <c r="M115" s="398"/>
      <c r="N115" s="398"/>
      <c r="O115" s="398"/>
      <c r="P115" s="395"/>
      <c r="Q115" s="458"/>
      <c r="R115" s="381"/>
      <c r="S115" s="381"/>
      <c r="T115" s="381"/>
      <c r="U115" s="381"/>
      <c r="V115" s="385"/>
      <c r="W115" s="385"/>
      <c r="X115" s="385"/>
      <c r="Y115" s="392">
        <f t="shared" si="82"/>
        <v>0</v>
      </c>
      <c r="Z115" s="387"/>
      <c r="AA115" s="385"/>
      <c r="AB115" s="385"/>
      <c r="AC115" s="385"/>
      <c r="AD115" s="385"/>
      <c r="AE115" s="388"/>
      <c r="AF115" s="383">
        <f t="shared" si="84"/>
        <v>0</v>
      </c>
      <c r="AG115" s="387">
        <f t="shared" si="83"/>
        <v>0</v>
      </c>
      <c r="AH115" s="411"/>
      <c r="AI115" s="359">
        <f>'Internal Service Template'!$E$2</f>
        <v>0</v>
      </c>
    </row>
    <row r="116" spans="1:35">
      <c r="A116" s="380" t="s">
        <v>687</v>
      </c>
      <c r="B116" s="381" t="s">
        <v>128</v>
      </c>
      <c r="C116" s="389"/>
      <c r="D116" s="389"/>
      <c r="E116" s="389"/>
      <c r="F116" s="397"/>
      <c r="G116" s="397"/>
      <c r="H116" s="397"/>
      <c r="I116" s="398"/>
      <c r="J116" s="398"/>
      <c r="K116" s="398"/>
      <c r="L116" s="398"/>
      <c r="M116" s="398"/>
      <c r="N116" s="398"/>
      <c r="O116" s="398"/>
      <c r="P116" s="395"/>
      <c r="Q116" s="458"/>
      <c r="R116" s="381"/>
      <c r="S116" s="381"/>
      <c r="T116" s="381"/>
      <c r="U116" s="381"/>
      <c r="V116" s="385"/>
      <c r="W116" s="385"/>
      <c r="X116" s="385"/>
      <c r="Y116" s="392">
        <f t="shared" si="82"/>
        <v>0</v>
      </c>
      <c r="Z116" s="387"/>
      <c r="AA116" s="385"/>
      <c r="AB116" s="385"/>
      <c r="AC116" s="385"/>
      <c r="AD116" s="385"/>
      <c r="AE116" s="388"/>
      <c r="AF116" s="383">
        <f t="shared" si="84"/>
        <v>0</v>
      </c>
      <c r="AG116" s="387">
        <f t="shared" si="83"/>
        <v>0</v>
      </c>
      <c r="AH116" s="411"/>
      <c r="AI116" s="359">
        <f>'Internal Service Template'!$E$2</f>
        <v>0</v>
      </c>
    </row>
    <row r="117" spans="1:35">
      <c r="A117" s="380" t="s">
        <v>687</v>
      </c>
      <c r="B117" s="381" t="s">
        <v>128</v>
      </c>
      <c r="C117" s="389"/>
      <c r="D117" s="389"/>
      <c r="E117" s="389"/>
      <c r="F117" s="397"/>
      <c r="G117" s="397"/>
      <c r="H117" s="397"/>
      <c r="I117" s="398"/>
      <c r="J117" s="398"/>
      <c r="K117" s="398"/>
      <c r="L117" s="398"/>
      <c r="M117" s="398"/>
      <c r="N117" s="398"/>
      <c r="O117" s="398"/>
      <c r="P117" s="395"/>
      <c r="Q117" s="458"/>
      <c r="R117" s="381"/>
      <c r="S117" s="381"/>
      <c r="T117" s="381"/>
      <c r="U117" s="381"/>
      <c r="V117" s="385"/>
      <c r="W117" s="385"/>
      <c r="X117" s="385"/>
      <c r="Y117" s="392">
        <f t="shared" si="82"/>
        <v>0</v>
      </c>
      <c r="Z117" s="387"/>
      <c r="AA117" s="385"/>
      <c r="AB117" s="385"/>
      <c r="AC117" s="385"/>
      <c r="AD117" s="385"/>
      <c r="AE117" s="388"/>
      <c r="AF117" s="383">
        <f t="shared" si="84"/>
        <v>0</v>
      </c>
      <c r="AG117" s="387">
        <f t="shared" si="83"/>
        <v>0</v>
      </c>
      <c r="AH117" s="411"/>
      <c r="AI117" s="359">
        <f>'Internal Service Template'!$E$2</f>
        <v>0</v>
      </c>
    </row>
    <row r="118" spans="1:35">
      <c r="A118" s="380"/>
      <c r="B118" s="359"/>
      <c r="C118" s="412"/>
      <c r="D118" s="359"/>
      <c r="E118" s="359"/>
      <c r="F118" s="359"/>
      <c r="G118" s="359"/>
      <c r="H118" s="359"/>
      <c r="I118" s="359"/>
      <c r="J118" s="359"/>
      <c r="K118" s="359"/>
      <c r="L118" s="359"/>
      <c r="M118" s="359"/>
      <c r="N118" s="359"/>
      <c r="O118" s="424"/>
      <c r="P118" s="359"/>
      <c r="Q118" s="457"/>
      <c r="R118" s="359"/>
      <c r="S118" s="359"/>
      <c r="T118" s="359"/>
      <c r="U118" s="359"/>
      <c r="V118" s="414"/>
      <c r="W118" s="414"/>
      <c r="X118" s="414"/>
      <c r="Y118" s="415"/>
      <c r="Z118" s="416"/>
      <c r="AA118" s="414"/>
      <c r="AB118" s="414"/>
      <c r="AC118" s="414"/>
      <c r="AD118" s="414"/>
      <c r="AE118" s="417"/>
      <c r="AF118" s="359"/>
      <c r="AG118" s="416"/>
      <c r="AH118" s="411"/>
      <c r="AI118" s="359"/>
    </row>
    <row r="119" spans="1:35">
      <c r="A119" s="380" t="s">
        <v>687</v>
      </c>
      <c r="B119" s="381" t="s">
        <v>129</v>
      </c>
      <c r="C119" s="389"/>
      <c r="D119" s="389"/>
      <c r="E119" s="389"/>
      <c r="F119" s="397"/>
      <c r="G119" s="397"/>
      <c r="H119" s="397"/>
      <c r="I119" s="398"/>
      <c r="J119" s="398"/>
      <c r="K119" s="398"/>
      <c r="L119" s="398"/>
      <c r="M119" s="398"/>
      <c r="N119" s="398"/>
      <c r="O119" s="398"/>
      <c r="P119" s="395"/>
      <c r="Q119" s="458"/>
      <c r="R119" s="381"/>
      <c r="S119" s="381"/>
      <c r="T119" s="381"/>
      <c r="U119" s="381"/>
      <c r="V119" s="385"/>
      <c r="W119" s="385"/>
      <c r="X119" s="385"/>
      <c r="Y119" s="392">
        <f t="shared" si="82"/>
        <v>0</v>
      </c>
      <c r="Z119" s="396"/>
      <c r="AA119" s="385"/>
      <c r="AB119" s="385"/>
      <c r="AC119" s="385"/>
      <c r="AD119" s="385"/>
      <c r="AE119" s="388"/>
      <c r="AF119" s="383">
        <f t="shared" si="1"/>
        <v>0</v>
      </c>
      <c r="AG119" s="387">
        <f t="shared" ref="AG119:AG123" si="85">IFERROR((SUM(AA119:AE119)-Y119),"Error")</f>
        <v>0</v>
      </c>
      <c r="AH119" s="411"/>
      <c r="AI119" s="359">
        <f>'Internal Service Template'!$E$2</f>
        <v>0</v>
      </c>
    </row>
    <row r="120" spans="1:35">
      <c r="A120" s="380" t="s">
        <v>687</v>
      </c>
      <c r="B120" s="381" t="s">
        <v>129</v>
      </c>
      <c r="C120" s="389"/>
      <c r="D120" s="389"/>
      <c r="E120" s="389"/>
      <c r="F120" s="397"/>
      <c r="G120" s="397"/>
      <c r="H120" s="397"/>
      <c r="I120" s="398"/>
      <c r="J120" s="398"/>
      <c r="K120" s="398"/>
      <c r="L120" s="398"/>
      <c r="M120" s="398"/>
      <c r="N120" s="398"/>
      <c r="O120" s="398"/>
      <c r="P120" s="395"/>
      <c r="Q120" s="458"/>
      <c r="R120" s="381"/>
      <c r="S120" s="381"/>
      <c r="T120" s="381"/>
      <c r="U120" s="381"/>
      <c r="V120" s="385"/>
      <c r="W120" s="385"/>
      <c r="X120" s="385"/>
      <c r="Y120" s="392">
        <f t="shared" si="82"/>
        <v>0</v>
      </c>
      <c r="Z120" s="396"/>
      <c r="AA120" s="385"/>
      <c r="AB120" s="385"/>
      <c r="AC120" s="385"/>
      <c r="AD120" s="385"/>
      <c r="AE120" s="388"/>
      <c r="AF120" s="383">
        <f t="shared" ref="AF120:AF123" si="86">IF(SUM(AA120:AE120)=Y120,SUM(AA120:AE120),"Error")</f>
        <v>0</v>
      </c>
      <c r="AG120" s="387">
        <f t="shared" si="85"/>
        <v>0</v>
      </c>
      <c r="AH120" s="411"/>
      <c r="AI120" s="359">
        <f>'Internal Service Template'!$E$2</f>
        <v>0</v>
      </c>
    </row>
    <row r="121" spans="1:35">
      <c r="A121" s="380" t="s">
        <v>687</v>
      </c>
      <c r="B121" s="381" t="s">
        <v>129</v>
      </c>
      <c r="C121" s="389"/>
      <c r="D121" s="389"/>
      <c r="E121" s="389"/>
      <c r="F121" s="397"/>
      <c r="G121" s="397"/>
      <c r="H121" s="397"/>
      <c r="I121" s="398"/>
      <c r="J121" s="398"/>
      <c r="K121" s="398"/>
      <c r="L121" s="398"/>
      <c r="M121" s="398"/>
      <c r="N121" s="398"/>
      <c r="O121" s="398"/>
      <c r="P121" s="395"/>
      <c r="Q121" s="458"/>
      <c r="R121" s="381"/>
      <c r="S121" s="381"/>
      <c r="T121" s="381"/>
      <c r="U121" s="381"/>
      <c r="V121" s="385"/>
      <c r="W121" s="385"/>
      <c r="X121" s="385"/>
      <c r="Y121" s="392">
        <f t="shared" si="82"/>
        <v>0</v>
      </c>
      <c r="Z121" s="396"/>
      <c r="AA121" s="385"/>
      <c r="AB121" s="385"/>
      <c r="AC121" s="385"/>
      <c r="AD121" s="385"/>
      <c r="AE121" s="388"/>
      <c r="AF121" s="383">
        <f t="shared" si="86"/>
        <v>0</v>
      </c>
      <c r="AG121" s="387">
        <f t="shared" si="85"/>
        <v>0</v>
      </c>
      <c r="AH121" s="411"/>
      <c r="AI121" s="359">
        <f>'Internal Service Template'!$E$2</f>
        <v>0</v>
      </c>
    </row>
    <row r="122" spans="1:35">
      <c r="A122" s="380" t="s">
        <v>687</v>
      </c>
      <c r="B122" s="381" t="s">
        <v>129</v>
      </c>
      <c r="C122" s="389"/>
      <c r="D122" s="389"/>
      <c r="E122" s="389"/>
      <c r="F122" s="397"/>
      <c r="G122" s="397"/>
      <c r="H122" s="397"/>
      <c r="I122" s="398"/>
      <c r="J122" s="398"/>
      <c r="K122" s="398"/>
      <c r="L122" s="398"/>
      <c r="M122" s="398"/>
      <c r="N122" s="398"/>
      <c r="O122" s="398"/>
      <c r="P122" s="395"/>
      <c r="Q122" s="458"/>
      <c r="R122" s="381"/>
      <c r="S122" s="381"/>
      <c r="T122" s="381"/>
      <c r="U122" s="381"/>
      <c r="V122" s="385"/>
      <c r="W122" s="385"/>
      <c r="X122" s="385"/>
      <c r="Y122" s="392">
        <f t="shared" si="82"/>
        <v>0</v>
      </c>
      <c r="Z122" s="396"/>
      <c r="AA122" s="385"/>
      <c r="AB122" s="385"/>
      <c r="AC122" s="385"/>
      <c r="AD122" s="385"/>
      <c r="AE122" s="388"/>
      <c r="AF122" s="383">
        <f t="shared" si="86"/>
        <v>0</v>
      </c>
      <c r="AG122" s="387">
        <f t="shared" si="85"/>
        <v>0</v>
      </c>
      <c r="AH122" s="411"/>
      <c r="AI122" s="359">
        <f>'Internal Service Template'!$E$2</f>
        <v>0</v>
      </c>
    </row>
    <row r="123" spans="1:35">
      <c r="A123" s="380" t="s">
        <v>687</v>
      </c>
      <c r="B123" s="381" t="s">
        <v>129</v>
      </c>
      <c r="C123" s="389"/>
      <c r="D123" s="389"/>
      <c r="E123" s="389"/>
      <c r="F123" s="397"/>
      <c r="G123" s="397"/>
      <c r="H123" s="397"/>
      <c r="I123" s="398"/>
      <c r="J123" s="398"/>
      <c r="K123" s="398"/>
      <c r="L123" s="398"/>
      <c r="M123" s="398"/>
      <c r="N123" s="398"/>
      <c r="O123" s="398"/>
      <c r="P123" s="395"/>
      <c r="Q123" s="458"/>
      <c r="R123" s="381"/>
      <c r="S123" s="381"/>
      <c r="T123" s="381"/>
      <c r="U123" s="381"/>
      <c r="V123" s="385"/>
      <c r="W123" s="385"/>
      <c r="X123" s="385"/>
      <c r="Y123" s="392">
        <f t="shared" si="82"/>
        <v>0</v>
      </c>
      <c r="Z123" s="396"/>
      <c r="AA123" s="385"/>
      <c r="AB123" s="385"/>
      <c r="AC123" s="385"/>
      <c r="AD123" s="385"/>
      <c r="AE123" s="388"/>
      <c r="AF123" s="383">
        <f t="shared" si="86"/>
        <v>0</v>
      </c>
      <c r="AG123" s="387">
        <f t="shared" si="85"/>
        <v>0</v>
      </c>
      <c r="AH123" s="411"/>
      <c r="AI123" s="359">
        <f>'Internal Service Template'!$E$2</f>
        <v>0</v>
      </c>
    </row>
    <row r="124" spans="1:35">
      <c r="A124" s="380"/>
      <c r="B124" s="359"/>
      <c r="C124" s="412"/>
      <c r="D124" s="359"/>
      <c r="E124" s="359"/>
      <c r="F124" s="359"/>
      <c r="G124" s="359"/>
      <c r="H124" s="359"/>
      <c r="I124" s="359"/>
      <c r="J124" s="359"/>
      <c r="K124" s="359"/>
      <c r="L124" s="359"/>
      <c r="M124" s="359"/>
      <c r="N124" s="359"/>
      <c r="O124" s="424"/>
      <c r="P124" s="359"/>
      <c r="Q124" s="457"/>
      <c r="R124" s="359"/>
      <c r="S124" s="359"/>
      <c r="T124" s="359"/>
      <c r="U124" s="359"/>
      <c r="V124" s="414"/>
      <c r="W124" s="414"/>
      <c r="X124" s="414"/>
      <c r="Y124" s="415"/>
      <c r="Z124" s="416"/>
      <c r="AA124" s="414"/>
      <c r="AB124" s="414"/>
      <c r="AC124" s="414"/>
      <c r="AD124" s="414"/>
      <c r="AE124" s="417"/>
      <c r="AF124" s="359"/>
      <c r="AG124" s="416"/>
      <c r="AH124" s="411"/>
      <c r="AI124" s="359"/>
    </row>
    <row r="125" spans="1:35">
      <c r="A125" s="380" t="s">
        <v>687</v>
      </c>
      <c r="B125" s="381" t="s">
        <v>130</v>
      </c>
      <c r="C125" s="389"/>
      <c r="D125" s="389"/>
      <c r="E125" s="389"/>
      <c r="F125" s="397"/>
      <c r="G125" s="397"/>
      <c r="H125" s="397"/>
      <c r="I125" s="398"/>
      <c r="J125" s="398"/>
      <c r="K125" s="398"/>
      <c r="L125" s="398"/>
      <c r="M125" s="398"/>
      <c r="N125" s="398"/>
      <c r="O125" s="398"/>
      <c r="P125" s="395"/>
      <c r="Q125" s="458"/>
      <c r="R125" s="381"/>
      <c r="S125" s="381"/>
      <c r="T125" s="381"/>
      <c r="U125" s="381"/>
      <c r="V125" s="385"/>
      <c r="W125" s="385"/>
      <c r="X125" s="385"/>
      <c r="Y125" s="392">
        <f t="shared" si="82"/>
        <v>0</v>
      </c>
      <c r="Z125" s="396"/>
      <c r="AA125" s="385"/>
      <c r="AB125" s="385"/>
      <c r="AC125" s="385"/>
      <c r="AD125" s="385"/>
      <c r="AE125" s="388"/>
      <c r="AF125" s="383">
        <f t="shared" si="1"/>
        <v>0</v>
      </c>
      <c r="AG125" s="387">
        <f t="shared" ref="AG125:AG129" si="87">IFERROR((SUM(AA125:AE125)-Y125),"Error")</f>
        <v>0</v>
      </c>
      <c r="AH125" s="411"/>
      <c r="AI125" s="359">
        <f>'Internal Service Template'!$E$2</f>
        <v>0</v>
      </c>
    </row>
    <row r="126" spans="1:35">
      <c r="A126" s="380" t="s">
        <v>687</v>
      </c>
      <c r="B126" s="381" t="s">
        <v>130</v>
      </c>
      <c r="C126" s="389"/>
      <c r="D126" s="389"/>
      <c r="E126" s="389"/>
      <c r="F126" s="397"/>
      <c r="G126" s="397"/>
      <c r="H126" s="397"/>
      <c r="I126" s="398"/>
      <c r="J126" s="398"/>
      <c r="K126" s="398"/>
      <c r="L126" s="398"/>
      <c r="M126" s="398"/>
      <c r="N126" s="398"/>
      <c r="O126" s="398"/>
      <c r="P126" s="395"/>
      <c r="Q126" s="458"/>
      <c r="R126" s="381"/>
      <c r="S126" s="381"/>
      <c r="T126" s="381"/>
      <c r="U126" s="381"/>
      <c r="V126" s="385"/>
      <c r="W126" s="385"/>
      <c r="X126" s="385"/>
      <c r="Y126" s="392">
        <f t="shared" si="82"/>
        <v>0</v>
      </c>
      <c r="Z126" s="396"/>
      <c r="AA126" s="385"/>
      <c r="AB126" s="385"/>
      <c r="AC126" s="385"/>
      <c r="AD126" s="385"/>
      <c r="AE126" s="388"/>
      <c r="AF126" s="383">
        <f t="shared" ref="AF126:AF129" si="88">IF(SUM(AA126:AE126)=Y126,SUM(AA126:AE126),"Error")</f>
        <v>0</v>
      </c>
      <c r="AG126" s="387">
        <f t="shared" si="87"/>
        <v>0</v>
      </c>
      <c r="AH126" s="411"/>
      <c r="AI126" s="359">
        <f>'Internal Service Template'!$E$2</f>
        <v>0</v>
      </c>
    </row>
    <row r="127" spans="1:35">
      <c r="A127" s="380" t="s">
        <v>687</v>
      </c>
      <c r="B127" s="381" t="s">
        <v>130</v>
      </c>
      <c r="C127" s="389"/>
      <c r="D127" s="389"/>
      <c r="E127" s="389"/>
      <c r="F127" s="397"/>
      <c r="G127" s="397"/>
      <c r="H127" s="397"/>
      <c r="I127" s="398"/>
      <c r="J127" s="398"/>
      <c r="K127" s="398"/>
      <c r="L127" s="398"/>
      <c r="M127" s="398"/>
      <c r="N127" s="398"/>
      <c r="O127" s="398"/>
      <c r="P127" s="395"/>
      <c r="Q127" s="458"/>
      <c r="R127" s="381"/>
      <c r="S127" s="381"/>
      <c r="T127" s="381"/>
      <c r="U127" s="381"/>
      <c r="V127" s="385"/>
      <c r="W127" s="385"/>
      <c r="X127" s="385"/>
      <c r="Y127" s="392">
        <f t="shared" si="82"/>
        <v>0</v>
      </c>
      <c r="Z127" s="396"/>
      <c r="AA127" s="385"/>
      <c r="AB127" s="385"/>
      <c r="AC127" s="385"/>
      <c r="AD127" s="385"/>
      <c r="AE127" s="388"/>
      <c r="AF127" s="383">
        <f t="shared" si="88"/>
        <v>0</v>
      </c>
      <c r="AG127" s="387">
        <f t="shared" si="87"/>
        <v>0</v>
      </c>
      <c r="AH127" s="411"/>
      <c r="AI127" s="359">
        <f>'Internal Service Template'!$E$2</f>
        <v>0</v>
      </c>
    </row>
    <row r="128" spans="1:35">
      <c r="A128" s="380" t="s">
        <v>687</v>
      </c>
      <c r="B128" s="381" t="s">
        <v>130</v>
      </c>
      <c r="C128" s="389"/>
      <c r="D128" s="389"/>
      <c r="E128" s="389"/>
      <c r="F128" s="397"/>
      <c r="G128" s="397"/>
      <c r="H128" s="397"/>
      <c r="I128" s="398"/>
      <c r="J128" s="398"/>
      <c r="K128" s="398"/>
      <c r="L128" s="398"/>
      <c r="M128" s="398"/>
      <c r="N128" s="398"/>
      <c r="O128" s="398"/>
      <c r="P128" s="395"/>
      <c r="Q128" s="458"/>
      <c r="R128" s="381"/>
      <c r="S128" s="381"/>
      <c r="T128" s="381"/>
      <c r="U128" s="381"/>
      <c r="V128" s="385"/>
      <c r="W128" s="385"/>
      <c r="X128" s="385"/>
      <c r="Y128" s="392">
        <f t="shared" si="82"/>
        <v>0</v>
      </c>
      <c r="Z128" s="396"/>
      <c r="AA128" s="385"/>
      <c r="AB128" s="385"/>
      <c r="AC128" s="385"/>
      <c r="AD128" s="385"/>
      <c r="AE128" s="388"/>
      <c r="AF128" s="383">
        <f t="shared" si="88"/>
        <v>0</v>
      </c>
      <c r="AG128" s="387">
        <f t="shared" si="87"/>
        <v>0</v>
      </c>
      <c r="AH128" s="411"/>
      <c r="AI128" s="359">
        <f>'Internal Service Template'!$E$2</f>
        <v>0</v>
      </c>
    </row>
    <row r="129" spans="1:35">
      <c r="A129" s="380" t="s">
        <v>687</v>
      </c>
      <c r="B129" s="381" t="s">
        <v>130</v>
      </c>
      <c r="C129" s="389"/>
      <c r="D129" s="389"/>
      <c r="E129" s="389"/>
      <c r="F129" s="397"/>
      <c r="G129" s="397"/>
      <c r="H129" s="397"/>
      <c r="I129" s="398"/>
      <c r="J129" s="398"/>
      <c r="K129" s="398"/>
      <c r="L129" s="398"/>
      <c r="M129" s="398"/>
      <c r="N129" s="398"/>
      <c r="O129" s="398"/>
      <c r="P129" s="395"/>
      <c r="Q129" s="458"/>
      <c r="R129" s="381"/>
      <c r="S129" s="381"/>
      <c r="T129" s="381"/>
      <c r="U129" s="381"/>
      <c r="V129" s="385"/>
      <c r="W129" s="385"/>
      <c r="X129" s="385"/>
      <c r="Y129" s="392">
        <f t="shared" si="82"/>
        <v>0</v>
      </c>
      <c r="Z129" s="396"/>
      <c r="AA129" s="385"/>
      <c r="AB129" s="385"/>
      <c r="AC129" s="385"/>
      <c r="AD129" s="385"/>
      <c r="AE129" s="388"/>
      <c r="AF129" s="383">
        <f t="shared" si="88"/>
        <v>0</v>
      </c>
      <c r="AG129" s="387">
        <f t="shared" si="87"/>
        <v>0</v>
      </c>
      <c r="AH129" s="411"/>
      <c r="AI129" s="359">
        <f>'Internal Service Template'!$E$2</f>
        <v>0</v>
      </c>
    </row>
    <row r="130" spans="1:35">
      <c r="A130" s="380"/>
      <c r="B130" s="359"/>
      <c r="C130" s="412"/>
      <c r="D130" s="359"/>
      <c r="E130" s="359"/>
      <c r="F130" s="359"/>
      <c r="G130" s="359"/>
      <c r="H130" s="359"/>
      <c r="I130" s="359"/>
      <c r="J130" s="359"/>
      <c r="K130" s="359"/>
      <c r="L130" s="359"/>
      <c r="M130" s="359"/>
      <c r="N130" s="359"/>
      <c r="O130" s="424"/>
      <c r="P130" s="359"/>
      <c r="Q130" s="457"/>
      <c r="R130" s="359"/>
      <c r="S130" s="359"/>
      <c r="T130" s="359"/>
      <c r="U130" s="359"/>
      <c r="V130" s="414"/>
      <c r="W130" s="414"/>
      <c r="X130" s="414"/>
      <c r="Y130" s="415"/>
      <c r="Z130" s="416"/>
      <c r="AA130" s="414"/>
      <c r="AB130" s="414"/>
      <c r="AC130" s="414"/>
      <c r="AD130" s="414"/>
      <c r="AE130" s="417"/>
      <c r="AF130" s="359"/>
      <c r="AG130" s="416"/>
      <c r="AH130" s="411"/>
      <c r="AI130" s="359"/>
    </row>
    <row r="131" spans="1:35">
      <c r="A131" s="380" t="s">
        <v>687</v>
      </c>
      <c r="B131" s="381" t="s">
        <v>3271</v>
      </c>
      <c r="C131" s="389"/>
      <c r="D131" s="389"/>
      <c r="E131" s="389"/>
      <c r="F131" s="397"/>
      <c r="G131" s="397"/>
      <c r="H131" s="397"/>
      <c r="I131" s="398"/>
      <c r="J131" s="398"/>
      <c r="K131" s="398"/>
      <c r="L131" s="398"/>
      <c r="M131" s="398"/>
      <c r="N131" s="398"/>
      <c r="O131" s="398"/>
      <c r="P131" s="395"/>
      <c r="Q131" s="458"/>
      <c r="R131" s="381"/>
      <c r="S131" s="381"/>
      <c r="T131" s="381"/>
      <c r="U131" s="381"/>
      <c r="V131" s="385"/>
      <c r="W131" s="385"/>
      <c r="X131" s="385"/>
      <c r="Y131" s="392">
        <f t="shared" ref="Y131:Y135" si="89">SUM(V131:X131)</f>
        <v>0</v>
      </c>
      <c r="Z131" s="396"/>
      <c r="AA131" s="385"/>
      <c r="AB131" s="385"/>
      <c r="AC131" s="385"/>
      <c r="AD131" s="385"/>
      <c r="AE131" s="388"/>
      <c r="AF131" s="383">
        <f t="shared" ref="AF131" si="90">IF(SUM(AA131:AE131)=Y131,SUM(AA131:AE131),"Error")</f>
        <v>0</v>
      </c>
      <c r="AG131" s="387">
        <f t="shared" ref="AG131:AG135" si="91">IFERROR((SUM(AA131:AE131)-Y131),"Error")</f>
        <v>0</v>
      </c>
      <c r="AH131" s="411"/>
      <c r="AI131" s="359">
        <f>'Internal Service Template'!$E$2</f>
        <v>0</v>
      </c>
    </row>
    <row r="132" spans="1:35">
      <c r="A132" s="380" t="s">
        <v>687</v>
      </c>
      <c r="B132" s="381" t="s">
        <v>3271</v>
      </c>
      <c r="C132" s="389"/>
      <c r="D132" s="389"/>
      <c r="E132" s="389"/>
      <c r="F132" s="397"/>
      <c r="G132" s="397"/>
      <c r="H132" s="397"/>
      <c r="I132" s="398"/>
      <c r="J132" s="398"/>
      <c r="K132" s="398"/>
      <c r="L132" s="398"/>
      <c r="M132" s="398"/>
      <c r="N132" s="398"/>
      <c r="O132" s="398"/>
      <c r="P132" s="395"/>
      <c r="Q132" s="458"/>
      <c r="R132" s="381"/>
      <c r="S132" s="381"/>
      <c r="T132" s="381"/>
      <c r="U132" s="381"/>
      <c r="V132" s="385"/>
      <c r="W132" s="385"/>
      <c r="X132" s="385"/>
      <c r="Y132" s="392">
        <f t="shared" si="89"/>
        <v>0</v>
      </c>
      <c r="Z132" s="396"/>
      <c r="AA132" s="385"/>
      <c r="AB132" s="385"/>
      <c r="AC132" s="385"/>
      <c r="AD132" s="385"/>
      <c r="AE132" s="388"/>
      <c r="AF132" s="383">
        <f t="shared" ref="AF132:AF135" si="92">IF(SUM(AA132:AE132)=Y132,SUM(AA132:AE132),"Error")</f>
        <v>0</v>
      </c>
      <c r="AG132" s="387">
        <f t="shared" si="91"/>
        <v>0</v>
      </c>
      <c r="AH132" s="411"/>
      <c r="AI132" s="359">
        <f>'Internal Service Template'!$E$2</f>
        <v>0</v>
      </c>
    </row>
    <row r="133" spans="1:35">
      <c r="A133" s="380" t="s">
        <v>687</v>
      </c>
      <c r="B133" s="381" t="s">
        <v>3271</v>
      </c>
      <c r="C133" s="389"/>
      <c r="D133" s="389"/>
      <c r="E133" s="389"/>
      <c r="F133" s="397"/>
      <c r="G133" s="397"/>
      <c r="H133" s="397"/>
      <c r="I133" s="398"/>
      <c r="J133" s="398"/>
      <c r="K133" s="398"/>
      <c r="L133" s="398"/>
      <c r="M133" s="398"/>
      <c r="N133" s="398"/>
      <c r="O133" s="398"/>
      <c r="P133" s="395"/>
      <c r="Q133" s="458"/>
      <c r="R133" s="381"/>
      <c r="S133" s="381"/>
      <c r="T133" s="381"/>
      <c r="U133" s="381"/>
      <c r="V133" s="385"/>
      <c r="W133" s="385"/>
      <c r="X133" s="385"/>
      <c r="Y133" s="392">
        <f t="shared" si="89"/>
        <v>0</v>
      </c>
      <c r="Z133" s="396"/>
      <c r="AA133" s="385"/>
      <c r="AB133" s="385"/>
      <c r="AC133" s="385"/>
      <c r="AD133" s="385"/>
      <c r="AE133" s="388"/>
      <c r="AF133" s="383">
        <f t="shared" si="92"/>
        <v>0</v>
      </c>
      <c r="AG133" s="387">
        <f t="shared" si="91"/>
        <v>0</v>
      </c>
      <c r="AH133" s="411"/>
      <c r="AI133" s="359">
        <f>'Internal Service Template'!$E$2</f>
        <v>0</v>
      </c>
    </row>
    <row r="134" spans="1:35">
      <c r="A134" s="380" t="s">
        <v>687</v>
      </c>
      <c r="B134" s="381" t="s">
        <v>3271</v>
      </c>
      <c r="C134" s="389"/>
      <c r="D134" s="389"/>
      <c r="E134" s="389"/>
      <c r="F134" s="397"/>
      <c r="G134" s="397"/>
      <c r="H134" s="397"/>
      <c r="I134" s="398"/>
      <c r="J134" s="398"/>
      <c r="K134" s="398"/>
      <c r="L134" s="398"/>
      <c r="M134" s="398"/>
      <c r="N134" s="398"/>
      <c r="O134" s="398"/>
      <c r="P134" s="395"/>
      <c r="Q134" s="458"/>
      <c r="R134" s="381"/>
      <c r="S134" s="381"/>
      <c r="T134" s="381"/>
      <c r="U134" s="381"/>
      <c r="V134" s="385"/>
      <c r="W134" s="385"/>
      <c r="X134" s="385"/>
      <c r="Y134" s="392">
        <f t="shared" si="89"/>
        <v>0</v>
      </c>
      <c r="Z134" s="396"/>
      <c r="AA134" s="385"/>
      <c r="AB134" s="385"/>
      <c r="AC134" s="385"/>
      <c r="AD134" s="385"/>
      <c r="AE134" s="388"/>
      <c r="AF134" s="383">
        <f t="shared" si="92"/>
        <v>0</v>
      </c>
      <c r="AG134" s="387">
        <f t="shared" si="91"/>
        <v>0</v>
      </c>
      <c r="AH134" s="411"/>
      <c r="AI134" s="359">
        <f>'Internal Service Template'!$E$2</f>
        <v>0</v>
      </c>
    </row>
    <row r="135" spans="1:35">
      <c r="A135" s="380" t="s">
        <v>687</v>
      </c>
      <c r="B135" s="381" t="s">
        <v>3271</v>
      </c>
      <c r="C135" s="389"/>
      <c r="D135" s="389"/>
      <c r="E135" s="389"/>
      <c r="F135" s="397"/>
      <c r="G135" s="397"/>
      <c r="H135" s="397"/>
      <c r="I135" s="398"/>
      <c r="J135" s="398"/>
      <c r="K135" s="398"/>
      <c r="L135" s="398"/>
      <c r="M135" s="398"/>
      <c r="N135" s="398"/>
      <c r="O135" s="398"/>
      <c r="P135" s="395"/>
      <c r="Q135" s="458"/>
      <c r="R135" s="381"/>
      <c r="S135" s="381"/>
      <c r="T135" s="381"/>
      <c r="U135" s="381"/>
      <c r="V135" s="385"/>
      <c r="W135" s="385"/>
      <c r="X135" s="385"/>
      <c r="Y135" s="392">
        <f t="shared" si="89"/>
        <v>0</v>
      </c>
      <c r="Z135" s="396"/>
      <c r="AA135" s="385"/>
      <c r="AB135" s="385"/>
      <c r="AC135" s="385"/>
      <c r="AD135" s="385"/>
      <c r="AE135" s="388"/>
      <c r="AF135" s="383">
        <f t="shared" si="92"/>
        <v>0</v>
      </c>
      <c r="AG135" s="387">
        <f t="shared" si="91"/>
        <v>0</v>
      </c>
      <c r="AH135" s="411"/>
      <c r="AI135" s="359">
        <f>'Internal Service Template'!$E$2</f>
        <v>0</v>
      </c>
    </row>
    <row r="136" spans="1:35">
      <c r="A136" s="380"/>
      <c r="B136" s="359"/>
      <c r="C136" s="412"/>
      <c r="D136" s="359"/>
      <c r="E136" s="359"/>
      <c r="F136" s="359"/>
      <c r="G136" s="359"/>
      <c r="H136" s="359"/>
      <c r="I136" s="359"/>
      <c r="J136" s="359"/>
      <c r="K136" s="359"/>
      <c r="L136" s="359"/>
      <c r="M136" s="359"/>
      <c r="N136" s="359"/>
      <c r="O136" s="424"/>
      <c r="P136" s="359"/>
      <c r="Q136" s="457"/>
      <c r="R136" s="359"/>
      <c r="S136" s="359"/>
      <c r="T136" s="359"/>
      <c r="U136" s="359"/>
      <c r="V136" s="414"/>
      <c r="W136" s="414"/>
      <c r="X136" s="414"/>
      <c r="Y136" s="415"/>
      <c r="Z136" s="416"/>
      <c r="AA136" s="414"/>
      <c r="AB136" s="414"/>
      <c r="AC136" s="414"/>
      <c r="AD136" s="414"/>
      <c r="AE136" s="417"/>
      <c r="AF136" s="359"/>
      <c r="AG136" s="416"/>
      <c r="AH136" s="411"/>
      <c r="AI136" s="359"/>
    </row>
    <row r="137" spans="1:35">
      <c r="A137" s="380" t="s">
        <v>687</v>
      </c>
      <c r="B137" s="381" t="s">
        <v>2847</v>
      </c>
      <c r="C137" s="389"/>
      <c r="D137" s="389"/>
      <c r="E137" s="389"/>
      <c r="F137" s="397"/>
      <c r="G137" s="397"/>
      <c r="H137" s="397"/>
      <c r="I137" s="398"/>
      <c r="J137" s="398"/>
      <c r="K137" s="398"/>
      <c r="L137" s="398"/>
      <c r="M137" s="398"/>
      <c r="N137" s="398"/>
      <c r="O137" s="398"/>
      <c r="P137" s="395"/>
      <c r="Q137" s="458"/>
      <c r="R137" s="381"/>
      <c r="S137" s="381"/>
      <c r="T137" s="381"/>
      <c r="U137" s="381"/>
      <c r="V137" s="385"/>
      <c r="W137" s="385"/>
      <c r="X137" s="385"/>
      <c r="Y137" s="392">
        <f t="shared" si="82"/>
        <v>0</v>
      </c>
      <c r="Z137" s="396"/>
      <c r="AA137" s="385"/>
      <c r="AB137" s="385"/>
      <c r="AC137" s="385"/>
      <c r="AD137" s="385"/>
      <c r="AE137" s="388"/>
      <c r="AF137" s="383">
        <f t="shared" si="1"/>
        <v>0</v>
      </c>
      <c r="AG137" s="387">
        <f t="shared" ref="AG137:AG141" si="93">IFERROR((SUM(AA137:AE137)-Y137),"Error")</f>
        <v>0</v>
      </c>
      <c r="AH137" s="411"/>
      <c r="AI137" s="359">
        <f>'Internal Service Template'!$E$2</f>
        <v>0</v>
      </c>
    </row>
    <row r="138" spans="1:35">
      <c r="A138" s="380" t="s">
        <v>687</v>
      </c>
      <c r="B138" s="381" t="s">
        <v>2847</v>
      </c>
      <c r="C138" s="389"/>
      <c r="D138" s="389"/>
      <c r="E138" s="389"/>
      <c r="F138" s="397"/>
      <c r="G138" s="397"/>
      <c r="H138" s="397"/>
      <c r="I138" s="398"/>
      <c r="J138" s="398"/>
      <c r="K138" s="398"/>
      <c r="L138" s="398"/>
      <c r="M138" s="398"/>
      <c r="N138" s="398"/>
      <c r="O138" s="398"/>
      <c r="P138" s="395"/>
      <c r="Q138" s="458"/>
      <c r="R138" s="381"/>
      <c r="S138" s="381"/>
      <c r="T138" s="381"/>
      <c r="U138" s="381"/>
      <c r="V138" s="385"/>
      <c r="W138" s="385"/>
      <c r="X138" s="385"/>
      <c r="Y138" s="392">
        <f t="shared" si="82"/>
        <v>0</v>
      </c>
      <c r="Z138" s="396"/>
      <c r="AA138" s="385"/>
      <c r="AB138" s="385"/>
      <c r="AC138" s="385"/>
      <c r="AD138" s="385"/>
      <c r="AE138" s="388"/>
      <c r="AF138" s="383">
        <f t="shared" ref="AF138:AF141" si="94">IF(SUM(AA138:AE138)=Y138,SUM(AA138:AE138),"Error")</f>
        <v>0</v>
      </c>
      <c r="AG138" s="387">
        <f t="shared" si="93"/>
        <v>0</v>
      </c>
      <c r="AH138" s="411"/>
      <c r="AI138" s="359">
        <f>'Internal Service Template'!$E$2</f>
        <v>0</v>
      </c>
    </row>
    <row r="139" spans="1:35">
      <c r="A139" s="380" t="s">
        <v>687</v>
      </c>
      <c r="B139" s="381" t="s">
        <v>2847</v>
      </c>
      <c r="C139" s="389"/>
      <c r="D139" s="389"/>
      <c r="E139" s="389"/>
      <c r="F139" s="397"/>
      <c r="G139" s="397"/>
      <c r="H139" s="397"/>
      <c r="I139" s="398"/>
      <c r="J139" s="398"/>
      <c r="K139" s="398"/>
      <c r="L139" s="398"/>
      <c r="M139" s="398"/>
      <c r="N139" s="398"/>
      <c r="O139" s="398"/>
      <c r="P139" s="395"/>
      <c r="Q139" s="458"/>
      <c r="R139" s="381"/>
      <c r="S139" s="381"/>
      <c r="T139" s="381"/>
      <c r="U139" s="381"/>
      <c r="V139" s="385"/>
      <c r="W139" s="385"/>
      <c r="X139" s="385"/>
      <c r="Y139" s="392">
        <f t="shared" si="82"/>
        <v>0</v>
      </c>
      <c r="Z139" s="396"/>
      <c r="AA139" s="385"/>
      <c r="AB139" s="385"/>
      <c r="AC139" s="385"/>
      <c r="AD139" s="385"/>
      <c r="AE139" s="388"/>
      <c r="AF139" s="383">
        <f t="shared" si="94"/>
        <v>0</v>
      </c>
      <c r="AG139" s="387">
        <f t="shared" si="93"/>
        <v>0</v>
      </c>
      <c r="AH139" s="411"/>
      <c r="AI139" s="359">
        <f>'Internal Service Template'!$E$2</f>
        <v>0</v>
      </c>
    </row>
    <row r="140" spans="1:35">
      <c r="A140" s="380" t="s">
        <v>687</v>
      </c>
      <c r="B140" s="381" t="s">
        <v>2847</v>
      </c>
      <c r="C140" s="389"/>
      <c r="D140" s="389"/>
      <c r="E140" s="389"/>
      <c r="F140" s="397"/>
      <c r="G140" s="397"/>
      <c r="H140" s="397"/>
      <c r="I140" s="398"/>
      <c r="J140" s="398"/>
      <c r="K140" s="398"/>
      <c r="L140" s="398"/>
      <c r="M140" s="398"/>
      <c r="N140" s="398"/>
      <c r="O140" s="398"/>
      <c r="P140" s="395"/>
      <c r="Q140" s="458"/>
      <c r="R140" s="381"/>
      <c r="S140" s="381"/>
      <c r="T140" s="381"/>
      <c r="U140" s="381"/>
      <c r="V140" s="385"/>
      <c r="W140" s="385"/>
      <c r="X140" s="385"/>
      <c r="Y140" s="392">
        <f t="shared" si="82"/>
        <v>0</v>
      </c>
      <c r="Z140" s="396"/>
      <c r="AA140" s="385"/>
      <c r="AB140" s="385"/>
      <c r="AC140" s="385"/>
      <c r="AD140" s="385"/>
      <c r="AE140" s="388"/>
      <c r="AF140" s="383">
        <f t="shared" si="94"/>
        <v>0</v>
      </c>
      <c r="AG140" s="387">
        <f t="shared" si="93"/>
        <v>0</v>
      </c>
      <c r="AH140" s="411"/>
      <c r="AI140" s="359">
        <f>'Internal Service Template'!$E$2</f>
        <v>0</v>
      </c>
    </row>
    <row r="141" spans="1:35">
      <c r="A141" s="380" t="s">
        <v>687</v>
      </c>
      <c r="B141" s="381" t="s">
        <v>2847</v>
      </c>
      <c r="C141" s="389"/>
      <c r="D141" s="389"/>
      <c r="E141" s="389"/>
      <c r="F141" s="397"/>
      <c r="G141" s="397"/>
      <c r="H141" s="397"/>
      <c r="I141" s="398"/>
      <c r="J141" s="398"/>
      <c r="K141" s="398"/>
      <c r="L141" s="398"/>
      <c r="M141" s="398"/>
      <c r="N141" s="398"/>
      <c r="O141" s="398"/>
      <c r="P141" s="395"/>
      <c r="Q141" s="458"/>
      <c r="R141" s="381"/>
      <c r="S141" s="381"/>
      <c r="T141" s="381"/>
      <c r="U141" s="381"/>
      <c r="V141" s="385"/>
      <c r="W141" s="385"/>
      <c r="X141" s="385"/>
      <c r="Y141" s="392">
        <f t="shared" si="82"/>
        <v>0</v>
      </c>
      <c r="Z141" s="396"/>
      <c r="AA141" s="385"/>
      <c r="AB141" s="385"/>
      <c r="AC141" s="385"/>
      <c r="AD141" s="385"/>
      <c r="AE141" s="388"/>
      <c r="AF141" s="383">
        <f t="shared" si="94"/>
        <v>0</v>
      </c>
      <c r="AG141" s="387">
        <f t="shared" si="93"/>
        <v>0</v>
      </c>
      <c r="AH141" s="411"/>
      <c r="AI141" s="359">
        <f>'Internal Service Template'!$E$2</f>
        <v>0</v>
      </c>
    </row>
    <row r="142" spans="1:35">
      <c r="A142" s="380"/>
      <c r="B142" s="359"/>
      <c r="C142" s="412"/>
      <c r="D142" s="359"/>
      <c r="E142" s="359"/>
      <c r="F142" s="359"/>
      <c r="G142" s="359"/>
      <c r="H142" s="359"/>
      <c r="I142" s="359"/>
      <c r="J142" s="359"/>
      <c r="K142" s="359"/>
      <c r="L142" s="359"/>
      <c r="M142" s="359"/>
      <c r="N142" s="359"/>
      <c r="O142" s="424"/>
      <c r="P142" s="359"/>
      <c r="Q142" s="458"/>
      <c r="R142" s="359"/>
      <c r="S142" s="359"/>
      <c r="T142" s="359"/>
      <c r="U142" s="359"/>
      <c r="V142" s="414"/>
      <c r="W142" s="414"/>
      <c r="X142" s="414"/>
      <c r="Y142" s="415"/>
      <c r="Z142" s="416"/>
      <c r="AA142" s="414"/>
      <c r="AB142" s="414"/>
      <c r="AC142" s="414"/>
      <c r="AD142" s="414"/>
      <c r="AE142" s="417"/>
      <c r="AF142" s="359"/>
      <c r="AG142" s="416"/>
      <c r="AH142" s="411"/>
      <c r="AI142" s="359"/>
    </row>
    <row r="143" spans="1:35">
      <c r="A143" s="380" t="s">
        <v>687</v>
      </c>
      <c r="B143" s="381" t="s">
        <v>131</v>
      </c>
      <c r="C143" s="389"/>
      <c r="D143" s="389"/>
      <c r="E143" s="389"/>
      <c r="F143" s="397"/>
      <c r="G143" s="397"/>
      <c r="H143" s="397"/>
      <c r="I143" s="398"/>
      <c r="J143" s="398"/>
      <c r="K143" s="398"/>
      <c r="L143" s="398"/>
      <c r="M143" s="398"/>
      <c r="N143" s="398"/>
      <c r="O143" s="398"/>
      <c r="P143" s="395"/>
      <c r="Q143" s="458"/>
      <c r="R143" s="381"/>
      <c r="S143" s="381"/>
      <c r="T143" s="381"/>
      <c r="U143" s="381"/>
      <c r="V143" s="385"/>
      <c r="W143" s="385"/>
      <c r="X143" s="385"/>
      <c r="Y143" s="392">
        <f t="shared" si="82"/>
        <v>0</v>
      </c>
      <c r="Z143" s="396"/>
      <c r="AA143" s="385"/>
      <c r="AB143" s="385"/>
      <c r="AC143" s="385"/>
      <c r="AD143" s="385"/>
      <c r="AE143" s="388"/>
      <c r="AF143" s="383">
        <f t="shared" si="1"/>
        <v>0</v>
      </c>
      <c r="AG143" s="387">
        <f t="shared" ref="AG143:AG148" si="95">IFERROR((SUM(AA143:AE143)-Y143),"Error")</f>
        <v>0</v>
      </c>
      <c r="AH143" s="411"/>
      <c r="AI143" s="359">
        <f>'Internal Service Template'!$E$2</f>
        <v>0</v>
      </c>
    </row>
    <row r="144" spans="1:35" hidden="1">
      <c r="A144" s="380" t="s">
        <v>687</v>
      </c>
      <c r="B144" s="381" t="s">
        <v>131</v>
      </c>
      <c r="C144" s="389"/>
      <c r="D144" s="389"/>
      <c r="E144" s="389"/>
      <c r="F144" s="397"/>
      <c r="G144" s="397"/>
      <c r="H144" s="397"/>
      <c r="I144" s="398"/>
      <c r="J144" s="398"/>
      <c r="K144" s="398"/>
      <c r="L144" s="398"/>
      <c r="M144" s="398"/>
      <c r="N144" s="398"/>
      <c r="O144" s="398"/>
      <c r="P144" s="395"/>
      <c r="Q144" s="458"/>
      <c r="R144" s="381"/>
      <c r="S144" s="381"/>
      <c r="T144" s="381"/>
      <c r="U144" s="381"/>
      <c r="V144" s="385"/>
      <c r="W144" s="385"/>
      <c r="X144" s="385"/>
      <c r="Y144" s="392">
        <f t="shared" si="82"/>
        <v>0</v>
      </c>
      <c r="Z144" s="396"/>
      <c r="AA144" s="385"/>
      <c r="AB144" s="385"/>
      <c r="AC144" s="385"/>
      <c r="AD144" s="385"/>
      <c r="AE144" s="388"/>
      <c r="AF144" s="383">
        <f t="shared" ref="AF144:AF148" si="96">IF(SUM(AA144:AE144)=Y144,SUM(AA144:AE144),"Error")</f>
        <v>0</v>
      </c>
      <c r="AG144" s="387">
        <f t="shared" si="95"/>
        <v>0</v>
      </c>
      <c r="AH144" s="411"/>
      <c r="AI144" s="359">
        <f>'Internal Service Template'!$E$2</f>
        <v>0</v>
      </c>
    </row>
    <row r="145" spans="1:35">
      <c r="A145" s="380" t="s">
        <v>687</v>
      </c>
      <c r="B145" s="381" t="s">
        <v>131</v>
      </c>
      <c r="C145" s="389"/>
      <c r="D145" s="389"/>
      <c r="E145" s="389"/>
      <c r="F145" s="397"/>
      <c r="G145" s="397"/>
      <c r="H145" s="397"/>
      <c r="I145" s="398"/>
      <c r="J145" s="398"/>
      <c r="K145" s="398"/>
      <c r="L145" s="398"/>
      <c r="M145" s="398"/>
      <c r="N145" s="398"/>
      <c r="O145" s="398"/>
      <c r="P145" s="395"/>
      <c r="Q145" s="458"/>
      <c r="R145" s="381"/>
      <c r="S145" s="381"/>
      <c r="T145" s="381"/>
      <c r="U145" s="381"/>
      <c r="V145" s="385"/>
      <c r="W145" s="385"/>
      <c r="X145" s="385"/>
      <c r="Y145" s="392">
        <f t="shared" si="82"/>
        <v>0</v>
      </c>
      <c r="Z145" s="396"/>
      <c r="AA145" s="385"/>
      <c r="AB145" s="385"/>
      <c r="AC145" s="385"/>
      <c r="AD145" s="385"/>
      <c r="AE145" s="388"/>
      <c r="AF145" s="383">
        <f t="shared" si="96"/>
        <v>0</v>
      </c>
      <c r="AG145" s="387">
        <f t="shared" si="95"/>
        <v>0</v>
      </c>
      <c r="AH145" s="411"/>
      <c r="AI145" s="359">
        <f>'Internal Service Template'!$E$2</f>
        <v>0</v>
      </c>
    </row>
    <row r="146" spans="1:35">
      <c r="A146" s="380" t="s">
        <v>687</v>
      </c>
      <c r="B146" s="381" t="s">
        <v>131</v>
      </c>
      <c r="C146" s="389"/>
      <c r="D146" s="389"/>
      <c r="E146" s="389"/>
      <c r="F146" s="397"/>
      <c r="G146" s="397"/>
      <c r="H146" s="397"/>
      <c r="I146" s="398"/>
      <c r="J146" s="398"/>
      <c r="K146" s="398"/>
      <c r="L146" s="398"/>
      <c r="M146" s="398"/>
      <c r="N146" s="398"/>
      <c r="O146" s="398"/>
      <c r="P146" s="395"/>
      <c r="Q146" s="458"/>
      <c r="R146" s="381"/>
      <c r="S146" s="381"/>
      <c r="T146" s="381"/>
      <c r="U146" s="381"/>
      <c r="V146" s="385"/>
      <c r="W146" s="385"/>
      <c r="X146" s="385"/>
      <c r="Y146" s="392">
        <f t="shared" si="82"/>
        <v>0</v>
      </c>
      <c r="Z146" s="396"/>
      <c r="AA146" s="385"/>
      <c r="AB146" s="385"/>
      <c r="AC146" s="385"/>
      <c r="AD146" s="385"/>
      <c r="AE146" s="388"/>
      <c r="AF146" s="383">
        <f t="shared" si="96"/>
        <v>0</v>
      </c>
      <c r="AG146" s="387">
        <f t="shared" si="95"/>
        <v>0</v>
      </c>
      <c r="AH146" s="411"/>
      <c r="AI146" s="359">
        <f>'Internal Service Template'!$E$2</f>
        <v>0</v>
      </c>
    </row>
    <row r="147" spans="1:35">
      <c r="A147" s="380" t="s">
        <v>687</v>
      </c>
      <c r="B147" s="381" t="s">
        <v>131</v>
      </c>
      <c r="C147" s="389"/>
      <c r="D147" s="389"/>
      <c r="E147" s="389"/>
      <c r="F147" s="397"/>
      <c r="G147" s="397"/>
      <c r="H147" s="397"/>
      <c r="I147" s="398"/>
      <c r="J147" s="398"/>
      <c r="K147" s="398"/>
      <c r="L147" s="398"/>
      <c r="M147" s="398"/>
      <c r="N147" s="398"/>
      <c r="O147" s="398"/>
      <c r="P147" s="395"/>
      <c r="Q147" s="458"/>
      <c r="R147" s="381"/>
      <c r="S147" s="381"/>
      <c r="T147" s="381"/>
      <c r="U147" s="381"/>
      <c r="V147" s="385"/>
      <c r="W147" s="385"/>
      <c r="X147" s="385"/>
      <c r="Y147" s="392">
        <f t="shared" si="82"/>
        <v>0</v>
      </c>
      <c r="Z147" s="396"/>
      <c r="AA147" s="385"/>
      <c r="AB147" s="385"/>
      <c r="AC147" s="385"/>
      <c r="AD147" s="385"/>
      <c r="AE147" s="388"/>
      <c r="AF147" s="383">
        <f t="shared" si="96"/>
        <v>0</v>
      </c>
      <c r="AG147" s="387">
        <f t="shared" si="95"/>
        <v>0</v>
      </c>
      <c r="AH147" s="411"/>
      <c r="AI147" s="359">
        <f>'Internal Service Template'!$E$2</f>
        <v>0</v>
      </c>
    </row>
    <row r="148" spans="1:35">
      <c r="A148" s="380" t="s">
        <v>687</v>
      </c>
      <c r="B148" s="381" t="s">
        <v>131</v>
      </c>
      <c r="C148" s="389"/>
      <c r="D148" s="389"/>
      <c r="E148" s="389"/>
      <c r="F148" s="397"/>
      <c r="G148" s="397"/>
      <c r="H148" s="397"/>
      <c r="I148" s="398"/>
      <c r="J148" s="398"/>
      <c r="K148" s="398"/>
      <c r="L148" s="398"/>
      <c r="M148" s="398"/>
      <c r="N148" s="398"/>
      <c r="O148" s="398"/>
      <c r="P148" s="395"/>
      <c r="Q148" s="458"/>
      <c r="R148" s="381"/>
      <c r="S148" s="381"/>
      <c r="T148" s="381"/>
      <c r="U148" s="381"/>
      <c r="V148" s="385"/>
      <c r="W148" s="385"/>
      <c r="X148" s="385"/>
      <c r="Y148" s="392">
        <f t="shared" si="82"/>
        <v>0</v>
      </c>
      <c r="Z148" s="396"/>
      <c r="AA148" s="385"/>
      <c r="AB148" s="385"/>
      <c r="AC148" s="385"/>
      <c r="AD148" s="385"/>
      <c r="AE148" s="388"/>
      <c r="AF148" s="383">
        <f t="shared" si="96"/>
        <v>0</v>
      </c>
      <c r="AG148" s="387">
        <f t="shared" si="95"/>
        <v>0</v>
      </c>
      <c r="AH148" s="411"/>
      <c r="AI148" s="359">
        <f>'Internal Service Template'!$E$2</f>
        <v>0</v>
      </c>
    </row>
    <row r="149" spans="1:35">
      <c r="A149" s="380"/>
      <c r="B149" s="359"/>
      <c r="C149" s="412"/>
      <c r="D149" s="359"/>
      <c r="E149" s="359"/>
      <c r="F149" s="359"/>
      <c r="G149" s="359"/>
      <c r="H149" s="359"/>
      <c r="I149" s="359"/>
      <c r="J149" s="359"/>
      <c r="K149" s="359"/>
      <c r="L149" s="359"/>
      <c r="M149" s="359"/>
      <c r="N149" s="359"/>
      <c r="O149" s="424"/>
      <c r="P149" s="359"/>
      <c r="Q149" s="457"/>
      <c r="R149" s="359"/>
      <c r="S149" s="359"/>
      <c r="T149" s="359"/>
      <c r="U149" s="359"/>
      <c r="V149" s="414"/>
      <c r="W149" s="414"/>
      <c r="X149" s="414"/>
      <c r="Y149" s="415"/>
      <c r="Z149" s="416"/>
      <c r="AA149" s="414"/>
      <c r="AB149" s="414"/>
      <c r="AC149" s="414"/>
      <c r="AD149" s="414"/>
      <c r="AE149" s="417"/>
      <c r="AF149" s="359"/>
      <c r="AG149" s="416"/>
      <c r="AH149" s="411"/>
      <c r="AI149" s="359"/>
    </row>
    <row r="150" spans="1:35">
      <c r="A150" s="380" t="s">
        <v>687</v>
      </c>
      <c r="B150" s="381" t="s">
        <v>681</v>
      </c>
      <c r="C150" s="389"/>
      <c r="D150" s="389"/>
      <c r="E150" s="389"/>
      <c r="F150" s="397"/>
      <c r="G150" s="397"/>
      <c r="H150" s="397"/>
      <c r="I150" s="398"/>
      <c r="J150" s="398"/>
      <c r="K150" s="398"/>
      <c r="L150" s="398"/>
      <c r="M150" s="398"/>
      <c r="N150" s="398"/>
      <c r="O150" s="398"/>
      <c r="P150" s="395"/>
      <c r="Q150" s="458"/>
      <c r="R150" s="381"/>
      <c r="S150" s="381"/>
      <c r="T150" s="381"/>
      <c r="U150" s="381"/>
      <c r="V150" s="385"/>
      <c r="W150" s="385"/>
      <c r="X150" s="385"/>
      <c r="Y150" s="392">
        <f t="shared" si="82"/>
        <v>0</v>
      </c>
      <c r="Z150" s="396"/>
      <c r="AA150" s="385"/>
      <c r="AB150" s="385"/>
      <c r="AC150" s="385"/>
      <c r="AD150" s="385"/>
      <c r="AE150" s="388"/>
      <c r="AF150" s="383">
        <f t="shared" si="1"/>
        <v>0</v>
      </c>
      <c r="AG150" s="387">
        <f t="shared" ref="AG150:AG154" si="97">IFERROR((SUM(AA150:AE150)-Y150),"Error")</f>
        <v>0</v>
      </c>
      <c r="AH150" s="411"/>
      <c r="AI150" s="359">
        <f>'Internal Service Template'!$E$2</f>
        <v>0</v>
      </c>
    </row>
    <row r="151" spans="1:35">
      <c r="A151" s="380" t="s">
        <v>687</v>
      </c>
      <c r="B151" s="381" t="s">
        <v>681</v>
      </c>
      <c r="C151" s="389"/>
      <c r="D151" s="389"/>
      <c r="E151" s="389"/>
      <c r="F151" s="397"/>
      <c r="G151" s="397"/>
      <c r="H151" s="397"/>
      <c r="I151" s="398"/>
      <c r="J151" s="398"/>
      <c r="K151" s="398"/>
      <c r="L151" s="398"/>
      <c r="M151" s="398"/>
      <c r="N151" s="398"/>
      <c r="O151" s="398"/>
      <c r="P151" s="395"/>
      <c r="Q151" s="458"/>
      <c r="R151" s="381"/>
      <c r="S151" s="381"/>
      <c r="T151" s="381"/>
      <c r="U151" s="381"/>
      <c r="V151" s="385"/>
      <c r="W151" s="385"/>
      <c r="X151" s="385"/>
      <c r="Y151" s="392">
        <f t="shared" si="82"/>
        <v>0</v>
      </c>
      <c r="Z151" s="396"/>
      <c r="AA151" s="385"/>
      <c r="AB151" s="385"/>
      <c r="AC151" s="385"/>
      <c r="AD151" s="385"/>
      <c r="AE151" s="388"/>
      <c r="AF151" s="383">
        <f t="shared" ref="AF151:AF154" si="98">IF(SUM(AA151:AE151)=Y151,SUM(AA151:AE151),"Error")</f>
        <v>0</v>
      </c>
      <c r="AG151" s="387">
        <f t="shared" si="97"/>
        <v>0</v>
      </c>
      <c r="AH151" s="411"/>
      <c r="AI151" s="359">
        <f>'Internal Service Template'!$E$2</f>
        <v>0</v>
      </c>
    </row>
    <row r="152" spans="1:35">
      <c r="A152" s="380" t="s">
        <v>687</v>
      </c>
      <c r="B152" s="381" t="s">
        <v>681</v>
      </c>
      <c r="C152" s="389"/>
      <c r="D152" s="389"/>
      <c r="E152" s="389"/>
      <c r="F152" s="397"/>
      <c r="G152" s="397"/>
      <c r="H152" s="397"/>
      <c r="I152" s="398"/>
      <c r="J152" s="398"/>
      <c r="K152" s="398"/>
      <c r="L152" s="398"/>
      <c r="M152" s="398"/>
      <c r="N152" s="398"/>
      <c r="O152" s="398"/>
      <c r="P152" s="395"/>
      <c r="Q152" s="458"/>
      <c r="R152" s="381"/>
      <c r="S152" s="381"/>
      <c r="T152" s="381"/>
      <c r="U152" s="381"/>
      <c r="V152" s="385"/>
      <c r="W152" s="385"/>
      <c r="X152" s="385"/>
      <c r="Y152" s="392">
        <f t="shared" si="82"/>
        <v>0</v>
      </c>
      <c r="Z152" s="396"/>
      <c r="AA152" s="385"/>
      <c r="AB152" s="385"/>
      <c r="AC152" s="385"/>
      <c r="AD152" s="385"/>
      <c r="AE152" s="388"/>
      <c r="AF152" s="383">
        <f t="shared" si="98"/>
        <v>0</v>
      </c>
      <c r="AG152" s="387">
        <f t="shared" si="97"/>
        <v>0</v>
      </c>
      <c r="AH152" s="411"/>
      <c r="AI152" s="359">
        <f>'Internal Service Template'!$E$2</f>
        <v>0</v>
      </c>
    </row>
    <row r="153" spans="1:35">
      <c r="A153" s="380" t="s">
        <v>687</v>
      </c>
      <c r="B153" s="381" t="s">
        <v>681</v>
      </c>
      <c r="C153" s="389"/>
      <c r="D153" s="389"/>
      <c r="E153" s="389"/>
      <c r="F153" s="397"/>
      <c r="G153" s="397"/>
      <c r="H153" s="397"/>
      <c r="I153" s="398"/>
      <c r="J153" s="398"/>
      <c r="K153" s="398"/>
      <c r="L153" s="398"/>
      <c r="M153" s="398"/>
      <c r="N153" s="398"/>
      <c r="O153" s="398"/>
      <c r="P153" s="395"/>
      <c r="Q153" s="458"/>
      <c r="R153" s="381"/>
      <c r="S153" s="381"/>
      <c r="T153" s="381"/>
      <c r="U153" s="381"/>
      <c r="V153" s="385"/>
      <c r="W153" s="385"/>
      <c r="X153" s="385"/>
      <c r="Y153" s="392">
        <f t="shared" si="82"/>
        <v>0</v>
      </c>
      <c r="Z153" s="396"/>
      <c r="AA153" s="385"/>
      <c r="AB153" s="385"/>
      <c r="AC153" s="385"/>
      <c r="AD153" s="385"/>
      <c r="AE153" s="388"/>
      <c r="AF153" s="383">
        <f t="shared" si="98"/>
        <v>0</v>
      </c>
      <c r="AG153" s="387">
        <f t="shared" si="97"/>
        <v>0</v>
      </c>
      <c r="AH153" s="411"/>
      <c r="AI153" s="359">
        <f>'Internal Service Template'!$E$2</f>
        <v>0</v>
      </c>
    </row>
    <row r="154" spans="1:35">
      <c r="A154" s="380" t="s">
        <v>687</v>
      </c>
      <c r="B154" s="381" t="s">
        <v>681</v>
      </c>
      <c r="C154" s="389"/>
      <c r="D154" s="389"/>
      <c r="E154" s="389"/>
      <c r="F154" s="397"/>
      <c r="G154" s="397"/>
      <c r="H154" s="397"/>
      <c r="I154" s="398"/>
      <c r="J154" s="398"/>
      <c r="K154" s="398"/>
      <c r="L154" s="398"/>
      <c r="M154" s="398"/>
      <c r="N154" s="398"/>
      <c r="O154" s="398"/>
      <c r="P154" s="395"/>
      <c r="Q154" s="458"/>
      <c r="R154" s="381"/>
      <c r="S154" s="381"/>
      <c r="T154" s="381"/>
      <c r="U154" s="381"/>
      <c r="V154" s="385"/>
      <c r="W154" s="385"/>
      <c r="X154" s="385"/>
      <c r="Y154" s="392">
        <f t="shared" si="82"/>
        <v>0</v>
      </c>
      <c r="Z154" s="396"/>
      <c r="AA154" s="385"/>
      <c r="AB154" s="385"/>
      <c r="AC154" s="385"/>
      <c r="AD154" s="385"/>
      <c r="AE154" s="388"/>
      <c r="AF154" s="383">
        <f t="shared" si="98"/>
        <v>0</v>
      </c>
      <c r="AG154" s="387">
        <f t="shared" si="97"/>
        <v>0</v>
      </c>
      <c r="AH154" s="411"/>
      <c r="AI154" s="359">
        <f>'Internal Service Template'!$E$2</f>
        <v>0</v>
      </c>
    </row>
    <row r="155" spans="1:35">
      <c r="B155" s="399"/>
      <c r="C155" s="399"/>
      <c r="D155" s="399"/>
      <c r="E155" s="399"/>
      <c r="F155" s="359"/>
      <c r="G155" s="359"/>
      <c r="H155" s="359"/>
      <c r="I155" s="359"/>
      <c r="J155" s="359"/>
      <c r="K155" s="359"/>
      <c r="L155" s="359"/>
      <c r="M155" s="359"/>
      <c r="N155" s="359"/>
      <c r="O155" s="359"/>
      <c r="P155" s="359"/>
      <c r="R155" s="359"/>
      <c r="S155" s="359"/>
      <c r="T155" s="359"/>
      <c r="U155" s="359"/>
      <c r="V155" s="359"/>
      <c r="W155" s="359"/>
      <c r="X155" s="359"/>
      <c r="Y155" s="359"/>
      <c r="Z155" s="396"/>
      <c r="AA155" s="359"/>
      <c r="AB155" s="359"/>
      <c r="AC155" s="359"/>
      <c r="AD155" s="359"/>
      <c r="AE155" s="359"/>
    </row>
    <row r="156" spans="1:35" s="426" customFormat="1">
      <c r="B156" s="399"/>
      <c r="G156" s="400"/>
      <c r="H156" s="400"/>
      <c r="I156" s="400"/>
      <c r="J156" s="400"/>
      <c r="K156" s="400"/>
      <c r="L156" s="400"/>
      <c r="M156" s="400"/>
      <c r="N156" s="400"/>
      <c r="O156" s="400"/>
      <c r="P156" s="400"/>
      <c r="Q156" s="453"/>
      <c r="R156" s="400"/>
      <c r="S156" s="400"/>
      <c r="T156" s="400"/>
      <c r="U156" s="400"/>
      <c r="V156" s="400"/>
      <c r="W156" s="400"/>
      <c r="X156" s="400"/>
      <c r="Y156" s="400"/>
      <c r="Z156" s="400"/>
      <c r="AA156" s="400"/>
      <c r="AB156" s="400"/>
      <c r="AC156" s="400"/>
      <c r="AD156" s="400"/>
      <c r="AE156" s="400"/>
    </row>
    <row r="157" spans="1:35" s="426" customFormat="1">
      <c r="B157" s="399"/>
      <c r="C157" s="399"/>
      <c r="D157" s="399"/>
      <c r="E157" s="399"/>
      <c r="F157" s="400"/>
      <c r="G157" s="400"/>
      <c r="H157" s="400"/>
      <c r="I157" s="400"/>
      <c r="J157" s="400"/>
      <c r="K157" s="400"/>
      <c r="L157" s="400"/>
      <c r="M157" s="400"/>
      <c r="N157" s="400"/>
      <c r="O157" s="400"/>
      <c r="P157" s="400"/>
      <c r="Q157" s="453"/>
      <c r="R157" s="400"/>
      <c r="S157" s="400"/>
      <c r="T157" s="400"/>
      <c r="U157" s="400"/>
      <c r="V157" s="400"/>
      <c r="W157" s="400"/>
      <c r="X157" s="400"/>
      <c r="Y157" s="400"/>
      <c r="Z157" s="400"/>
      <c r="AA157" s="400"/>
      <c r="AB157" s="400"/>
      <c r="AC157" s="400"/>
      <c r="AD157" s="400"/>
      <c r="AE157" s="400"/>
    </row>
    <row r="158" spans="1:35" s="426" customFormat="1">
      <c r="B158" s="399"/>
      <c r="C158" s="399"/>
      <c r="D158" s="399"/>
      <c r="E158" s="399"/>
      <c r="F158" s="400"/>
      <c r="G158" s="400"/>
      <c r="H158" s="400"/>
      <c r="I158" s="400"/>
      <c r="J158" s="400"/>
      <c r="K158" s="400"/>
      <c r="L158" s="400"/>
      <c r="M158" s="400"/>
      <c r="N158" s="400"/>
      <c r="O158" s="400"/>
      <c r="P158" s="400"/>
      <c r="Q158" s="453"/>
      <c r="R158" s="400"/>
      <c r="S158" s="400"/>
      <c r="T158" s="400"/>
      <c r="U158" s="400"/>
      <c r="V158" s="400"/>
      <c r="W158" s="400"/>
      <c r="X158" s="400"/>
      <c r="Y158" s="400"/>
      <c r="Z158" s="400"/>
      <c r="AA158" s="400"/>
      <c r="AB158" s="400"/>
      <c r="AC158" s="400"/>
      <c r="AD158" s="400"/>
      <c r="AE158" s="400"/>
    </row>
    <row r="159" spans="1:35" s="426" customFormat="1">
      <c r="B159" s="399"/>
      <c r="G159" s="400"/>
      <c r="H159" s="400"/>
      <c r="I159" s="400"/>
      <c r="J159" s="400"/>
      <c r="K159" s="400"/>
      <c r="L159" s="400"/>
      <c r="M159" s="400"/>
      <c r="N159" s="400"/>
      <c r="O159" s="400"/>
      <c r="P159" s="400"/>
      <c r="Q159" s="453"/>
      <c r="R159" s="400"/>
      <c r="S159" s="400"/>
      <c r="T159" s="400"/>
      <c r="U159" s="400"/>
      <c r="V159" s="400"/>
      <c r="W159" s="400"/>
      <c r="X159" s="400"/>
      <c r="Y159" s="400"/>
      <c r="Z159" s="400"/>
      <c r="AA159" s="400"/>
      <c r="AB159" s="400"/>
      <c r="AC159" s="400"/>
      <c r="AD159" s="400"/>
      <c r="AE159" s="400"/>
    </row>
    <row r="160" spans="1:35" s="426" customFormat="1">
      <c r="B160" s="399"/>
      <c r="C160" s="399"/>
      <c r="D160" s="399"/>
      <c r="E160" s="399"/>
      <c r="F160" s="400"/>
      <c r="G160" s="400"/>
      <c r="H160" s="400"/>
      <c r="I160" s="400"/>
      <c r="J160" s="400"/>
      <c r="K160" s="400"/>
      <c r="L160" s="400"/>
      <c r="M160" s="400"/>
      <c r="N160" s="400"/>
      <c r="O160" s="400"/>
      <c r="P160" s="400"/>
      <c r="Q160" s="453"/>
      <c r="R160" s="400"/>
      <c r="S160" s="400"/>
      <c r="T160" s="400"/>
      <c r="U160" s="400"/>
      <c r="V160" s="400"/>
      <c r="W160" s="400"/>
      <c r="X160" s="400"/>
      <c r="Y160" s="400"/>
      <c r="Z160" s="400"/>
      <c r="AA160" s="400"/>
      <c r="AB160" s="400"/>
      <c r="AC160" s="400"/>
      <c r="AD160" s="400"/>
      <c r="AE160" s="400"/>
    </row>
    <row r="161" spans="2:31">
      <c r="B161" s="381"/>
      <c r="C161" s="381"/>
      <c r="D161" s="381"/>
      <c r="E161" s="381"/>
      <c r="F161" s="359"/>
      <c r="G161" s="359"/>
      <c r="H161" s="359"/>
      <c r="I161" s="359"/>
      <c r="J161" s="359"/>
      <c r="K161" s="359"/>
      <c r="L161" s="359"/>
      <c r="M161" s="359"/>
      <c r="N161" s="359"/>
      <c r="O161" s="359"/>
      <c r="P161" s="359"/>
      <c r="Q161" s="454"/>
      <c r="R161" s="359"/>
      <c r="S161" s="359"/>
      <c r="T161" s="359"/>
      <c r="U161" s="359"/>
      <c r="V161" s="359"/>
      <c r="W161" s="359"/>
      <c r="X161" s="359"/>
      <c r="Y161" s="359"/>
      <c r="Z161" s="359"/>
      <c r="AA161" s="359"/>
      <c r="AB161" s="359"/>
      <c r="AC161" s="359"/>
      <c r="AD161" s="359"/>
      <c r="AE161" s="359"/>
    </row>
    <row r="162" spans="2:31">
      <c r="B162" s="381"/>
      <c r="C162" s="381"/>
      <c r="D162" s="381"/>
      <c r="E162" s="381"/>
      <c r="F162" s="359"/>
      <c r="G162" s="359"/>
      <c r="H162" s="359"/>
      <c r="I162" s="359"/>
      <c r="J162" s="359"/>
      <c r="K162" s="359"/>
      <c r="L162" s="359"/>
      <c r="M162" s="359"/>
      <c r="N162" s="359"/>
      <c r="O162" s="359"/>
      <c r="P162" s="359"/>
      <c r="Q162" s="454"/>
      <c r="R162" s="359"/>
      <c r="S162" s="359"/>
      <c r="T162" s="359"/>
      <c r="U162" s="359"/>
      <c r="V162" s="359"/>
      <c r="W162" s="359"/>
      <c r="X162" s="359"/>
      <c r="Y162" s="359"/>
      <c r="Z162" s="359"/>
      <c r="AA162" s="359"/>
      <c r="AB162" s="359"/>
      <c r="AC162" s="359"/>
      <c r="AD162" s="359"/>
      <c r="AE162" s="359"/>
    </row>
    <row r="163" spans="2:31" s="426" customFormat="1">
      <c r="Q163" s="459"/>
    </row>
    <row r="164" spans="2:31" s="426" customFormat="1">
      <c r="Q164" s="459"/>
    </row>
    <row r="165" spans="2:31" s="426" customFormat="1">
      <c r="Q165" s="459"/>
    </row>
    <row r="166" spans="2:31" s="426" customFormat="1">
      <c r="Q166" s="459"/>
    </row>
    <row r="167" spans="2:31" s="426" customFormat="1">
      <c r="Q167" s="459"/>
    </row>
    <row r="168" spans="2:31" s="426" customFormat="1">
      <c r="Q168" s="459"/>
    </row>
    <row r="170" spans="2:31" s="301" customFormat="1" ht="13.2">
      <c r="B170" s="401"/>
      <c r="F170" s="402"/>
      <c r="G170" s="402"/>
      <c r="H170" s="402"/>
      <c r="Q170" s="460"/>
      <c r="Y170" s="280"/>
    </row>
    <row r="171" spans="2:31" s="301" customFormat="1" ht="13.2">
      <c r="F171" s="402"/>
      <c r="G171" s="402"/>
      <c r="H171" s="402"/>
      <c r="Q171" s="460"/>
      <c r="Y171" s="280"/>
    </row>
  </sheetData>
  <sheetProtection algorithmName="SHA-512" hashValue="89swC5B71PWqyK1Af/mN0fH8onT9UsYK6LkCJ+9OgpbkGrpU8aFws/in13RP24yN2ZfRHag1zurckIYxF1s1/w==" saltValue="QnCfBlk0t2Zl56dFygLDGg==" spinCount="100000" sheet="1" objects="1" scenarios="1"/>
  <mergeCells count="19">
    <mergeCell ref="A4:B4"/>
    <mergeCell ref="A5:B5"/>
    <mergeCell ref="A6:B6"/>
    <mergeCell ref="A7:B7"/>
    <mergeCell ref="C4:E4"/>
    <mergeCell ref="C5:E5"/>
    <mergeCell ref="C6:E6"/>
    <mergeCell ref="C7:E7"/>
    <mergeCell ref="A1:B1"/>
    <mergeCell ref="A2:B2"/>
    <mergeCell ref="A3:B3"/>
    <mergeCell ref="C1:E1"/>
    <mergeCell ref="C2:E2"/>
    <mergeCell ref="C3:E3"/>
    <mergeCell ref="F9:O9"/>
    <mergeCell ref="R9:U9"/>
    <mergeCell ref="V9:X9"/>
    <mergeCell ref="V10:W10"/>
    <mergeCell ref="AB10:AE10"/>
  </mergeCells>
  <dataValidations count="1">
    <dataValidation type="whole" allowBlank="1" showInputMessage="1" showErrorMessage="1" errorTitle="Enter Whole Number" error="Please enter a whole number." promptTitle="Enter Whole Number" sqref="R32:X36 R107:X111 V150:X154 AA125:AE129 R74:X79 V125:X129 V143:X148 O12 AA150:AE154 AA74:AE76 F87:O91 F107:O111 AA137:AE141 V137:X141 AA143:AE148 R12:X12 AA12:AE12 F14:O18 R14:X18 AA14:AE18 AA20:AE24 F20:O24 R20:X24 R26:X30 AA26:AE30 F26:O30 F32:O36 AA32:AE36 AA38:AE42 X38:X42 F38:O42 R38:U42 R44:X48 AA44:AE48 F44:O48 F50:O54 R50:X54 AA50:AE54 F56:O60 R56:X60 AA56:AE60 R62:X66 F62:O66 AA62:AE66 AA68:AE72 R68:X72 F68:O72 AA77:AA79 F74:O79 F81:O85 R101:X105 AA81:AE85 AA87:AE91 R87:X91 AA93:AE93 R93:X93 O93 AA95:AE99 F95:O99 AA119:AE123 AA107:AE111 V113:X117 AA113:AE117 V119:X123 R95:X99 AA101:AE105 F101:O105 R81:U85 X81:X85 AA131:AE135 V131:X135" xr:uid="{00000000-0002-0000-0500-000000000000}">
      <formula1>-9999999999999</formula1>
      <formula2>9999999999999</formula2>
    </dataValidation>
  </dataValidations>
  <pageMargins left="0.5" right="0.25" top="1" bottom="1" header="0.44" footer="0.44"/>
  <pageSetup paperSize="5" scale="35" fitToWidth="0" fitToHeight="0" pageOrder="overThenDown" orientation="landscape" cellComments="asDisplayed" r:id="rId1"/>
  <headerFooter>
    <oddHeader>&amp;C&amp;"Times New Roman,Bold"Attachment 11
Internal Service Fund Financial Statement Template
&amp;A</oddHeader>
    <oddFooter>&amp;L&amp;"Times New Roman,Regular"&amp;F\ &amp;A&amp;R&amp;"Times New Roman,Regular" Page &amp;P of &amp;N</oddFooter>
  </headerFooter>
  <rowBreaks count="2" manualBreakCount="2">
    <brk id="60" max="34" man="1"/>
    <brk id="111" max="34" man="1"/>
  </rowBreaks>
  <colBreaks count="1" manualBreakCount="1">
    <brk id="17" max="14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S72"/>
  <sheetViews>
    <sheetView showGridLines="0" zoomScale="96" zoomScaleNormal="96" zoomScaleSheetLayoutView="90" workbookViewId="0">
      <selection activeCell="D3" sqref="D3:H3"/>
    </sheetView>
  </sheetViews>
  <sheetFormatPr defaultColWidth="8.88671875" defaultRowHeight="10.199999999999999"/>
  <cols>
    <col min="1" max="1" width="6.109375" style="8" customWidth="1"/>
    <col min="2" max="2" width="20.6640625" style="8" customWidth="1"/>
    <col min="3" max="3" width="7.6640625" style="9" customWidth="1"/>
    <col min="4" max="4" width="6" style="10" customWidth="1"/>
    <col min="5" max="5" width="10.6640625" style="8" customWidth="1"/>
    <col min="6" max="6" width="3.109375" style="8" customWidth="1"/>
    <col min="7" max="7" width="5.5546875" style="8" customWidth="1"/>
    <col min="8" max="8" width="20" style="8" customWidth="1"/>
    <col min="9" max="9" width="3.88671875" style="8" customWidth="1"/>
    <col min="10" max="10" width="4.109375" style="8" customWidth="1"/>
    <col min="11" max="11" width="20" style="8" customWidth="1"/>
    <col min="12" max="12" width="3.88671875" style="8" customWidth="1"/>
    <col min="13" max="13" width="4.6640625" style="8" customWidth="1"/>
    <col min="14" max="14" width="20" style="8" customWidth="1"/>
    <col min="15" max="15" width="3.109375" style="8" customWidth="1"/>
    <col min="16" max="16" width="4.109375" style="8" customWidth="1"/>
    <col min="17" max="17" width="19.88671875" style="8" customWidth="1"/>
    <col min="18" max="18" width="3.6640625" style="8" customWidth="1"/>
    <col min="19" max="19" width="4.33203125" style="8" customWidth="1"/>
    <col min="20" max="20" width="19.88671875" style="8" customWidth="1"/>
    <col min="21" max="21" width="4.44140625" style="8" customWidth="1"/>
    <col min="22" max="22" width="4.109375" style="8" customWidth="1"/>
    <col min="23" max="23" width="19.88671875" style="8" customWidth="1"/>
    <col min="24" max="24" width="3.109375" style="8" customWidth="1"/>
    <col min="25" max="25" width="2.6640625" style="8" customWidth="1"/>
    <col min="26" max="26" width="19.88671875" style="8" customWidth="1"/>
    <col min="27" max="28" width="3.6640625" style="8" customWidth="1"/>
    <col min="29" max="29" width="19.88671875" style="8" customWidth="1"/>
    <col min="30" max="30" width="3.5546875" style="8" hidden="1" customWidth="1"/>
    <col min="31" max="31" width="5.33203125" style="8" hidden="1" customWidth="1"/>
    <col min="32" max="32" width="21.33203125" style="8" hidden="1" customWidth="1"/>
    <col min="33" max="33" width="3.109375" style="8" customWidth="1"/>
    <col min="34" max="34" width="3.6640625" style="8" customWidth="1"/>
    <col min="35" max="35" width="19.88671875" style="8" customWidth="1"/>
    <col min="36" max="36" width="1.6640625" style="8" customWidth="1"/>
    <col min="37" max="37" width="3.33203125" style="8" customWidth="1"/>
    <col min="38" max="38" width="19.88671875" style="8" customWidth="1"/>
    <col min="39" max="40" width="3.33203125" style="8" customWidth="1"/>
    <col min="41" max="41" width="19.88671875" style="8" customWidth="1"/>
    <col min="42" max="42" width="3.109375" style="8" customWidth="1"/>
    <col min="43" max="43" width="3.33203125" style="8" customWidth="1"/>
    <col min="44" max="44" width="20" style="8" customWidth="1"/>
    <col min="45" max="45" width="3.33203125" style="8" customWidth="1"/>
    <col min="46" max="46" width="3.5546875" style="8" customWidth="1"/>
    <col min="47" max="47" width="20" style="8" customWidth="1"/>
    <col min="48" max="48" width="3.5546875" style="8" customWidth="1"/>
    <col min="49" max="49" width="3.88671875" style="8" customWidth="1"/>
    <col min="50" max="50" width="20" style="8" customWidth="1"/>
    <col min="51" max="51" width="3.5546875" style="8" customWidth="1"/>
    <col min="52" max="52" width="3.88671875" style="8" customWidth="1"/>
    <col min="53" max="53" width="20" style="8" customWidth="1"/>
    <col min="54" max="54" width="3" style="8" customWidth="1"/>
    <col min="55" max="55" width="3.88671875" style="8" customWidth="1"/>
    <col min="56" max="56" width="20" style="8" customWidth="1"/>
    <col min="57" max="57" width="3" style="8" customWidth="1"/>
    <col min="58" max="58" width="3.33203125" style="8" customWidth="1"/>
    <col min="59" max="59" width="20" style="8" customWidth="1"/>
    <col min="60" max="60" width="3.5546875" style="8" customWidth="1"/>
    <col min="61" max="61" width="4.33203125" style="8" customWidth="1"/>
    <col min="62" max="62" width="20" style="8" customWidth="1"/>
    <col min="63" max="63" width="3.109375" style="8" customWidth="1"/>
    <col min="64" max="64" width="3.5546875" style="8" customWidth="1"/>
    <col min="65" max="65" width="20" style="8" customWidth="1"/>
    <col min="66" max="66" width="3.109375" style="8" customWidth="1"/>
    <col min="67" max="67" width="3.5546875" style="8" customWidth="1"/>
    <col min="68" max="68" width="20" style="8" customWidth="1"/>
    <col min="69" max="69" width="3.109375" style="8" customWidth="1"/>
    <col min="70" max="70" width="3.33203125" style="8" customWidth="1"/>
    <col min="71" max="71" width="26.33203125" style="8" customWidth="1"/>
    <col min="72" max="16384" width="8.88671875" style="8"/>
  </cols>
  <sheetData>
    <row r="1" spans="1:71" ht="13.2">
      <c r="A1" s="1124" t="s">
        <v>562</v>
      </c>
      <c r="B1" s="1125"/>
      <c r="C1" s="1126"/>
      <c r="D1" s="1133" t="str">
        <f>'Internal Service Template'!E1</f>
        <v/>
      </c>
      <c r="E1" s="1134"/>
      <c r="F1" s="1134"/>
      <c r="G1" s="1134"/>
      <c r="H1" s="1134"/>
    </row>
    <row r="2" spans="1:71" ht="13.2">
      <c r="A2" s="1124" t="s">
        <v>177</v>
      </c>
      <c r="B2" s="1125"/>
      <c r="C2" s="1126"/>
      <c r="D2" s="1133" t="str">
        <f>IF('Internal Service Template'!E2="","",'Internal Service Template'!E2)</f>
        <v/>
      </c>
      <c r="E2" s="1134"/>
      <c r="F2" s="1134"/>
      <c r="G2" s="1134"/>
      <c r="H2" s="1134"/>
    </row>
    <row r="3" spans="1:71" ht="13.2">
      <c r="A3" s="1124" t="s">
        <v>586</v>
      </c>
      <c r="B3" s="1125"/>
      <c r="C3" s="1126"/>
      <c r="D3" s="1142" t="str">
        <f>IF('Internal Service Template'!E3="","",'Internal Service Template'!E3)</f>
        <v/>
      </c>
      <c r="E3" s="1143"/>
      <c r="F3" s="1143"/>
      <c r="G3" s="1143"/>
      <c r="H3" s="1143"/>
    </row>
    <row r="4" spans="1:71" ht="13.2">
      <c r="A4" s="1124" t="s">
        <v>587</v>
      </c>
      <c r="B4" s="1125"/>
      <c r="C4" s="1126"/>
      <c r="D4" s="1127" t="str">
        <f>IF('Internal Service Template'!E4="","",'Internal Service Template'!E4)</f>
        <v/>
      </c>
      <c r="E4" s="1128"/>
      <c r="F4" s="1128"/>
      <c r="G4" s="1128"/>
      <c r="H4" s="1128"/>
    </row>
    <row r="5" spans="1:71" ht="13.2">
      <c r="A5" s="1124" t="s">
        <v>2770</v>
      </c>
      <c r="B5" s="1125"/>
      <c r="C5" s="1126"/>
      <c r="D5" s="1129" t="str">
        <f>IF('Internal Service Template'!E5="","",'Internal Service Template'!E5)</f>
        <v/>
      </c>
      <c r="E5" s="1159"/>
      <c r="F5" s="1159"/>
      <c r="G5" s="1159"/>
      <c r="H5" s="1159"/>
    </row>
    <row r="6" spans="1:71" ht="13.2">
      <c r="A6" s="1124" t="s">
        <v>588</v>
      </c>
      <c r="B6" s="1125"/>
      <c r="C6" s="1126"/>
      <c r="D6" s="1131" t="str">
        <f>IF('Internal Service Template'!E6="","",'Internal Service Template'!E6)</f>
        <v/>
      </c>
      <c r="E6" s="1132"/>
      <c r="F6" s="1132"/>
      <c r="G6" s="1132"/>
      <c r="H6" s="1132"/>
    </row>
    <row r="7" spans="1:71" ht="24.75" customHeight="1">
      <c r="A7" s="1124" t="s">
        <v>93</v>
      </c>
      <c r="B7" s="1125"/>
      <c r="C7" s="1126"/>
      <c r="D7" s="1161" t="str">
        <f>'Internal Service Template'!E7</f>
        <v/>
      </c>
      <c r="E7" s="1162"/>
      <c r="F7" s="1162"/>
      <c r="G7" s="1162"/>
      <c r="H7" s="1163"/>
    </row>
    <row r="8" spans="1:71" ht="13.2">
      <c r="A8" s="7"/>
      <c r="B8" s="7"/>
      <c r="C8" s="1160"/>
      <c r="D8" s="1136"/>
      <c r="E8" s="1136"/>
      <c r="F8" s="1136"/>
      <c r="G8" s="1136"/>
      <c r="H8" s="10"/>
    </row>
    <row r="9" spans="1:71" s="11" customFormat="1" ht="13.8">
      <c r="A9" s="98"/>
    </row>
    <row r="10" spans="1:71" s="11" customFormat="1" ht="60" customHeight="1">
      <c r="A10" s="1158" t="s">
        <v>2579</v>
      </c>
      <c r="B10" s="1158"/>
      <c r="C10" s="1158"/>
      <c r="D10" s="1158"/>
      <c r="E10" s="1158"/>
      <c r="F10" s="1158"/>
      <c r="G10" s="1158"/>
      <c r="H10" s="1158"/>
    </row>
    <row r="11" spans="1:71" s="11" customFormat="1" ht="60" customHeight="1">
      <c r="A11" s="1139" t="str">
        <f>IF('Tab 1A-GASB 3-40'!G118=0,"N/A","Answer Required")</f>
        <v>N/A</v>
      </c>
      <c r="B11" s="1140"/>
      <c r="C11" s="1140"/>
      <c r="D11" s="1140"/>
      <c r="E11" s="1140"/>
      <c r="F11" s="1140"/>
      <c r="G11" s="1140"/>
      <c r="H11" s="1141"/>
    </row>
    <row r="12" spans="1:71" s="11" customFormat="1" ht="13.2"/>
    <row r="13" spans="1:71" s="71" customFormat="1" ht="47.1" customHeight="1">
      <c r="E13" s="99"/>
      <c r="G13" s="196"/>
      <c r="H13" s="99" t="s">
        <v>2907</v>
      </c>
      <c r="J13" s="196"/>
      <c r="K13" s="99" t="s">
        <v>2908</v>
      </c>
      <c r="M13" s="196"/>
      <c r="N13" s="99" t="s">
        <v>428</v>
      </c>
      <c r="P13" s="196"/>
      <c r="Q13" s="99" t="s">
        <v>429</v>
      </c>
      <c r="S13" s="196"/>
      <c r="T13" s="99" t="s">
        <v>430</v>
      </c>
      <c r="V13" s="196"/>
      <c r="W13" s="99" t="s">
        <v>3072</v>
      </c>
      <c r="Y13" s="196"/>
      <c r="Z13" s="99" t="s">
        <v>431</v>
      </c>
      <c r="AB13" s="196"/>
      <c r="AC13" s="99" t="s">
        <v>432</v>
      </c>
      <c r="AE13" s="196"/>
      <c r="AF13" s="99" t="s">
        <v>433</v>
      </c>
      <c r="AH13" s="196"/>
      <c r="AI13" s="99" t="s">
        <v>351</v>
      </c>
      <c r="AK13" s="196"/>
      <c r="AL13" s="99" t="s">
        <v>435</v>
      </c>
      <c r="AM13" s="99"/>
      <c r="AN13" s="99"/>
      <c r="AO13" s="99"/>
      <c r="AQ13" s="196"/>
      <c r="AR13" s="99" t="s">
        <v>306</v>
      </c>
      <c r="AT13" s="196"/>
      <c r="AU13" s="99" t="s">
        <v>125</v>
      </c>
      <c r="AW13" s="196"/>
      <c r="AX13" s="99" t="s">
        <v>126</v>
      </c>
      <c r="AZ13" s="196"/>
      <c r="BA13" s="99" t="s">
        <v>373</v>
      </c>
      <c r="BC13" s="196"/>
      <c r="BD13" s="99" t="s">
        <v>2895</v>
      </c>
      <c r="BF13" s="196"/>
      <c r="BG13" s="99" t="s">
        <v>128</v>
      </c>
      <c r="BI13" s="196"/>
      <c r="BJ13" s="99" t="s">
        <v>130</v>
      </c>
      <c r="BL13" s="196"/>
      <c r="BM13" s="99" t="s">
        <v>131</v>
      </c>
      <c r="BN13" s="99"/>
      <c r="BO13" s="197"/>
      <c r="BP13" s="99" t="s">
        <v>132</v>
      </c>
      <c r="BR13" s="196"/>
      <c r="BS13" s="100" t="s">
        <v>677</v>
      </c>
    </row>
    <row r="14" spans="1:71" s="11" customFormat="1" ht="13.2">
      <c r="A14" s="101" t="s">
        <v>2664</v>
      </c>
      <c r="D14" s="207"/>
      <c r="E14" s="103"/>
      <c r="G14" s="207" t="s">
        <v>102</v>
      </c>
      <c r="H14" s="102"/>
      <c r="J14" s="207" t="s">
        <v>102</v>
      </c>
      <c r="K14" s="102"/>
      <c r="M14" s="207" t="s">
        <v>102</v>
      </c>
      <c r="N14" s="102"/>
      <c r="P14" s="207" t="s">
        <v>102</v>
      </c>
      <c r="Q14" s="102"/>
      <c r="S14" s="207" t="s">
        <v>102</v>
      </c>
      <c r="T14" s="102"/>
      <c r="V14" s="207" t="s">
        <v>102</v>
      </c>
      <c r="W14" s="102"/>
      <c r="Y14" s="207" t="s">
        <v>102</v>
      </c>
      <c r="Z14" s="102"/>
      <c r="AB14" s="207" t="s">
        <v>102</v>
      </c>
      <c r="AC14" s="102"/>
      <c r="AE14" s="207" t="s">
        <v>102</v>
      </c>
      <c r="AF14" s="179"/>
      <c r="AH14" s="207" t="s">
        <v>102</v>
      </c>
      <c r="AI14" s="102"/>
      <c r="AK14" s="207" t="s">
        <v>102</v>
      </c>
      <c r="AL14" s="102"/>
      <c r="AM14" s="103"/>
      <c r="AN14" s="103"/>
      <c r="AO14" s="101" t="str">
        <f>A14</f>
        <v xml:space="preserve">Argentine Peso </v>
      </c>
      <c r="AQ14" s="207" t="s">
        <v>102</v>
      </c>
      <c r="AR14" s="102"/>
      <c r="AT14" s="207" t="s">
        <v>102</v>
      </c>
      <c r="AU14" s="102"/>
      <c r="AW14" s="207" t="s">
        <v>102</v>
      </c>
      <c r="AX14" s="102"/>
      <c r="AZ14" s="207" t="s">
        <v>102</v>
      </c>
      <c r="BA14" s="102"/>
      <c r="BC14" s="207" t="s">
        <v>102</v>
      </c>
      <c r="BD14" s="102"/>
      <c r="BF14" s="207" t="s">
        <v>102</v>
      </c>
      <c r="BG14" s="102"/>
      <c r="BI14" s="207" t="s">
        <v>102</v>
      </c>
      <c r="BJ14" s="102"/>
      <c r="BL14" s="207" t="s">
        <v>102</v>
      </c>
      <c r="BM14" s="102"/>
      <c r="BN14" s="103"/>
      <c r="BO14" s="207" t="s">
        <v>102</v>
      </c>
      <c r="BP14" s="102"/>
      <c r="BR14" s="207" t="s">
        <v>102</v>
      </c>
      <c r="BS14" s="104">
        <f t="shared" ref="BS14:BS62" si="0">SUM(H14:BP14)</f>
        <v>0</v>
      </c>
    </row>
    <row r="15" spans="1:71" s="11" customFormat="1" ht="13.2">
      <c r="A15" s="105" t="s">
        <v>678</v>
      </c>
      <c r="B15" s="450"/>
      <c r="E15" s="103"/>
      <c r="H15" s="102"/>
      <c r="K15" s="102"/>
      <c r="N15" s="102"/>
      <c r="Q15" s="102"/>
      <c r="T15" s="102"/>
      <c r="W15" s="102"/>
      <c r="Z15" s="102"/>
      <c r="AC15" s="102"/>
      <c r="AF15" s="179"/>
      <c r="AI15" s="102"/>
      <c r="AL15" s="102"/>
      <c r="AM15" s="103"/>
      <c r="AN15" s="103"/>
      <c r="AO15" s="101" t="str">
        <f t="shared" ref="AO15:AO56" si="1">A15</f>
        <v xml:space="preserve">Australian Dollar </v>
      </c>
      <c r="AR15" s="102"/>
      <c r="AU15" s="102"/>
      <c r="AX15" s="102"/>
      <c r="BA15" s="102"/>
      <c r="BD15" s="102"/>
      <c r="BG15" s="102"/>
      <c r="BJ15" s="102"/>
      <c r="BM15" s="102"/>
      <c r="BN15" s="103"/>
      <c r="BO15" s="103"/>
      <c r="BP15" s="102"/>
      <c r="BS15" s="104">
        <f t="shared" si="0"/>
        <v>0</v>
      </c>
    </row>
    <row r="16" spans="1:71" s="11" customFormat="1" ht="13.2">
      <c r="A16" s="105" t="s">
        <v>3964</v>
      </c>
      <c r="E16" s="103"/>
      <c r="H16" s="102"/>
      <c r="K16" s="102"/>
      <c r="N16" s="102"/>
      <c r="Q16" s="102"/>
      <c r="T16" s="102"/>
      <c r="W16" s="102"/>
      <c r="Z16" s="102"/>
      <c r="AC16" s="102"/>
      <c r="AF16" s="179"/>
      <c r="AI16" s="102"/>
      <c r="AL16" s="102"/>
      <c r="AM16" s="103"/>
      <c r="AN16" s="103"/>
      <c r="AO16" s="101" t="str">
        <f t="shared" si="1"/>
        <v xml:space="preserve">Brazilian Real </v>
      </c>
      <c r="AR16" s="102"/>
      <c r="AU16" s="102"/>
      <c r="AX16" s="102"/>
      <c r="BA16" s="102"/>
      <c r="BD16" s="102"/>
      <c r="BG16" s="102"/>
      <c r="BJ16" s="102"/>
      <c r="BM16" s="102"/>
      <c r="BN16" s="103"/>
      <c r="BO16" s="103"/>
      <c r="BP16" s="102"/>
      <c r="BS16" s="104">
        <f t="shared" si="0"/>
        <v>0</v>
      </c>
    </row>
    <row r="17" spans="1:71" s="11" customFormat="1" ht="13.2">
      <c r="A17" s="105" t="s">
        <v>3272</v>
      </c>
      <c r="E17" s="103"/>
      <c r="H17" s="102"/>
      <c r="K17" s="102"/>
      <c r="N17" s="102"/>
      <c r="Q17" s="102"/>
      <c r="T17" s="102"/>
      <c r="W17" s="102"/>
      <c r="Z17" s="102"/>
      <c r="AC17" s="102"/>
      <c r="AF17" s="179"/>
      <c r="AI17" s="102"/>
      <c r="AL17" s="102"/>
      <c r="AM17" s="103"/>
      <c r="AN17" s="103"/>
      <c r="AO17" s="101" t="str">
        <f>A17</f>
        <v xml:space="preserve">British Pound Sterling </v>
      </c>
      <c r="AR17" s="102"/>
      <c r="AU17" s="102"/>
      <c r="AX17" s="102"/>
      <c r="BA17" s="102"/>
      <c r="BD17" s="102"/>
      <c r="BG17" s="102"/>
      <c r="BJ17" s="102"/>
      <c r="BM17" s="102"/>
      <c r="BN17" s="103"/>
      <c r="BO17" s="103"/>
      <c r="BP17" s="102"/>
      <c r="BS17" s="104">
        <f>SUM(H17:BP17)</f>
        <v>0</v>
      </c>
    </row>
    <row r="18" spans="1:71" s="11" customFormat="1" ht="13.2">
      <c r="A18" s="105" t="s">
        <v>679</v>
      </c>
      <c r="E18" s="103"/>
      <c r="H18" s="102"/>
      <c r="K18" s="102"/>
      <c r="N18" s="102"/>
      <c r="Q18" s="102"/>
      <c r="T18" s="102"/>
      <c r="W18" s="102"/>
      <c r="Z18" s="102"/>
      <c r="AC18" s="102"/>
      <c r="AF18" s="179"/>
      <c r="AI18" s="102"/>
      <c r="AL18" s="102"/>
      <c r="AM18" s="103"/>
      <c r="AN18" s="103"/>
      <c r="AO18" s="101" t="str">
        <f t="shared" si="1"/>
        <v xml:space="preserve">Canadian Dollar </v>
      </c>
      <c r="AR18" s="102"/>
      <c r="AU18" s="102"/>
      <c r="AX18" s="102"/>
      <c r="BA18" s="102"/>
      <c r="BD18" s="102"/>
      <c r="BG18" s="102"/>
      <c r="BJ18" s="102"/>
      <c r="BM18" s="102"/>
      <c r="BN18" s="103"/>
      <c r="BO18" s="103"/>
      <c r="BP18" s="102"/>
      <c r="BS18" s="104">
        <f t="shared" si="0"/>
        <v>0</v>
      </c>
    </row>
    <row r="19" spans="1:71" s="11" customFormat="1" ht="13.2">
      <c r="A19" s="105" t="s">
        <v>3898</v>
      </c>
      <c r="E19" s="103"/>
      <c r="H19" s="102"/>
      <c r="K19" s="102"/>
      <c r="N19" s="102"/>
      <c r="Q19" s="102"/>
      <c r="T19" s="102"/>
      <c r="W19" s="102"/>
      <c r="Z19" s="102"/>
      <c r="AC19" s="102"/>
      <c r="AF19" s="179"/>
      <c r="AI19" s="102"/>
      <c r="AL19" s="102"/>
      <c r="AM19" s="103"/>
      <c r="AN19" s="103"/>
      <c r="AO19" s="101" t="str">
        <f t="shared" ref="AO19" si="2">A19</f>
        <v>Cayman Islands</v>
      </c>
      <c r="AR19" s="102"/>
      <c r="AU19" s="102"/>
      <c r="AX19" s="102"/>
      <c r="BA19" s="102"/>
      <c r="BD19" s="102"/>
      <c r="BG19" s="102"/>
      <c r="BJ19" s="102"/>
      <c r="BM19" s="102"/>
      <c r="BN19" s="103"/>
      <c r="BO19" s="103"/>
      <c r="BP19" s="102"/>
      <c r="BS19" s="104">
        <f t="shared" ref="BS19" si="3">SUM(H19:BP19)</f>
        <v>0</v>
      </c>
    </row>
    <row r="20" spans="1:71" s="11" customFormat="1" ht="13.2">
      <c r="A20" s="451" t="s">
        <v>3238</v>
      </c>
      <c r="E20" s="103"/>
      <c r="H20" s="102"/>
      <c r="K20" s="102"/>
      <c r="N20" s="102"/>
      <c r="Q20" s="102"/>
      <c r="T20" s="102"/>
      <c r="W20" s="102"/>
      <c r="Z20" s="102"/>
      <c r="AC20" s="102"/>
      <c r="AF20" s="179"/>
      <c r="AI20" s="102"/>
      <c r="AL20" s="102"/>
      <c r="AM20" s="103"/>
      <c r="AN20" s="103"/>
      <c r="AO20" s="101" t="str">
        <f t="shared" si="1"/>
        <v>Chilean Peso</v>
      </c>
      <c r="AR20" s="102"/>
      <c r="AU20" s="102"/>
      <c r="AX20" s="102"/>
      <c r="BA20" s="102"/>
      <c r="BD20" s="102"/>
      <c r="BG20" s="102"/>
      <c r="BJ20" s="102"/>
      <c r="BM20" s="102"/>
      <c r="BN20" s="103"/>
      <c r="BO20" s="103"/>
      <c r="BP20" s="102"/>
      <c r="BS20" s="104">
        <f t="shared" si="0"/>
        <v>0</v>
      </c>
    </row>
    <row r="21" spans="1:71" s="11" customFormat="1" ht="13.2">
      <c r="A21" s="451" t="s">
        <v>3899</v>
      </c>
      <c r="E21" s="103"/>
      <c r="H21" s="102"/>
      <c r="K21" s="102"/>
      <c r="N21" s="102"/>
      <c r="Q21" s="102"/>
      <c r="T21" s="102"/>
      <c r="W21" s="102"/>
      <c r="Z21" s="102"/>
      <c r="AC21" s="102"/>
      <c r="AF21" s="179"/>
      <c r="AI21" s="102"/>
      <c r="AL21" s="102"/>
      <c r="AM21" s="103"/>
      <c r="AN21" s="103"/>
      <c r="AO21" s="101" t="str">
        <f t="shared" ref="AO21" si="4">A21</f>
        <v>Chinese RMB</v>
      </c>
      <c r="AR21" s="102"/>
      <c r="AU21" s="102"/>
      <c r="AX21" s="102"/>
      <c r="BA21" s="102"/>
      <c r="BD21" s="102"/>
      <c r="BG21" s="102"/>
      <c r="BJ21" s="102"/>
      <c r="BM21" s="102"/>
      <c r="BN21" s="103"/>
      <c r="BO21" s="103"/>
      <c r="BP21" s="102"/>
      <c r="BS21" s="104">
        <f t="shared" ref="BS21" si="5">SUM(H21:BP21)</f>
        <v>0</v>
      </c>
    </row>
    <row r="22" spans="1:71" s="11" customFormat="1" ht="13.2">
      <c r="A22" s="105" t="s">
        <v>680</v>
      </c>
      <c r="C22" s="97"/>
      <c r="D22" s="97"/>
      <c r="E22" s="103"/>
      <c r="H22" s="102"/>
      <c r="K22" s="102"/>
      <c r="N22" s="102"/>
      <c r="Q22" s="102"/>
      <c r="T22" s="102"/>
      <c r="W22" s="102"/>
      <c r="Z22" s="102"/>
      <c r="AC22" s="102"/>
      <c r="AF22" s="179"/>
      <c r="AI22" s="102"/>
      <c r="AL22" s="102"/>
      <c r="AM22" s="103"/>
      <c r="AN22" s="103"/>
      <c r="AO22" s="101" t="str">
        <f t="shared" si="1"/>
        <v xml:space="preserve">Colombian Peso </v>
      </c>
      <c r="AR22" s="102"/>
      <c r="AU22" s="102"/>
      <c r="AX22" s="102"/>
      <c r="BA22" s="102"/>
      <c r="BD22" s="102"/>
      <c r="BG22" s="102"/>
      <c r="BJ22" s="102"/>
      <c r="BM22" s="102"/>
      <c r="BN22" s="103"/>
      <c r="BO22" s="103"/>
      <c r="BP22" s="102"/>
      <c r="BS22" s="104">
        <f t="shared" si="0"/>
        <v>0</v>
      </c>
    </row>
    <row r="23" spans="1:71" s="11" customFormat="1" ht="13.2">
      <c r="A23" s="105" t="s">
        <v>328</v>
      </c>
      <c r="E23" s="103"/>
      <c r="H23" s="102"/>
      <c r="K23" s="102"/>
      <c r="N23" s="102"/>
      <c r="Q23" s="102"/>
      <c r="T23" s="102"/>
      <c r="W23" s="102"/>
      <c r="Z23" s="102"/>
      <c r="AC23" s="102"/>
      <c r="AF23" s="179"/>
      <c r="AI23" s="102"/>
      <c r="AL23" s="102"/>
      <c r="AM23" s="103"/>
      <c r="AN23" s="103"/>
      <c r="AO23" s="101" t="str">
        <f t="shared" si="1"/>
        <v xml:space="preserve">Czech Koruna </v>
      </c>
      <c r="AR23" s="102"/>
      <c r="AU23" s="102"/>
      <c r="AX23" s="102"/>
      <c r="BA23" s="102"/>
      <c r="BD23" s="102"/>
      <c r="BG23" s="102"/>
      <c r="BJ23" s="102"/>
      <c r="BM23" s="102"/>
      <c r="BN23" s="103"/>
      <c r="BO23" s="103"/>
      <c r="BP23" s="102"/>
      <c r="BS23" s="104">
        <f t="shared" si="0"/>
        <v>0</v>
      </c>
    </row>
    <row r="24" spans="1:71" s="11" customFormat="1" ht="13.2">
      <c r="A24" s="105" t="s">
        <v>329</v>
      </c>
      <c r="E24" s="103"/>
      <c r="H24" s="102"/>
      <c r="K24" s="102"/>
      <c r="N24" s="102"/>
      <c r="Q24" s="102"/>
      <c r="T24" s="102"/>
      <c r="W24" s="102"/>
      <c r="Z24" s="102"/>
      <c r="AC24" s="102"/>
      <c r="AF24" s="179"/>
      <c r="AI24" s="102"/>
      <c r="AL24" s="102"/>
      <c r="AM24" s="103"/>
      <c r="AN24" s="103"/>
      <c r="AO24" s="101" t="str">
        <f t="shared" si="1"/>
        <v xml:space="preserve">Danish Krone </v>
      </c>
      <c r="AR24" s="102"/>
      <c r="AU24" s="102"/>
      <c r="AX24" s="102"/>
      <c r="BA24" s="102"/>
      <c r="BD24" s="102"/>
      <c r="BG24" s="102"/>
      <c r="BJ24" s="102"/>
      <c r="BM24" s="102"/>
      <c r="BN24" s="103"/>
      <c r="BO24" s="103"/>
      <c r="BP24" s="102"/>
      <c r="BS24" s="104">
        <f t="shared" si="0"/>
        <v>0</v>
      </c>
    </row>
    <row r="25" spans="1:71" s="11" customFormat="1" ht="13.2">
      <c r="A25" s="105" t="s">
        <v>3900</v>
      </c>
      <c r="E25" s="103"/>
      <c r="H25" s="102"/>
      <c r="K25" s="102"/>
      <c r="N25" s="102"/>
      <c r="Q25" s="102"/>
      <c r="T25" s="102"/>
      <c r="W25" s="102"/>
      <c r="Z25" s="102"/>
      <c r="AC25" s="102"/>
      <c r="AF25" s="179"/>
      <c r="AI25" s="102"/>
      <c r="AL25" s="102"/>
      <c r="AM25" s="103"/>
      <c r="AN25" s="103"/>
      <c r="AO25" s="101" t="str">
        <f t="shared" ref="AO25" si="6">A25</f>
        <v>Dominican Republic Peso</v>
      </c>
      <c r="AR25" s="102"/>
      <c r="AU25" s="102"/>
      <c r="AX25" s="102"/>
      <c r="BA25" s="102"/>
      <c r="BD25" s="102"/>
      <c r="BG25" s="102"/>
      <c r="BJ25" s="102"/>
      <c r="BM25" s="102"/>
      <c r="BN25" s="103"/>
      <c r="BO25" s="103"/>
      <c r="BP25" s="102"/>
      <c r="BS25" s="104">
        <f t="shared" ref="BS25" si="7">SUM(H25:BP25)</f>
        <v>0</v>
      </c>
    </row>
    <row r="26" spans="1:71" s="11" customFormat="1" ht="13.2">
      <c r="A26" s="105" t="s">
        <v>330</v>
      </c>
      <c r="E26" s="103"/>
      <c r="H26" s="102"/>
      <c r="K26" s="102"/>
      <c r="N26" s="102"/>
      <c r="Q26" s="102"/>
      <c r="T26" s="102"/>
      <c r="W26" s="102"/>
      <c r="Z26" s="102"/>
      <c r="AC26" s="102"/>
      <c r="AF26" s="179"/>
      <c r="AI26" s="102"/>
      <c r="AL26" s="102"/>
      <c r="AM26" s="103"/>
      <c r="AN26" s="103"/>
      <c r="AO26" s="101" t="str">
        <f t="shared" si="1"/>
        <v xml:space="preserve">Egyptian Pound </v>
      </c>
      <c r="AR26" s="102"/>
      <c r="AU26" s="102"/>
      <c r="AX26" s="102"/>
      <c r="BA26" s="102"/>
      <c r="BD26" s="102"/>
      <c r="BG26" s="102"/>
      <c r="BJ26" s="102"/>
      <c r="BM26" s="102"/>
      <c r="BN26" s="103"/>
      <c r="BO26" s="103"/>
      <c r="BP26" s="102"/>
      <c r="BS26" s="104">
        <f t="shared" si="0"/>
        <v>0</v>
      </c>
    </row>
    <row r="27" spans="1:71" s="11" customFormat="1" ht="13.2">
      <c r="A27" s="105" t="s">
        <v>3965</v>
      </c>
      <c r="E27" s="103"/>
      <c r="H27" s="102"/>
      <c r="K27" s="102"/>
      <c r="N27" s="102"/>
      <c r="Q27" s="102"/>
      <c r="T27" s="102"/>
      <c r="W27" s="102"/>
      <c r="Z27" s="102"/>
      <c r="AC27" s="102"/>
      <c r="AF27" s="179"/>
      <c r="AI27" s="102"/>
      <c r="AL27" s="102"/>
      <c r="AM27" s="103"/>
      <c r="AN27" s="103"/>
      <c r="AO27" s="101" t="str">
        <f t="shared" si="1"/>
        <v xml:space="preserve">Estonian Kroon </v>
      </c>
      <c r="AR27" s="102"/>
      <c r="AU27" s="102"/>
      <c r="AX27" s="102"/>
      <c r="BA27" s="102"/>
      <c r="BD27" s="102"/>
      <c r="BG27" s="102"/>
      <c r="BJ27" s="102"/>
      <c r="BM27" s="102"/>
      <c r="BN27" s="103"/>
      <c r="BO27" s="103"/>
      <c r="BP27" s="102"/>
      <c r="BS27" s="104">
        <f t="shared" si="0"/>
        <v>0</v>
      </c>
    </row>
    <row r="28" spans="1:71" s="11" customFormat="1" ht="13.2">
      <c r="A28" s="105" t="s">
        <v>331</v>
      </c>
      <c r="E28" s="103"/>
      <c r="H28" s="102"/>
      <c r="K28" s="102"/>
      <c r="N28" s="102"/>
      <c r="Q28" s="102"/>
      <c r="T28" s="102"/>
      <c r="W28" s="102"/>
      <c r="Z28" s="102"/>
      <c r="AC28" s="102"/>
      <c r="AF28" s="179"/>
      <c r="AI28" s="102"/>
      <c r="AL28" s="102"/>
      <c r="AM28" s="103"/>
      <c r="AN28" s="103"/>
      <c r="AO28" s="101" t="str">
        <f t="shared" si="1"/>
        <v xml:space="preserve">Euro Currency Unit </v>
      </c>
      <c r="AR28" s="102"/>
      <c r="AU28" s="102"/>
      <c r="AX28" s="102"/>
      <c r="BA28" s="102"/>
      <c r="BD28" s="102"/>
      <c r="BG28" s="102"/>
      <c r="BJ28" s="102"/>
      <c r="BM28" s="102"/>
      <c r="BN28" s="103"/>
      <c r="BO28" s="103"/>
      <c r="BP28" s="102"/>
      <c r="BS28" s="104">
        <f t="shared" si="0"/>
        <v>0</v>
      </c>
    </row>
    <row r="29" spans="1:71" s="11" customFormat="1" ht="13.2">
      <c r="A29" s="105" t="s">
        <v>332</v>
      </c>
      <c r="E29" s="103"/>
      <c r="H29" s="102"/>
      <c r="K29" s="102"/>
      <c r="N29" s="102"/>
      <c r="Q29" s="102"/>
      <c r="T29" s="102"/>
      <c r="W29" s="102"/>
      <c r="Z29" s="102"/>
      <c r="AC29" s="102"/>
      <c r="AF29" s="179"/>
      <c r="AI29" s="102"/>
      <c r="AL29" s="102"/>
      <c r="AM29" s="103"/>
      <c r="AN29" s="103"/>
      <c r="AO29" s="101" t="str">
        <f t="shared" si="1"/>
        <v xml:space="preserve">Hong Kong Dollar </v>
      </c>
      <c r="AR29" s="102"/>
      <c r="AU29" s="102"/>
      <c r="AX29" s="102"/>
      <c r="BA29" s="102"/>
      <c r="BD29" s="102"/>
      <c r="BG29" s="102"/>
      <c r="BJ29" s="102"/>
      <c r="BM29" s="102"/>
      <c r="BN29" s="103"/>
      <c r="BO29" s="103"/>
      <c r="BP29" s="102"/>
      <c r="BS29" s="104">
        <f t="shared" si="0"/>
        <v>0</v>
      </c>
    </row>
    <row r="30" spans="1:71" s="11" customFormat="1" ht="13.2">
      <c r="A30" s="105" t="s">
        <v>333</v>
      </c>
      <c r="E30" s="103"/>
      <c r="H30" s="102"/>
      <c r="K30" s="102"/>
      <c r="N30" s="102"/>
      <c r="Q30" s="102"/>
      <c r="T30" s="102"/>
      <c r="W30" s="102"/>
      <c r="Z30" s="102"/>
      <c r="AC30" s="102"/>
      <c r="AF30" s="179"/>
      <c r="AI30" s="102"/>
      <c r="AL30" s="102"/>
      <c r="AM30" s="103"/>
      <c r="AN30" s="103"/>
      <c r="AO30" s="101" t="str">
        <f t="shared" si="1"/>
        <v xml:space="preserve">Hungarian Forint </v>
      </c>
      <c r="AR30" s="102"/>
      <c r="AU30" s="102"/>
      <c r="AX30" s="102"/>
      <c r="BA30" s="102"/>
      <c r="BD30" s="102"/>
      <c r="BG30" s="102"/>
      <c r="BJ30" s="102"/>
      <c r="BM30" s="102"/>
      <c r="BN30" s="103"/>
      <c r="BO30" s="103"/>
      <c r="BP30" s="102"/>
      <c r="BS30" s="104">
        <f t="shared" si="0"/>
        <v>0</v>
      </c>
    </row>
    <row r="31" spans="1:71" s="11" customFormat="1" ht="13.2">
      <c r="A31" s="105" t="s">
        <v>334</v>
      </c>
      <c r="E31" s="103"/>
      <c r="H31" s="102"/>
      <c r="K31" s="102"/>
      <c r="N31" s="102"/>
      <c r="Q31" s="102"/>
      <c r="T31" s="102"/>
      <c r="W31" s="102"/>
      <c r="Z31" s="102"/>
      <c r="AC31" s="102"/>
      <c r="AF31" s="179"/>
      <c r="AI31" s="102"/>
      <c r="AL31" s="102"/>
      <c r="AM31" s="103"/>
      <c r="AN31" s="103"/>
      <c r="AO31" s="101" t="str">
        <f t="shared" si="1"/>
        <v xml:space="preserve">Indian Rupee </v>
      </c>
      <c r="AR31" s="102"/>
      <c r="AU31" s="102"/>
      <c r="AX31" s="102"/>
      <c r="BA31" s="102"/>
      <c r="BD31" s="102"/>
      <c r="BG31" s="102"/>
      <c r="BJ31" s="102"/>
      <c r="BM31" s="102"/>
      <c r="BN31" s="103"/>
      <c r="BO31" s="103"/>
      <c r="BP31" s="102"/>
      <c r="BS31" s="104">
        <f t="shared" si="0"/>
        <v>0</v>
      </c>
    </row>
    <row r="32" spans="1:71" s="11" customFormat="1" ht="13.2">
      <c r="A32" s="105" t="s">
        <v>806</v>
      </c>
      <c r="E32" s="103"/>
      <c r="H32" s="102"/>
      <c r="K32" s="102"/>
      <c r="N32" s="102"/>
      <c r="Q32" s="102"/>
      <c r="T32" s="102"/>
      <c r="W32" s="102"/>
      <c r="Z32" s="102"/>
      <c r="AC32" s="102"/>
      <c r="AF32" s="179"/>
      <c r="AI32" s="102"/>
      <c r="AL32" s="102"/>
      <c r="AM32" s="103"/>
      <c r="AN32" s="103"/>
      <c r="AO32" s="101" t="str">
        <f t="shared" si="1"/>
        <v xml:space="preserve">Indonesian Rupiah </v>
      </c>
      <c r="AR32" s="102"/>
      <c r="AU32" s="102"/>
      <c r="AX32" s="102"/>
      <c r="BA32" s="102"/>
      <c r="BD32" s="102"/>
      <c r="BG32" s="102"/>
      <c r="BJ32" s="102"/>
      <c r="BM32" s="102"/>
      <c r="BN32" s="103"/>
      <c r="BO32" s="103"/>
      <c r="BP32" s="102"/>
      <c r="BS32" s="104">
        <f t="shared" si="0"/>
        <v>0</v>
      </c>
    </row>
    <row r="33" spans="1:71" s="11" customFormat="1" ht="13.2">
      <c r="A33" s="105" t="s">
        <v>335</v>
      </c>
      <c r="E33" s="103"/>
      <c r="H33" s="102"/>
      <c r="K33" s="102"/>
      <c r="N33" s="102"/>
      <c r="Q33" s="102"/>
      <c r="T33" s="102"/>
      <c r="W33" s="102"/>
      <c r="Z33" s="102"/>
      <c r="AC33" s="102"/>
      <c r="AF33" s="179"/>
      <c r="AI33" s="102"/>
      <c r="AL33" s="102"/>
      <c r="AM33" s="103"/>
      <c r="AN33" s="103"/>
      <c r="AO33" s="101" t="str">
        <f t="shared" si="1"/>
        <v xml:space="preserve">Israeli Shekel </v>
      </c>
      <c r="AR33" s="102"/>
      <c r="AU33" s="102"/>
      <c r="AX33" s="102"/>
      <c r="BA33" s="102"/>
      <c r="BD33" s="102"/>
      <c r="BG33" s="102"/>
      <c r="BJ33" s="102"/>
      <c r="BM33" s="102"/>
      <c r="BN33" s="103"/>
      <c r="BO33" s="103"/>
      <c r="BP33" s="102"/>
      <c r="BS33" s="104">
        <f t="shared" si="0"/>
        <v>0</v>
      </c>
    </row>
    <row r="34" spans="1:71" s="11" customFormat="1" ht="13.2">
      <c r="A34" s="105" t="s">
        <v>336</v>
      </c>
      <c r="E34" s="103"/>
      <c r="H34" s="102"/>
      <c r="K34" s="102"/>
      <c r="N34" s="102"/>
      <c r="Q34" s="102"/>
      <c r="T34" s="102"/>
      <c r="W34" s="102"/>
      <c r="Z34" s="102"/>
      <c r="AC34" s="102"/>
      <c r="AF34" s="179"/>
      <c r="AI34" s="102"/>
      <c r="AL34" s="102"/>
      <c r="AM34" s="103"/>
      <c r="AN34" s="103"/>
      <c r="AO34" s="101" t="str">
        <f t="shared" si="1"/>
        <v xml:space="preserve">Japanese Yen </v>
      </c>
      <c r="AR34" s="102"/>
      <c r="AU34" s="102"/>
      <c r="AX34" s="102"/>
      <c r="BA34" s="102"/>
      <c r="BD34" s="102"/>
      <c r="BG34" s="102"/>
      <c r="BJ34" s="102"/>
      <c r="BM34" s="102"/>
      <c r="BN34" s="103"/>
      <c r="BO34" s="103"/>
      <c r="BP34" s="102"/>
      <c r="BS34" s="104">
        <f t="shared" si="0"/>
        <v>0</v>
      </c>
    </row>
    <row r="35" spans="1:71" s="11" customFormat="1" ht="13.2">
      <c r="A35" s="105" t="s">
        <v>337</v>
      </c>
      <c r="E35" s="103"/>
      <c r="H35" s="102"/>
      <c r="K35" s="102"/>
      <c r="N35" s="102"/>
      <c r="Q35" s="102"/>
      <c r="T35" s="102"/>
      <c r="W35" s="102"/>
      <c r="Z35" s="102"/>
      <c r="AC35" s="102"/>
      <c r="AF35" s="179"/>
      <c r="AI35" s="102"/>
      <c r="AL35" s="102"/>
      <c r="AM35" s="103"/>
      <c r="AN35" s="103"/>
      <c r="AO35" s="101" t="str">
        <f t="shared" si="1"/>
        <v xml:space="preserve">Malaysian Ringgit </v>
      </c>
      <c r="AR35" s="102"/>
      <c r="AU35" s="102"/>
      <c r="AX35" s="102"/>
      <c r="BA35" s="102"/>
      <c r="BD35" s="102"/>
      <c r="BG35" s="102"/>
      <c r="BJ35" s="102"/>
      <c r="BM35" s="102"/>
      <c r="BN35" s="103"/>
      <c r="BO35" s="103"/>
      <c r="BP35" s="102"/>
      <c r="BS35" s="104">
        <f t="shared" si="0"/>
        <v>0</v>
      </c>
    </row>
    <row r="36" spans="1:71" s="11" customFormat="1" ht="13.2">
      <c r="A36" s="105" t="s">
        <v>2665</v>
      </c>
      <c r="E36" s="103"/>
      <c r="H36" s="102"/>
      <c r="K36" s="102"/>
      <c r="N36" s="102"/>
      <c r="Q36" s="102"/>
      <c r="T36" s="102"/>
      <c r="W36" s="102"/>
      <c r="Z36" s="102"/>
      <c r="AC36" s="102"/>
      <c r="AF36" s="179"/>
      <c r="AI36" s="102"/>
      <c r="AL36" s="102"/>
      <c r="AM36" s="103"/>
      <c r="AN36" s="103"/>
      <c r="AO36" s="101" t="str">
        <f t="shared" si="1"/>
        <v xml:space="preserve">Mexican Peso </v>
      </c>
      <c r="AR36" s="102"/>
      <c r="AU36" s="102"/>
      <c r="AX36" s="102"/>
      <c r="BA36" s="102"/>
      <c r="BD36" s="102"/>
      <c r="BG36" s="102"/>
      <c r="BJ36" s="102"/>
      <c r="BM36" s="102"/>
      <c r="BN36" s="103"/>
      <c r="BO36" s="103"/>
      <c r="BP36" s="102"/>
      <c r="BS36" s="104">
        <f t="shared" si="0"/>
        <v>0</v>
      </c>
    </row>
    <row r="37" spans="1:71" s="11" customFormat="1" ht="13.2">
      <c r="A37" s="105" t="s">
        <v>370</v>
      </c>
      <c r="E37" s="103"/>
      <c r="H37" s="102"/>
      <c r="K37" s="102"/>
      <c r="N37" s="102"/>
      <c r="Q37" s="102"/>
      <c r="T37" s="102"/>
      <c r="W37" s="102"/>
      <c r="Z37" s="102"/>
      <c r="AC37" s="102"/>
      <c r="AF37" s="179"/>
      <c r="AI37" s="102"/>
      <c r="AL37" s="102"/>
      <c r="AM37" s="103"/>
      <c r="AN37" s="103"/>
      <c r="AO37" s="101" t="str">
        <f t="shared" si="1"/>
        <v xml:space="preserve">New Taiwan Dollar </v>
      </c>
      <c r="AR37" s="102"/>
      <c r="AU37" s="102"/>
      <c r="AX37" s="102"/>
      <c r="BA37" s="102"/>
      <c r="BD37" s="102"/>
      <c r="BG37" s="102"/>
      <c r="BJ37" s="102"/>
      <c r="BM37" s="102"/>
      <c r="BN37" s="103"/>
      <c r="BO37" s="103"/>
      <c r="BP37" s="102"/>
      <c r="BS37" s="104">
        <f t="shared" si="0"/>
        <v>0</v>
      </c>
    </row>
    <row r="38" spans="1:71" s="11" customFormat="1" ht="13.2">
      <c r="A38" s="105" t="s">
        <v>371</v>
      </c>
      <c r="E38" s="103"/>
      <c r="H38" s="102"/>
      <c r="K38" s="102"/>
      <c r="N38" s="102"/>
      <c r="Q38" s="102"/>
      <c r="T38" s="102"/>
      <c r="W38" s="102"/>
      <c r="Z38" s="102"/>
      <c r="AC38" s="102"/>
      <c r="AF38" s="179"/>
      <c r="AI38" s="102"/>
      <c r="AL38" s="102"/>
      <c r="AM38" s="103"/>
      <c r="AN38" s="103"/>
      <c r="AO38" s="101" t="str">
        <f t="shared" si="1"/>
        <v xml:space="preserve">New Zealand Dollar </v>
      </c>
      <c r="AR38" s="102"/>
      <c r="AU38" s="102"/>
      <c r="AX38" s="102"/>
      <c r="BA38" s="102"/>
      <c r="BD38" s="102"/>
      <c r="BG38" s="102"/>
      <c r="BJ38" s="102"/>
      <c r="BM38" s="102"/>
      <c r="BN38" s="103"/>
      <c r="BO38" s="103"/>
      <c r="BP38" s="102"/>
      <c r="BS38" s="104">
        <f t="shared" si="0"/>
        <v>0</v>
      </c>
    </row>
    <row r="39" spans="1:71" s="11" customFormat="1" ht="13.2">
      <c r="A39" s="105" t="s">
        <v>383</v>
      </c>
      <c r="E39" s="103"/>
      <c r="H39" s="102"/>
      <c r="K39" s="102"/>
      <c r="N39" s="102"/>
      <c r="Q39" s="102"/>
      <c r="T39" s="102"/>
      <c r="W39" s="102"/>
      <c r="Z39" s="102"/>
      <c r="AC39" s="102"/>
      <c r="AF39" s="179"/>
      <c r="AI39" s="102"/>
      <c r="AL39" s="102"/>
      <c r="AM39" s="103"/>
      <c r="AN39" s="103"/>
      <c r="AO39" s="101" t="str">
        <f t="shared" si="1"/>
        <v xml:space="preserve">Norwegian Krone </v>
      </c>
      <c r="AR39" s="102"/>
      <c r="AU39" s="102"/>
      <c r="AX39" s="102"/>
      <c r="BA39" s="102"/>
      <c r="BD39" s="102"/>
      <c r="BG39" s="102"/>
      <c r="BJ39" s="102"/>
      <c r="BM39" s="102"/>
      <c r="BN39" s="103"/>
      <c r="BO39" s="103"/>
      <c r="BP39" s="102"/>
      <c r="BS39" s="104">
        <f t="shared" si="0"/>
        <v>0</v>
      </c>
    </row>
    <row r="40" spans="1:71" s="11" customFormat="1" ht="13.2">
      <c r="A40" s="105" t="s">
        <v>3966</v>
      </c>
      <c r="E40" s="103"/>
      <c r="H40" s="102"/>
      <c r="K40" s="102"/>
      <c r="N40" s="102"/>
      <c r="Q40" s="102"/>
      <c r="T40" s="102"/>
      <c r="W40" s="102"/>
      <c r="Z40" s="102"/>
      <c r="AC40" s="102"/>
      <c r="AF40" s="179"/>
      <c r="AI40" s="102"/>
      <c r="AL40" s="102"/>
      <c r="AM40" s="103"/>
      <c r="AN40" s="103"/>
      <c r="AO40" s="101" t="str">
        <f t="shared" si="1"/>
        <v xml:space="preserve">Pakistani Rupee </v>
      </c>
      <c r="AR40" s="102"/>
      <c r="AU40" s="102"/>
      <c r="AX40" s="102"/>
      <c r="BA40" s="102"/>
      <c r="BD40" s="102"/>
      <c r="BG40" s="102"/>
      <c r="BJ40" s="102"/>
      <c r="BM40" s="102"/>
      <c r="BN40" s="103"/>
      <c r="BO40" s="103"/>
      <c r="BP40" s="102"/>
      <c r="BS40" s="104">
        <f t="shared" si="0"/>
        <v>0</v>
      </c>
    </row>
    <row r="41" spans="1:71" s="11" customFormat="1" ht="13.2">
      <c r="A41" s="105" t="s">
        <v>3274</v>
      </c>
      <c r="E41" s="103"/>
      <c r="H41" s="102"/>
      <c r="K41" s="102"/>
      <c r="N41" s="102"/>
      <c r="Q41" s="102"/>
      <c r="T41" s="102"/>
      <c r="W41" s="102"/>
      <c r="Z41" s="102"/>
      <c r="AC41" s="102"/>
      <c r="AF41" s="179"/>
      <c r="AI41" s="102"/>
      <c r="AL41" s="102"/>
      <c r="AM41" s="103"/>
      <c r="AN41" s="103"/>
      <c r="AO41" s="101" t="str">
        <f t="shared" si="1"/>
        <v xml:space="preserve">Peruvian Sol </v>
      </c>
      <c r="AR41" s="102"/>
      <c r="AU41" s="102"/>
      <c r="AX41" s="102"/>
      <c r="BA41" s="102"/>
      <c r="BD41" s="102"/>
      <c r="BG41" s="102"/>
      <c r="BJ41" s="102"/>
      <c r="BM41" s="102"/>
      <c r="BN41" s="103"/>
      <c r="BO41" s="103"/>
      <c r="BP41" s="102"/>
      <c r="BS41" s="104">
        <f t="shared" si="0"/>
        <v>0</v>
      </c>
    </row>
    <row r="42" spans="1:71" s="11" customFormat="1" ht="13.2">
      <c r="A42" s="105" t="s">
        <v>384</v>
      </c>
      <c r="C42" s="97"/>
      <c r="D42" s="97"/>
      <c r="E42" s="103"/>
      <c r="H42" s="102"/>
      <c r="K42" s="102"/>
      <c r="N42" s="102"/>
      <c r="Q42" s="102"/>
      <c r="T42" s="102"/>
      <c r="W42" s="102"/>
      <c r="Z42" s="102"/>
      <c r="AC42" s="102"/>
      <c r="AF42" s="179"/>
      <c r="AI42" s="102"/>
      <c r="AL42" s="102"/>
      <c r="AM42" s="103"/>
      <c r="AN42" s="103"/>
      <c r="AO42" s="101" t="str">
        <f t="shared" si="1"/>
        <v xml:space="preserve">Philippines Peso </v>
      </c>
      <c r="AR42" s="102"/>
      <c r="AU42" s="102"/>
      <c r="AX42" s="102"/>
      <c r="BA42" s="102"/>
      <c r="BD42" s="102"/>
      <c r="BG42" s="102"/>
      <c r="BJ42" s="102"/>
      <c r="BM42" s="102"/>
      <c r="BN42" s="103"/>
      <c r="BO42" s="103"/>
      <c r="BP42" s="102"/>
      <c r="BS42" s="104">
        <f t="shared" si="0"/>
        <v>0</v>
      </c>
    </row>
    <row r="43" spans="1:71" s="11" customFormat="1" ht="13.2">
      <c r="A43" s="105" t="s">
        <v>385</v>
      </c>
      <c r="E43" s="103"/>
      <c r="H43" s="102"/>
      <c r="K43" s="102"/>
      <c r="N43" s="102"/>
      <c r="Q43" s="102"/>
      <c r="T43" s="102"/>
      <c r="W43" s="102"/>
      <c r="Z43" s="102"/>
      <c r="AC43" s="102"/>
      <c r="AF43" s="179"/>
      <c r="AI43" s="102"/>
      <c r="AL43" s="102"/>
      <c r="AM43" s="103"/>
      <c r="AN43" s="103"/>
      <c r="AO43" s="101" t="str">
        <f t="shared" si="1"/>
        <v xml:space="preserve">Polish Zloty </v>
      </c>
      <c r="AR43" s="102"/>
      <c r="AU43" s="102"/>
      <c r="AX43" s="102"/>
      <c r="BA43" s="102"/>
      <c r="BD43" s="102"/>
      <c r="BG43" s="102"/>
      <c r="BJ43" s="102"/>
      <c r="BM43" s="102"/>
      <c r="BN43" s="103"/>
      <c r="BO43" s="103"/>
      <c r="BP43" s="102"/>
      <c r="BS43" s="104">
        <f t="shared" si="0"/>
        <v>0</v>
      </c>
    </row>
    <row r="44" spans="1:71" s="11" customFormat="1" ht="13.2">
      <c r="A44" s="105" t="s">
        <v>3273</v>
      </c>
      <c r="E44" s="103"/>
      <c r="H44" s="102"/>
      <c r="K44" s="102"/>
      <c r="N44" s="102"/>
      <c r="Q44" s="102"/>
      <c r="T44" s="102"/>
      <c r="W44" s="102"/>
      <c r="Z44" s="102"/>
      <c r="AC44" s="102"/>
      <c r="AF44" s="179"/>
      <c r="AI44" s="102"/>
      <c r="AL44" s="102"/>
      <c r="AM44" s="103"/>
      <c r="AN44" s="103"/>
      <c r="AO44" s="101" t="str">
        <f t="shared" ref="AO44" si="8">A44</f>
        <v>Russian Ruble</v>
      </c>
      <c r="AR44" s="102"/>
      <c r="AU44" s="102"/>
      <c r="AX44" s="102"/>
      <c r="BA44" s="102"/>
      <c r="BD44" s="102"/>
      <c r="BG44" s="102"/>
      <c r="BJ44" s="102"/>
      <c r="BM44" s="102"/>
      <c r="BN44" s="103"/>
      <c r="BO44" s="103"/>
      <c r="BP44" s="102"/>
      <c r="BS44" s="104">
        <f t="shared" ref="BS44" si="9">SUM(H44:BP44)</f>
        <v>0</v>
      </c>
    </row>
    <row r="45" spans="1:71" s="11" customFormat="1" ht="13.2">
      <c r="A45" s="105" t="s">
        <v>386</v>
      </c>
      <c r="E45" s="103"/>
      <c r="H45" s="102"/>
      <c r="K45" s="102"/>
      <c r="N45" s="102"/>
      <c r="Q45" s="102"/>
      <c r="T45" s="102"/>
      <c r="W45" s="102"/>
      <c r="Z45" s="102"/>
      <c r="AC45" s="102"/>
      <c r="AF45" s="179"/>
      <c r="AI45" s="102"/>
      <c r="AL45" s="102"/>
      <c r="AM45" s="103"/>
      <c r="AN45" s="103"/>
      <c r="AO45" s="101" t="str">
        <f t="shared" si="1"/>
        <v xml:space="preserve">Singapore Dollar </v>
      </c>
      <c r="AR45" s="102"/>
      <c r="AU45" s="102"/>
      <c r="AX45" s="102"/>
      <c r="BA45" s="102"/>
      <c r="BD45" s="102"/>
      <c r="BG45" s="102"/>
      <c r="BJ45" s="102"/>
      <c r="BM45" s="102"/>
      <c r="BN45" s="103"/>
      <c r="BO45" s="103"/>
      <c r="BP45" s="102"/>
      <c r="BS45" s="104">
        <f t="shared" si="0"/>
        <v>0</v>
      </c>
    </row>
    <row r="46" spans="1:71" s="11" customFormat="1" ht="13.2">
      <c r="A46" s="105" t="s">
        <v>2666</v>
      </c>
      <c r="E46" s="103"/>
      <c r="H46" s="102"/>
      <c r="K46" s="102"/>
      <c r="N46" s="102"/>
      <c r="Q46" s="102"/>
      <c r="T46" s="102"/>
      <c r="W46" s="102"/>
      <c r="Z46" s="102"/>
      <c r="AC46" s="102"/>
      <c r="AF46" s="179"/>
      <c r="AI46" s="102"/>
      <c r="AL46" s="102"/>
      <c r="AM46" s="103"/>
      <c r="AN46" s="103"/>
      <c r="AO46" s="101" t="str">
        <f t="shared" si="1"/>
        <v xml:space="preserve">South African Rand </v>
      </c>
      <c r="AR46" s="102"/>
      <c r="AU46" s="102"/>
      <c r="AX46" s="102"/>
      <c r="BA46" s="102"/>
      <c r="BD46" s="102"/>
      <c r="BG46" s="102"/>
      <c r="BJ46" s="102"/>
      <c r="BM46" s="102"/>
      <c r="BN46" s="103"/>
      <c r="BO46" s="103"/>
      <c r="BP46" s="102"/>
      <c r="BS46" s="104">
        <f>SUM(H46:BP46)</f>
        <v>0</v>
      </c>
    </row>
    <row r="47" spans="1:71" s="11" customFormat="1" ht="13.2">
      <c r="A47" s="105" t="s">
        <v>387</v>
      </c>
      <c r="E47" s="103"/>
      <c r="H47" s="102"/>
      <c r="K47" s="102"/>
      <c r="N47" s="102"/>
      <c r="Q47" s="102"/>
      <c r="T47" s="102"/>
      <c r="W47" s="102"/>
      <c r="Z47" s="102"/>
      <c r="AC47" s="102"/>
      <c r="AF47" s="179"/>
      <c r="AI47" s="102"/>
      <c r="AL47" s="102"/>
      <c r="AM47" s="103"/>
      <c r="AN47" s="103"/>
      <c r="AO47" s="101" t="str">
        <f t="shared" si="1"/>
        <v xml:space="preserve">South Korean Won </v>
      </c>
      <c r="AR47" s="102"/>
      <c r="AU47" s="102"/>
      <c r="AX47" s="102"/>
      <c r="BA47" s="102"/>
      <c r="BD47" s="102"/>
      <c r="BG47" s="102"/>
      <c r="BJ47" s="102"/>
      <c r="BM47" s="102"/>
      <c r="BN47" s="103"/>
      <c r="BO47" s="103"/>
      <c r="BP47" s="102"/>
      <c r="BS47" s="104">
        <f t="shared" si="0"/>
        <v>0</v>
      </c>
    </row>
    <row r="48" spans="1:71" s="11" customFormat="1" ht="13.2">
      <c r="A48" s="105" t="s">
        <v>388</v>
      </c>
      <c r="E48" s="103"/>
      <c r="H48" s="102"/>
      <c r="K48" s="102"/>
      <c r="N48" s="102"/>
      <c r="Q48" s="102"/>
      <c r="T48" s="102"/>
      <c r="W48" s="102"/>
      <c r="Z48" s="102"/>
      <c r="AC48" s="102"/>
      <c r="AF48" s="179"/>
      <c r="AI48" s="102"/>
      <c r="AL48" s="102"/>
      <c r="AM48" s="103"/>
      <c r="AN48" s="103"/>
      <c r="AO48" s="101" t="str">
        <f t="shared" si="1"/>
        <v xml:space="preserve">Sri Lanka Rupee </v>
      </c>
      <c r="AR48" s="102"/>
      <c r="AU48" s="102"/>
      <c r="AX48" s="102"/>
      <c r="BA48" s="102"/>
      <c r="BD48" s="102"/>
      <c r="BG48" s="102"/>
      <c r="BJ48" s="102"/>
      <c r="BM48" s="102"/>
      <c r="BN48" s="103"/>
      <c r="BO48" s="103"/>
      <c r="BP48" s="102"/>
      <c r="BS48" s="104">
        <f t="shared" si="0"/>
        <v>0</v>
      </c>
    </row>
    <row r="49" spans="1:71" s="11" customFormat="1" ht="13.2">
      <c r="A49" s="105" t="s">
        <v>389</v>
      </c>
      <c r="E49" s="103"/>
      <c r="H49" s="102"/>
      <c r="K49" s="102"/>
      <c r="N49" s="102"/>
      <c r="Q49" s="102"/>
      <c r="T49" s="102"/>
      <c r="W49" s="102"/>
      <c r="Z49" s="102"/>
      <c r="AC49" s="102"/>
      <c r="AF49" s="179"/>
      <c r="AI49" s="102"/>
      <c r="AL49" s="102"/>
      <c r="AM49" s="103"/>
      <c r="AN49" s="103"/>
      <c r="AO49" s="101" t="str">
        <f t="shared" si="1"/>
        <v xml:space="preserve">Swedish Krona </v>
      </c>
      <c r="AR49" s="102"/>
      <c r="AU49" s="102"/>
      <c r="AX49" s="102"/>
      <c r="BA49" s="102"/>
      <c r="BD49" s="102"/>
      <c r="BG49" s="102"/>
      <c r="BJ49" s="102"/>
      <c r="BM49" s="102"/>
      <c r="BN49" s="103"/>
      <c r="BO49" s="103"/>
      <c r="BP49" s="102"/>
      <c r="BS49" s="104">
        <f t="shared" si="0"/>
        <v>0</v>
      </c>
    </row>
    <row r="50" spans="1:71" s="11" customFormat="1" ht="13.2">
      <c r="A50" s="105" t="s">
        <v>390</v>
      </c>
      <c r="E50" s="103"/>
      <c r="H50" s="102"/>
      <c r="K50" s="102"/>
      <c r="N50" s="102"/>
      <c r="Q50" s="102"/>
      <c r="T50" s="102"/>
      <c r="W50" s="102"/>
      <c r="Z50" s="102"/>
      <c r="AC50" s="102"/>
      <c r="AF50" s="179"/>
      <c r="AI50" s="102"/>
      <c r="AL50" s="102"/>
      <c r="AM50" s="103"/>
      <c r="AN50" s="103"/>
      <c r="AO50" s="101" t="str">
        <f t="shared" si="1"/>
        <v xml:space="preserve">Swiss Franc </v>
      </c>
      <c r="AR50" s="102"/>
      <c r="AU50" s="102"/>
      <c r="AX50" s="102"/>
      <c r="BA50" s="102"/>
      <c r="BD50" s="102"/>
      <c r="BG50" s="102"/>
      <c r="BJ50" s="102"/>
      <c r="BM50" s="102"/>
      <c r="BN50" s="103"/>
      <c r="BO50" s="103"/>
      <c r="BP50" s="102"/>
      <c r="BS50" s="104">
        <f t="shared" si="0"/>
        <v>0</v>
      </c>
    </row>
    <row r="51" spans="1:71" s="11" customFormat="1" ht="13.2">
      <c r="A51" s="105" t="s">
        <v>391</v>
      </c>
      <c r="E51" s="103"/>
      <c r="H51" s="102"/>
      <c r="K51" s="102"/>
      <c r="N51" s="102"/>
      <c r="Q51" s="102"/>
      <c r="T51" s="102"/>
      <c r="W51" s="102"/>
      <c r="Z51" s="102"/>
      <c r="AC51" s="102"/>
      <c r="AF51" s="179"/>
      <c r="AI51" s="102"/>
      <c r="AL51" s="102"/>
      <c r="AM51" s="103"/>
      <c r="AN51" s="103"/>
      <c r="AO51" s="101" t="str">
        <f t="shared" si="1"/>
        <v xml:space="preserve">Thailand Baht </v>
      </c>
      <c r="AR51" s="102"/>
      <c r="AU51" s="102"/>
      <c r="AX51" s="102"/>
      <c r="BA51" s="102"/>
      <c r="BD51" s="102"/>
      <c r="BG51" s="102"/>
      <c r="BJ51" s="102"/>
      <c r="BM51" s="102"/>
      <c r="BN51" s="103"/>
      <c r="BO51" s="103"/>
      <c r="BP51" s="102"/>
      <c r="BS51" s="104">
        <f t="shared" si="0"/>
        <v>0</v>
      </c>
    </row>
    <row r="52" spans="1:71" s="11" customFormat="1" ht="13.2">
      <c r="A52" s="105" t="s">
        <v>392</v>
      </c>
      <c r="E52" s="103"/>
      <c r="H52" s="102"/>
      <c r="K52" s="102"/>
      <c r="N52" s="102"/>
      <c r="Q52" s="102"/>
      <c r="T52" s="102"/>
      <c r="W52" s="102"/>
      <c r="Z52" s="102"/>
      <c r="AC52" s="102"/>
      <c r="AF52" s="179"/>
      <c r="AI52" s="102"/>
      <c r="AL52" s="102"/>
      <c r="AM52" s="103"/>
      <c r="AN52" s="103"/>
      <c r="AO52" s="101" t="str">
        <f t="shared" si="1"/>
        <v xml:space="preserve">Turkish Lira </v>
      </c>
      <c r="AR52" s="102"/>
      <c r="AU52" s="102"/>
      <c r="AX52" s="102"/>
      <c r="BA52" s="102"/>
      <c r="BD52" s="102"/>
      <c r="BG52" s="102"/>
      <c r="BJ52" s="102"/>
      <c r="BM52" s="102"/>
      <c r="BN52" s="103"/>
      <c r="BO52" s="103"/>
      <c r="BP52" s="102"/>
      <c r="BS52" s="104">
        <f t="shared" si="0"/>
        <v>0</v>
      </c>
    </row>
    <row r="53" spans="1:71" s="11" customFormat="1" ht="13.2">
      <c r="A53" s="105" t="s">
        <v>3901</v>
      </c>
      <c r="E53" s="103"/>
      <c r="H53" s="102"/>
      <c r="K53" s="102"/>
      <c r="N53" s="102"/>
      <c r="Q53" s="102"/>
      <c r="T53" s="102"/>
      <c r="W53" s="102"/>
      <c r="Z53" s="102"/>
      <c r="AC53" s="102"/>
      <c r="AF53" s="179"/>
      <c r="AI53" s="102"/>
      <c r="AL53" s="102"/>
      <c r="AM53" s="103"/>
      <c r="AN53" s="103"/>
      <c r="AO53" s="101" t="str">
        <f t="shared" si="1"/>
        <v>United Arab Emirates Dollar</v>
      </c>
      <c r="AR53" s="102"/>
      <c r="AU53" s="102"/>
      <c r="AX53" s="102"/>
      <c r="BA53" s="102"/>
      <c r="BD53" s="102"/>
      <c r="BG53" s="102"/>
      <c r="BJ53" s="102"/>
      <c r="BM53" s="102"/>
      <c r="BN53" s="103"/>
      <c r="BO53" s="103"/>
      <c r="BP53" s="102"/>
      <c r="BS53" s="104">
        <f t="shared" ref="BS53" si="10">SUM(H53:BP53)</f>
        <v>0</v>
      </c>
    </row>
    <row r="54" spans="1:71" s="11" customFormat="1" ht="13.2">
      <c r="A54" s="105" t="s">
        <v>3902</v>
      </c>
      <c r="E54" s="103"/>
      <c r="H54" s="102"/>
      <c r="K54" s="102"/>
      <c r="N54" s="102"/>
      <c r="Q54" s="102"/>
      <c r="T54" s="102"/>
      <c r="W54" s="102"/>
      <c r="Z54" s="102"/>
      <c r="AC54" s="102"/>
      <c r="AF54" s="179"/>
      <c r="AI54" s="102"/>
      <c r="AL54" s="102"/>
      <c r="AM54" s="103"/>
      <c r="AN54" s="103"/>
      <c r="AO54" s="101" t="str">
        <f t="shared" ref="AO54" si="11">A54</f>
        <v>Uruguayan Peso</v>
      </c>
      <c r="AR54" s="102"/>
      <c r="AU54" s="102"/>
      <c r="AX54" s="102"/>
      <c r="BA54" s="102"/>
      <c r="BD54" s="102"/>
      <c r="BG54" s="102"/>
      <c r="BJ54" s="102"/>
      <c r="BM54" s="102"/>
      <c r="BN54" s="103"/>
      <c r="BO54" s="103"/>
      <c r="BP54" s="102"/>
      <c r="BS54" s="104">
        <f t="shared" ref="BS54" si="12">SUM(H54:BP54)</f>
        <v>0</v>
      </c>
    </row>
    <row r="55" spans="1:71" s="11" customFormat="1" ht="13.2">
      <c r="A55" s="105" t="s">
        <v>3239</v>
      </c>
      <c r="E55" s="103"/>
      <c r="H55" s="102"/>
      <c r="K55" s="102"/>
      <c r="N55" s="102"/>
      <c r="Q55" s="102"/>
      <c r="T55" s="102"/>
      <c r="W55" s="102"/>
      <c r="Z55" s="102"/>
      <c r="AC55" s="102"/>
      <c r="AF55" s="179"/>
      <c r="AI55" s="102"/>
      <c r="AL55" s="102"/>
      <c r="AM55" s="103"/>
      <c r="AN55" s="103"/>
      <c r="AO55" s="101" t="str">
        <f t="shared" si="1"/>
        <v>U.S Dollar</v>
      </c>
      <c r="AR55" s="102"/>
      <c r="AU55" s="102"/>
      <c r="AX55" s="102"/>
      <c r="BA55" s="102"/>
      <c r="BD55" s="102"/>
      <c r="BG55" s="102"/>
      <c r="BJ55" s="102"/>
      <c r="BM55" s="102"/>
      <c r="BN55" s="103"/>
      <c r="BO55" s="103"/>
      <c r="BP55" s="102"/>
      <c r="BS55" s="104">
        <f t="shared" ref="BS55" si="13">SUM(H55:BP55)</f>
        <v>0</v>
      </c>
    </row>
    <row r="56" spans="1:71" s="11" customFormat="1" ht="13.2">
      <c r="A56" s="105" t="s">
        <v>393</v>
      </c>
      <c r="E56" s="103"/>
      <c r="H56" s="433"/>
      <c r="K56" s="433"/>
      <c r="N56" s="433"/>
      <c r="Q56" s="433"/>
      <c r="T56" s="433"/>
      <c r="W56" s="433"/>
      <c r="Z56" s="433"/>
      <c r="AC56" s="433"/>
      <c r="AF56" s="433"/>
      <c r="AI56" s="433"/>
      <c r="AL56" s="433"/>
      <c r="AM56" s="103"/>
      <c r="AN56" s="103"/>
      <c r="AO56" s="101" t="str">
        <f t="shared" si="1"/>
        <v>Other (Please list)</v>
      </c>
      <c r="AR56" s="433"/>
      <c r="AU56" s="433"/>
      <c r="AX56" s="433"/>
      <c r="BA56" s="433"/>
      <c r="BD56" s="433"/>
      <c r="BG56" s="433"/>
      <c r="BJ56" s="433"/>
      <c r="BM56" s="433"/>
      <c r="BN56" s="103"/>
      <c r="BO56" s="103"/>
      <c r="BP56" s="433"/>
      <c r="BS56" s="209"/>
    </row>
    <row r="57" spans="1:71" s="11" customFormat="1" ht="13.2">
      <c r="A57" s="105"/>
      <c r="B57" s="6"/>
      <c r="E57" s="103"/>
      <c r="H57" s="102"/>
      <c r="K57" s="102"/>
      <c r="N57" s="102"/>
      <c r="Q57" s="102"/>
      <c r="T57" s="102"/>
      <c r="W57" s="102"/>
      <c r="Z57" s="102"/>
      <c r="AC57" s="102"/>
      <c r="AF57" s="179"/>
      <c r="AI57" s="102"/>
      <c r="AL57" s="102"/>
      <c r="AM57" s="103"/>
      <c r="AN57" s="103"/>
      <c r="AO57" s="6"/>
      <c r="AR57" s="102"/>
      <c r="AU57" s="102"/>
      <c r="AX57" s="102"/>
      <c r="BA57" s="102"/>
      <c r="BD57" s="102"/>
      <c r="BG57" s="102"/>
      <c r="BJ57" s="102"/>
      <c r="BM57" s="102"/>
      <c r="BN57" s="103"/>
      <c r="BO57" s="103"/>
      <c r="BP57" s="102"/>
      <c r="BS57" s="104">
        <f t="shared" si="0"/>
        <v>0</v>
      </c>
    </row>
    <row r="58" spans="1:71" s="11" customFormat="1" ht="13.2">
      <c r="A58" s="105"/>
      <c r="B58" s="6"/>
      <c r="E58" s="103"/>
      <c r="H58" s="102"/>
      <c r="K58" s="102"/>
      <c r="N58" s="102"/>
      <c r="Q58" s="102"/>
      <c r="T58" s="102"/>
      <c r="W58" s="102"/>
      <c r="Z58" s="102"/>
      <c r="AC58" s="102"/>
      <c r="AF58" s="179"/>
      <c r="AI58" s="102"/>
      <c r="AL58" s="102"/>
      <c r="AM58" s="103"/>
      <c r="AN58" s="103"/>
      <c r="AO58" s="6"/>
      <c r="AR58" s="102"/>
      <c r="AU58" s="102"/>
      <c r="AX58" s="102"/>
      <c r="BA58" s="102"/>
      <c r="BD58" s="102"/>
      <c r="BG58" s="102"/>
      <c r="BJ58" s="102"/>
      <c r="BM58" s="102"/>
      <c r="BN58" s="103"/>
      <c r="BO58" s="103"/>
      <c r="BP58" s="102"/>
      <c r="BS58" s="104">
        <f t="shared" si="0"/>
        <v>0</v>
      </c>
    </row>
    <row r="59" spans="1:71" s="11" customFormat="1" ht="13.2">
      <c r="A59" s="105"/>
      <c r="B59" s="6"/>
      <c r="E59" s="103"/>
      <c r="H59" s="102"/>
      <c r="K59" s="102"/>
      <c r="N59" s="102"/>
      <c r="Q59" s="102"/>
      <c r="T59" s="102"/>
      <c r="W59" s="102"/>
      <c r="Z59" s="102"/>
      <c r="AC59" s="102"/>
      <c r="AF59" s="179"/>
      <c r="AI59" s="102"/>
      <c r="AL59" s="102"/>
      <c r="AM59" s="103"/>
      <c r="AN59" s="103"/>
      <c r="AO59" s="6"/>
      <c r="AR59" s="102"/>
      <c r="AU59" s="102"/>
      <c r="AX59" s="102"/>
      <c r="BA59" s="102"/>
      <c r="BD59" s="102"/>
      <c r="BG59" s="102"/>
      <c r="BJ59" s="102"/>
      <c r="BM59" s="102"/>
      <c r="BN59" s="103"/>
      <c r="BO59" s="103"/>
      <c r="BP59" s="102"/>
      <c r="BS59" s="104">
        <f t="shared" si="0"/>
        <v>0</v>
      </c>
    </row>
    <row r="60" spans="1:71" s="11" customFormat="1" ht="13.2">
      <c r="A60" s="105"/>
      <c r="B60" s="6"/>
      <c r="E60" s="103"/>
      <c r="H60" s="102"/>
      <c r="K60" s="102"/>
      <c r="N60" s="102"/>
      <c r="Q60" s="102"/>
      <c r="T60" s="102"/>
      <c r="W60" s="102"/>
      <c r="Z60" s="102"/>
      <c r="AC60" s="102"/>
      <c r="AF60" s="179"/>
      <c r="AI60" s="102"/>
      <c r="AL60" s="102"/>
      <c r="AM60" s="103"/>
      <c r="AN60" s="103"/>
      <c r="AO60" s="6"/>
      <c r="AR60" s="102"/>
      <c r="AU60" s="102"/>
      <c r="AX60" s="102"/>
      <c r="BA60" s="102"/>
      <c r="BD60" s="102"/>
      <c r="BG60" s="102"/>
      <c r="BJ60" s="102"/>
      <c r="BM60" s="102"/>
      <c r="BN60" s="103"/>
      <c r="BO60" s="103"/>
      <c r="BP60" s="102"/>
      <c r="BS60" s="104">
        <f t="shared" si="0"/>
        <v>0</v>
      </c>
    </row>
    <row r="61" spans="1:71" s="11" customFormat="1" ht="13.2">
      <c r="A61" s="105"/>
      <c r="B61" s="6"/>
      <c r="E61" s="103"/>
      <c r="H61" s="102"/>
      <c r="K61" s="102"/>
      <c r="N61" s="102"/>
      <c r="Q61" s="102"/>
      <c r="T61" s="102"/>
      <c r="W61" s="102"/>
      <c r="Z61" s="102"/>
      <c r="AC61" s="102"/>
      <c r="AF61" s="179"/>
      <c r="AI61" s="102"/>
      <c r="AL61" s="102"/>
      <c r="AM61" s="103"/>
      <c r="AN61" s="103"/>
      <c r="AO61" s="6"/>
      <c r="AR61" s="102"/>
      <c r="AU61" s="102"/>
      <c r="AX61" s="102"/>
      <c r="BA61" s="102"/>
      <c r="BD61" s="102"/>
      <c r="BG61" s="102"/>
      <c r="BJ61" s="102"/>
      <c r="BM61" s="102"/>
      <c r="BN61" s="103"/>
      <c r="BO61" s="103"/>
      <c r="BP61" s="102"/>
      <c r="BS61" s="104">
        <f t="shared" si="0"/>
        <v>0</v>
      </c>
    </row>
    <row r="62" spans="1:71" s="11" customFormat="1" ht="13.2">
      <c r="A62" s="105"/>
      <c r="B62" s="6"/>
      <c r="E62" s="103"/>
      <c r="H62" s="102"/>
      <c r="K62" s="102"/>
      <c r="N62" s="102"/>
      <c r="Q62" s="102"/>
      <c r="T62" s="102"/>
      <c r="W62" s="102"/>
      <c r="Z62" s="102"/>
      <c r="AC62" s="102"/>
      <c r="AF62" s="179"/>
      <c r="AI62" s="102"/>
      <c r="AL62" s="102"/>
      <c r="AM62" s="103"/>
      <c r="AN62" s="103"/>
      <c r="AO62" s="6"/>
      <c r="AR62" s="102"/>
      <c r="AU62" s="102"/>
      <c r="AX62" s="102"/>
      <c r="BA62" s="102"/>
      <c r="BD62" s="102"/>
      <c r="BG62" s="102"/>
      <c r="BJ62" s="102"/>
      <c r="BM62" s="102"/>
      <c r="BN62" s="103"/>
      <c r="BO62" s="103"/>
      <c r="BP62" s="102"/>
      <c r="BS62" s="104">
        <f t="shared" si="0"/>
        <v>0</v>
      </c>
    </row>
    <row r="63" spans="1:71" s="11" customFormat="1" ht="13.8" thickBot="1">
      <c r="A63" s="97"/>
      <c r="E63" s="107"/>
      <c r="G63" s="106" t="s">
        <v>102</v>
      </c>
      <c r="H63" s="198">
        <f>SUM(H14:H62)</f>
        <v>0</v>
      </c>
      <c r="J63" s="106" t="s">
        <v>102</v>
      </c>
      <c r="K63" s="198">
        <f>SUM(K14:K62)</f>
        <v>0</v>
      </c>
      <c r="M63" s="106" t="s">
        <v>102</v>
      </c>
      <c r="N63" s="198">
        <f>SUM(N14:N62)</f>
        <v>0</v>
      </c>
      <c r="P63" s="106" t="s">
        <v>102</v>
      </c>
      <c r="Q63" s="198">
        <f>SUM(Q14:Q62)</f>
        <v>0</v>
      </c>
      <c r="S63" s="106" t="s">
        <v>102</v>
      </c>
      <c r="T63" s="198">
        <f>SUM(T14:T62)</f>
        <v>0</v>
      </c>
      <c r="V63" s="106" t="s">
        <v>102</v>
      </c>
      <c r="W63" s="198">
        <f>SUM(W14:W62)</f>
        <v>0</v>
      </c>
      <c r="Y63" s="106" t="s">
        <v>102</v>
      </c>
      <c r="Z63" s="198">
        <f>SUM(Z14:Z62)</f>
        <v>0</v>
      </c>
      <c r="AB63" s="106" t="s">
        <v>102</v>
      </c>
      <c r="AC63" s="198">
        <f>SUM(AC14:AC62)</f>
        <v>0</v>
      </c>
      <c r="AE63" s="106" t="s">
        <v>102</v>
      </c>
      <c r="AF63" s="198">
        <f>SUM(AF14:AF62)</f>
        <v>0</v>
      </c>
      <c r="AH63" s="106" t="s">
        <v>102</v>
      </c>
      <c r="AI63" s="198">
        <f>SUM(AI14:AI62)</f>
        <v>0</v>
      </c>
      <c r="AK63" s="106" t="s">
        <v>102</v>
      </c>
      <c r="AL63" s="198">
        <f>SUM(AL14:AL62)</f>
        <v>0</v>
      </c>
      <c r="AM63" s="107"/>
      <c r="AN63" s="107"/>
      <c r="AQ63" s="106" t="s">
        <v>102</v>
      </c>
      <c r="AR63" s="198">
        <f>SUM(AR14:AR62)</f>
        <v>0</v>
      </c>
      <c r="AT63" s="106" t="s">
        <v>102</v>
      </c>
      <c r="AU63" s="198">
        <f>SUM(AU14:AU62)</f>
        <v>0</v>
      </c>
      <c r="AW63" s="106" t="s">
        <v>102</v>
      </c>
      <c r="AX63" s="198">
        <f>SUM(AX14:AX62)</f>
        <v>0</v>
      </c>
      <c r="AZ63" s="106" t="s">
        <v>102</v>
      </c>
      <c r="BA63" s="198">
        <f>SUM(BA14:BA62)</f>
        <v>0</v>
      </c>
      <c r="BC63" s="106" t="s">
        <v>102</v>
      </c>
      <c r="BD63" s="198">
        <f>SUM(BD14:BD62)</f>
        <v>0</v>
      </c>
      <c r="BF63" s="106" t="s">
        <v>102</v>
      </c>
      <c r="BG63" s="198">
        <f>SUM(BG14:BG62)</f>
        <v>0</v>
      </c>
      <c r="BI63" s="106" t="s">
        <v>102</v>
      </c>
      <c r="BJ63" s="198">
        <f>SUM(BJ14:BJ62)</f>
        <v>0</v>
      </c>
      <c r="BL63" s="106" t="s">
        <v>102</v>
      </c>
      <c r="BM63" s="198">
        <f>SUM(BM14:BM62)</f>
        <v>0</v>
      </c>
      <c r="BN63" s="74"/>
      <c r="BO63" s="106" t="s">
        <v>102</v>
      </c>
      <c r="BP63" s="198">
        <f>SUM(BP14:BP62)</f>
        <v>0</v>
      </c>
      <c r="BR63" s="106" t="s">
        <v>102</v>
      </c>
      <c r="BS63" s="199">
        <f>SUM(BS14:BS62)</f>
        <v>0</v>
      </c>
    </row>
    <row r="64" spans="1:71" s="11" customFormat="1" ht="13.8" thickTop="1">
      <c r="A64" s="97"/>
      <c r="BS64" s="95" t="str">
        <f>IF(BS63='Tab 1A-GASB 3-40'!G118,"Agrees","Error")</f>
        <v>Agrees</v>
      </c>
    </row>
    <row r="65" spans="1:71" s="11" customFormat="1" ht="13.2">
      <c r="A65" s="97"/>
      <c r="BP65" s="166" t="s">
        <v>44</v>
      </c>
      <c r="BS65" s="164">
        <f>BS63-'Tab 1A-GASB 3-40'!G118</f>
        <v>0</v>
      </c>
    </row>
    <row r="66" spans="1:71" s="11" customFormat="1" ht="13.2">
      <c r="A66" s="97"/>
    </row>
    <row r="67" spans="1:71" s="11" customFormat="1" ht="13.2">
      <c r="A67" s="97"/>
    </row>
    <row r="68" spans="1:71" s="11" customFormat="1" ht="13.2">
      <c r="A68" s="97"/>
    </row>
    <row r="69" spans="1:71" s="11" customFormat="1" ht="13.2">
      <c r="A69" s="97"/>
    </row>
    <row r="70" spans="1:71" s="11" customFormat="1" ht="13.2">
      <c r="A70" s="97"/>
    </row>
    <row r="71" spans="1:71" s="11" customFormat="1" ht="13.2">
      <c r="A71" s="97"/>
    </row>
    <row r="72" spans="1:71" s="11" customFormat="1" ht="13.2"/>
  </sheetData>
  <sheetProtection algorithmName="SHA-512" hashValue="Pt9k8JlyTo5Ff1HjsKbFoQndlfEEUfz6lKBUq2OQaXFBj/VAIVTvdwGrJdXYBioBqyZLf+hHY9LfA9+Fwj6xAA==" saltValue="g+KgWKsTdqtZx3XAjEXbuw==" spinCount="100000" sheet="1" objects="1" scenarios="1"/>
  <mergeCells count="17">
    <mergeCell ref="D4:H4"/>
    <mergeCell ref="A10:H10"/>
    <mergeCell ref="A11:H11"/>
    <mergeCell ref="D5:H5"/>
    <mergeCell ref="D6:H6"/>
    <mergeCell ref="D1:H1"/>
    <mergeCell ref="D2:H2"/>
    <mergeCell ref="C8:G8"/>
    <mergeCell ref="A7:C7"/>
    <mergeCell ref="A5:C5"/>
    <mergeCell ref="A6:C6"/>
    <mergeCell ref="D7:H7"/>
    <mergeCell ref="A1:C1"/>
    <mergeCell ref="A2:C2"/>
    <mergeCell ref="A3:C3"/>
    <mergeCell ref="A4:C4"/>
    <mergeCell ref="D3:H3"/>
  </mergeCells>
  <phoneticPr fontId="46" type="noConversion"/>
  <conditionalFormatting sqref="A11:H11">
    <cfRule type="containsText" dxfId="142" priority="1" operator="containsText" text="Answer Required">
      <formula>NOT(ISERROR(SEARCH("Answer Required",A11)))</formula>
    </cfRule>
  </conditionalFormatting>
  <dataValidations xWindow="659" yWindow="294" count="2">
    <dataValidation type="whole" allowBlank="1" showInputMessage="1" showErrorMessage="1" error="Please enter a whole number only." sqref="AI56 AC56 Z56 W56 T56 Q56 N56 K56 H56 AL56 BJ56 BG56 BD56 AU56 AR56 BA56 BM56 BP56 AX56 BN14:BN17 BO15:BO17 E14:E62 BN17:BO62 AM14:AN62 AF14:AF62" xr:uid="{00000000-0002-0000-0600-000000000000}">
      <formula1>-9999999999999990000</formula1>
      <formula2>9999999999999990000</formula2>
    </dataValidation>
    <dataValidation type="whole" allowBlank="1" showInputMessage="1" showErrorMessage="1" error="Enter a whole number." sqref="AL57:AL62 AI57:AI62 AC57:AC62 Z57:Z62 W57:W62 T57:T62 Q57:Q62 N57:N62 K57:K62 H57:H62 AX57:AX62 BP57:BP62 BM57:BM62 BJ57:BJ62 BG57:BG62 BD57:BD62 AR57:AR62 AU57:AU62 BA57:BA62 H14:H55 K14:K55 N14:N55 Q14:Q55 T14:T55 W14:W55 Z14:Z55 AC14:AC55 AI14:AI55 AL14:AL55 AR14:AR55 AU14:AU55 BD14:BD55 BG14:BG55 BJ14:BJ55 BM14:BM55 BP14:BP55 AX14:AX55 BA14:BA55" xr:uid="{00000000-0002-0000-0600-000001000000}">
      <formula1>-9999999999999</formula1>
      <formula2>9999999999999</formula2>
    </dataValidation>
  </dataValidations>
  <pageMargins left="0.5" right="0.36" top="0.86" bottom="0.72" header="0.44" footer="0.5"/>
  <pageSetup paperSize="5" scale="50" fitToWidth="2" orientation="landscape" cellComments="asDisplayed" r:id="rId1"/>
  <headerFooter alignWithMargins="0">
    <oddHeader>&amp;C&amp;"Times New Roman,Bold"Attachment 11
Internal Service Fund Financial Statement Template
&amp;A</oddHeader>
    <oddFooter>&amp;L&amp;"Times New Roman,Regular"&amp;F\&amp;A&amp;R&amp;"Times New Roman,Regular" Page &amp;P of &amp;N</oddFooter>
  </headerFooter>
  <colBreaks count="1" manualBreakCount="1">
    <brk id="3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93"/>
  <sheetViews>
    <sheetView showGridLines="0" zoomScale="90" zoomScaleNormal="90" zoomScaleSheetLayoutView="90" workbookViewId="0">
      <selection activeCell="C3" sqref="C3:F3"/>
    </sheetView>
  </sheetViews>
  <sheetFormatPr defaultColWidth="9.109375" defaultRowHeight="13.2"/>
  <cols>
    <col min="1" max="1" width="20.33203125" style="11" customWidth="1"/>
    <col min="2" max="2" width="36.5546875" style="11" customWidth="1"/>
    <col min="3" max="3" width="41.109375" style="11" customWidth="1"/>
    <col min="4" max="4" width="19.33203125" style="11" customWidth="1"/>
    <col min="5" max="5" width="9.5546875" style="11" customWidth="1"/>
    <col min="6" max="6" width="16.88671875" style="11" customWidth="1"/>
    <col min="7" max="7" width="9.109375" style="11"/>
    <col min="8" max="8" width="19.44140625" style="11" customWidth="1"/>
    <col min="9" max="16384" width="9.109375" style="11"/>
  </cols>
  <sheetData>
    <row r="1" spans="1:8">
      <c r="A1" s="1164" t="s">
        <v>562</v>
      </c>
      <c r="B1" s="1165"/>
      <c r="C1" s="1166" t="str">
        <f>'Internal Service Template'!E1</f>
        <v/>
      </c>
      <c r="D1" s="1082"/>
      <c r="E1" s="1082"/>
      <c r="F1" s="1083"/>
    </row>
    <row r="2" spans="1:8">
      <c r="A2" s="1164" t="s">
        <v>177</v>
      </c>
      <c r="B2" s="1165"/>
      <c r="C2" s="1166" t="str">
        <f>IF('Internal Service Template'!E2="","",'Internal Service Template'!E2)</f>
        <v/>
      </c>
      <c r="D2" s="1082"/>
      <c r="E2" s="1082"/>
      <c r="F2" s="1083"/>
    </row>
    <row r="3" spans="1:8">
      <c r="A3" s="1164" t="s">
        <v>586</v>
      </c>
      <c r="B3" s="1165"/>
      <c r="C3" s="1167" t="str">
        <f>IF('Internal Service Template'!E3="","",'Internal Service Template'!E3)</f>
        <v/>
      </c>
      <c r="D3" s="1168"/>
      <c r="E3" s="1168"/>
      <c r="F3" s="1169"/>
    </row>
    <row r="4" spans="1:8">
      <c r="A4" s="1164" t="s">
        <v>587</v>
      </c>
      <c r="B4" s="1165"/>
      <c r="C4" s="1176" t="str">
        <f>IF('Internal Service Template'!E4="","",'Internal Service Template'!E4)</f>
        <v/>
      </c>
      <c r="D4" s="1177"/>
      <c r="E4" s="1177"/>
      <c r="F4" s="1178"/>
    </row>
    <row r="5" spans="1:8">
      <c r="A5" s="1164" t="s">
        <v>2770</v>
      </c>
      <c r="B5" s="1165"/>
      <c r="C5" s="1172" t="str">
        <f>IF('Internal Service Template'!E5="","",'Internal Service Template'!E5)</f>
        <v/>
      </c>
      <c r="D5" s="1168"/>
      <c r="E5" s="1168"/>
      <c r="F5" s="1169"/>
    </row>
    <row r="6" spans="1:8">
      <c r="A6" s="1164" t="s">
        <v>588</v>
      </c>
      <c r="B6" s="1165"/>
      <c r="C6" s="1173" t="str">
        <f>IF('Internal Service Template'!E6="","",'Internal Service Template'!E6)</f>
        <v/>
      </c>
      <c r="D6" s="1174"/>
      <c r="E6" s="1174"/>
      <c r="F6" s="1175"/>
    </row>
    <row r="7" spans="1:8">
      <c r="A7" s="1164" t="s">
        <v>93</v>
      </c>
      <c r="B7" s="1165"/>
      <c r="C7" s="1166" t="str">
        <f>'Internal Service Template'!E7</f>
        <v/>
      </c>
      <c r="D7" s="1082"/>
      <c r="E7" s="1082"/>
      <c r="F7" s="1083"/>
    </row>
    <row r="8" spans="1:8">
      <c r="A8" s="13"/>
      <c r="B8" s="344"/>
      <c r="C8" s="344"/>
      <c r="D8" s="92"/>
      <c r="E8" s="92"/>
      <c r="F8" s="92"/>
    </row>
    <row r="9" spans="1:8">
      <c r="A9" s="211"/>
      <c r="B9" s="345"/>
      <c r="C9" s="345"/>
      <c r="D9" s="200"/>
      <c r="E9" s="200"/>
      <c r="F9" s="200"/>
      <c r="G9" s="35"/>
      <c r="H9" s="35"/>
    </row>
    <row r="10" spans="1:8">
      <c r="A10" s="147" t="s">
        <v>2798</v>
      </c>
      <c r="C10" s="147"/>
      <c r="D10" s="147"/>
      <c r="E10" s="147"/>
      <c r="F10" s="147"/>
      <c r="G10" s="147"/>
    </row>
    <row r="11" spans="1:8">
      <c r="A11" s="346" t="s">
        <v>2799</v>
      </c>
      <c r="C11" s="147"/>
      <c r="D11" s="147"/>
      <c r="E11" s="147"/>
      <c r="F11" s="147"/>
      <c r="G11" s="147"/>
    </row>
    <row r="12" spans="1:8">
      <c r="A12" s="346" t="s">
        <v>2800</v>
      </c>
      <c r="B12" s="147"/>
      <c r="C12" s="147"/>
      <c r="D12" s="147"/>
      <c r="E12" s="147"/>
      <c r="F12" s="147"/>
      <c r="G12" s="147"/>
    </row>
    <row r="13" spans="1:8">
      <c r="A13" s="147" t="s">
        <v>2801</v>
      </c>
      <c r="B13" s="147"/>
      <c r="C13" s="147"/>
      <c r="D13" s="147"/>
      <c r="E13" s="147"/>
      <c r="F13" s="147"/>
      <c r="G13" s="147"/>
    </row>
    <row r="14" spans="1:8">
      <c r="A14" s="147"/>
      <c r="B14" s="147"/>
      <c r="C14" s="147"/>
      <c r="D14" s="147"/>
      <c r="E14" s="147"/>
      <c r="F14" s="147"/>
      <c r="G14" s="147"/>
    </row>
    <row r="15" spans="1:8" ht="13.8" thickBot="1">
      <c r="A15" s="429" t="s">
        <v>20</v>
      </c>
      <c r="B15" s="347" t="s">
        <v>343</v>
      </c>
      <c r="C15" s="348" t="s">
        <v>21</v>
      </c>
      <c r="D15" s="349" t="s">
        <v>22</v>
      </c>
      <c r="E15" s="147"/>
      <c r="F15" s="147"/>
      <c r="G15" s="147"/>
    </row>
    <row r="16" spans="1:8" ht="45" customHeight="1">
      <c r="A16" s="350" t="s">
        <v>23</v>
      </c>
      <c r="B16" s="351" t="s">
        <v>344</v>
      </c>
      <c r="C16" s="352" t="s">
        <v>58</v>
      </c>
      <c r="D16" s="353" t="str">
        <f>IF(('Internal Service Template'!$O$50+'Internal Service Template'!$O$79+SUM('Internal Service Template'!$O$42:$O$44))&gt;0,"Answer Required","N/A")</f>
        <v>N/A</v>
      </c>
      <c r="E16" s="147"/>
      <c r="F16" s="147"/>
      <c r="G16" s="147"/>
    </row>
    <row r="17" spans="1:7" ht="45" customHeight="1">
      <c r="A17" s="350" t="s">
        <v>59</v>
      </c>
      <c r="B17" s="354" t="s">
        <v>816</v>
      </c>
      <c r="C17" s="285" t="s">
        <v>60</v>
      </c>
      <c r="D17" s="353" t="str">
        <f>IF(('Internal Service Template'!$O$50+'Internal Service Template'!$O$79+SUM('Internal Service Template'!$O$42:$O$44))&gt;0,"Answer Required","N/A")</f>
        <v>N/A</v>
      </c>
      <c r="E17" s="147" t="s">
        <v>877</v>
      </c>
      <c r="F17" s="147"/>
      <c r="G17" s="147"/>
    </row>
    <row r="18" spans="1:7" ht="45" customHeight="1">
      <c r="A18" s="350" t="s">
        <v>421</v>
      </c>
      <c r="B18" s="354" t="s">
        <v>512</v>
      </c>
      <c r="C18" s="285" t="s">
        <v>60</v>
      </c>
      <c r="D18" s="353" t="str">
        <f>IF(('Internal Service Template'!$O$50+'Internal Service Template'!$O$79+SUM('Internal Service Template'!$O$42:$O$44))&gt;0,"Answer Required","N/A")</f>
        <v>N/A</v>
      </c>
      <c r="E18" s="147" t="s">
        <v>877</v>
      </c>
      <c r="F18" s="147"/>
      <c r="G18" s="147"/>
    </row>
    <row r="19" spans="1:7" ht="45" customHeight="1">
      <c r="A19" s="350" t="s">
        <v>513</v>
      </c>
      <c r="B19" s="354" t="s">
        <v>2802</v>
      </c>
      <c r="C19" s="285" t="s">
        <v>345</v>
      </c>
      <c r="D19" s="353" t="str">
        <f>IF(('Internal Service Template'!$O$50+'Internal Service Template'!$O$79+SUM('Internal Service Template'!$O$42:$O$44))&gt;0,"Answer Required","N/A")</f>
        <v>N/A</v>
      </c>
      <c r="E19" s="147" t="s">
        <v>878</v>
      </c>
      <c r="F19" s="147"/>
      <c r="G19" s="147"/>
    </row>
    <row r="20" spans="1:7" ht="54.9" customHeight="1">
      <c r="A20" s="350" t="s">
        <v>514</v>
      </c>
      <c r="B20" s="354" t="s">
        <v>2803</v>
      </c>
      <c r="C20" s="285" t="s">
        <v>345</v>
      </c>
      <c r="D20" s="353" t="str">
        <f>IF(('Internal Service Template'!$O$50+'Internal Service Template'!$O$79+SUM('Internal Service Template'!$O$42:$O$44))&gt;0,"Answer Required","N/A")</f>
        <v>N/A</v>
      </c>
      <c r="E20" s="147" t="s">
        <v>878</v>
      </c>
      <c r="F20" s="147"/>
      <c r="G20" s="147"/>
    </row>
    <row r="21" spans="1:7" ht="45" customHeight="1">
      <c r="A21" s="350" t="s">
        <v>515</v>
      </c>
      <c r="B21" s="351" t="s">
        <v>2804</v>
      </c>
      <c r="C21" s="352" t="s">
        <v>372</v>
      </c>
      <c r="D21" s="353" t="str">
        <f>IF(('Internal Service Template'!$O$50+'Internal Service Template'!$O$79+SUM('Internal Service Template'!$O$42:$O$44))&gt;0,"Answer Required","N/A")</f>
        <v>N/A</v>
      </c>
      <c r="E21" s="147" t="s">
        <v>878</v>
      </c>
      <c r="F21" s="147"/>
      <c r="G21" s="147"/>
    </row>
    <row r="22" spans="1:7" ht="35.1" customHeight="1">
      <c r="A22" s="350" t="s">
        <v>516</v>
      </c>
      <c r="B22" s="354" t="s">
        <v>2573</v>
      </c>
      <c r="C22" s="352" t="s">
        <v>2805</v>
      </c>
      <c r="D22" s="353" t="str">
        <f>IF(('Internal Service Template'!$O$50+'Internal Service Template'!$O$79+SUM('Internal Service Template'!$O$42:$O$44))&gt;0,"Answer Required","N/A")</f>
        <v>N/A</v>
      </c>
      <c r="E22" s="147" t="s">
        <v>843</v>
      </c>
      <c r="F22" s="147"/>
      <c r="G22" s="147"/>
    </row>
    <row r="23" spans="1:7" ht="20.100000000000001" customHeight="1">
      <c r="A23" s="350" t="s">
        <v>840</v>
      </c>
      <c r="B23" s="354" t="s">
        <v>2574</v>
      </c>
      <c r="C23" s="352" t="s">
        <v>2575</v>
      </c>
      <c r="D23" s="353" t="str">
        <f>IF(('Internal Service Template'!$O$50+'Internal Service Template'!$O$79+SUM('Internal Service Template'!$O$42:$O$44))&gt;0,"Answer Required","N/A")</f>
        <v>N/A</v>
      </c>
      <c r="E23" s="147" t="s">
        <v>843</v>
      </c>
      <c r="F23" s="147"/>
      <c r="G23" s="147"/>
    </row>
    <row r="24" spans="1:7" ht="45" customHeight="1">
      <c r="A24" s="350" t="s">
        <v>2571</v>
      </c>
      <c r="B24" s="354" t="s">
        <v>2576</v>
      </c>
      <c r="C24" s="352" t="s">
        <v>2806</v>
      </c>
      <c r="D24" s="353" t="str">
        <f>IF(('Internal Service Template'!$O$50+'Internal Service Template'!$O$79+SUM('Internal Service Template'!$O$42:$O$44))&gt;0,"Answer Required","N/A")</f>
        <v>N/A</v>
      </c>
      <c r="E24" s="147" t="s">
        <v>2578</v>
      </c>
      <c r="F24" s="147"/>
      <c r="G24" s="147"/>
    </row>
    <row r="25" spans="1:7" ht="20.100000000000001" customHeight="1">
      <c r="A25" s="350" t="s">
        <v>2572</v>
      </c>
      <c r="B25" s="354" t="s">
        <v>517</v>
      </c>
      <c r="C25" s="285" t="s">
        <v>518</v>
      </c>
      <c r="D25" s="353" t="str">
        <f>IF(('Internal Service Template'!$O$50+'Internal Service Template'!$O$79+SUM('Internal Service Template'!$O$42:$O$44))&gt;0,"Answer Required","N/A")</f>
        <v>N/A</v>
      </c>
      <c r="E25" s="147" t="s">
        <v>2577</v>
      </c>
      <c r="F25" s="147"/>
      <c r="G25" s="147"/>
    </row>
    <row r="26" spans="1:7">
      <c r="A26" s="147"/>
      <c r="B26" s="147"/>
      <c r="C26" s="147"/>
      <c r="D26" s="147"/>
      <c r="E26" s="147"/>
      <c r="F26" s="147"/>
      <c r="G26" s="147"/>
    </row>
    <row r="27" spans="1:7">
      <c r="A27" s="147" t="s">
        <v>690</v>
      </c>
      <c r="C27" s="147"/>
      <c r="D27" s="147"/>
      <c r="E27" s="147"/>
      <c r="F27" s="147"/>
      <c r="G27" s="147"/>
    </row>
    <row r="28" spans="1:7">
      <c r="A28" s="147"/>
      <c r="C28" s="147"/>
      <c r="D28" s="147"/>
      <c r="E28" s="147"/>
      <c r="F28" s="147"/>
      <c r="G28" s="147"/>
    </row>
    <row r="29" spans="1:7">
      <c r="A29" s="355" t="s">
        <v>2807</v>
      </c>
      <c r="C29" s="147"/>
      <c r="D29" s="147"/>
      <c r="E29" s="147"/>
      <c r="F29" s="147"/>
      <c r="G29" s="147"/>
    </row>
    <row r="30" spans="1:7">
      <c r="A30" s="147" t="s">
        <v>3073</v>
      </c>
      <c r="C30" s="147"/>
      <c r="D30" s="147"/>
      <c r="E30" s="147"/>
      <c r="F30" s="147"/>
      <c r="G30" s="147"/>
    </row>
    <row r="31" spans="1:7">
      <c r="A31" s="147" t="s">
        <v>2667</v>
      </c>
      <c r="C31" s="147"/>
      <c r="D31" s="147"/>
      <c r="E31" s="147"/>
      <c r="F31" s="147"/>
      <c r="G31" s="147"/>
    </row>
    <row r="32" spans="1:7">
      <c r="A32" s="147"/>
      <c r="C32" s="147"/>
      <c r="D32" s="147"/>
      <c r="E32" s="147"/>
      <c r="F32" s="147"/>
      <c r="G32" s="147"/>
    </row>
    <row r="33" spans="1:7">
      <c r="A33" s="355" t="s">
        <v>2808</v>
      </c>
      <c r="C33" s="147"/>
      <c r="D33" s="147"/>
      <c r="E33" s="147"/>
      <c r="F33" s="147"/>
      <c r="G33" s="147"/>
    </row>
    <row r="34" spans="1:7">
      <c r="A34" s="147" t="s">
        <v>381</v>
      </c>
      <c r="C34" s="147"/>
      <c r="D34" s="147"/>
      <c r="E34" s="147"/>
      <c r="F34" s="147"/>
      <c r="G34" s="147"/>
    </row>
    <row r="35" spans="1:7">
      <c r="A35" s="147" t="s">
        <v>519</v>
      </c>
      <c r="C35" s="147"/>
      <c r="D35" s="147"/>
      <c r="E35" s="147"/>
      <c r="F35" s="147"/>
      <c r="G35" s="147"/>
    </row>
    <row r="36" spans="1:7">
      <c r="A36" s="147"/>
      <c r="C36" s="147"/>
      <c r="D36" s="147"/>
      <c r="E36" s="147"/>
      <c r="F36" s="147"/>
      <c r="G36" s="147"/>
    </row>
    <row r="37" spans="1:7">
      <c r="A37" s="147" t="s">
        <v>2809</v>
      </c>
      <c r="B37" s="147"/>
      <c r="C37" s="147"/>
      <c r="D37" s="147"/>
      <c r="E37" s="147"/>
      <c r="F37" s="147"/>
      <c r="G37" s="147"/>
    </row>
    <row r="38" spans="1:7">
      <c r="A38" s="147" t="s">
        <v>2810</v>
      </c>
      <c r="B38" s="147"/>
      <c r="C38" s="147"/>
      <c r="D38" s="147"/>
      <c r="E38" s="147"/>
      <c r="F38" s="147"/>
      <c r="G38" s="147"/>
    </row>
    <row r="39" spans="1:7">
      <c r="A39" s="356" t="s">
        <v>2716</v>
      </c>
      <c r="B39" s="147"/>
      <c r="C39" s="147"/>
      <c r="D39" s="147"/>
      <c r="E39" s="147"/>
      <c r="F39" s="147"/>
      <c r="G39" s="147"/>
    </row>
    <row r="40" spans="1:7" ht="15.75" customHeight="1">
      <c r="A40" s="11" t="s">
        <v>2717</v>
      </c>
      <c r="B40" s="357"/>
      <c r="C40" s="357"/>
      <c r="D40" s="357"/>
      <c r="E40" s="357"/>
      <c r="F40" s="357"/>
      <c r="G40" s="357"/>
    </row>
    <row r="41" spans="1:7" ht="15.75" customHeight="1">
      <c r="A41" s="11" t="s">
        <v>2811</v>
      </c>
      <c r="B41" s="357"/>
      <c r="C41" s="357"/>
      <c r="D41" s="357"/>
      <c r="E41" s="357"/>
      <c r="F41" s="357"/>
      <c r="G41" s="357"/>
    </row>
    <row r="42" spans="1:7" ht="15.75" customHeight="1">
      <c r="A42" s="11" t="s">
        <v>2718</v>
      </c>
      <c r="B42" s="357"/>
      <c r="C42" s="357"/>
      <c r="D42" s="357"/>
      <c r="E42" s="357"/>
      <c r="F42" s="357"/>
      <c r="G42" s="357"/>
    </row>
    <row r="43" spans="1:7" ht="24" customHeight="1">
      <c r="A43" s="147" t="s">
        <v>2812</v>
      </c>
      <c r="B43" s="147"/>
      <c r="C43" s="147"/>
      <c r="D43" s="147"/>
      <c r="E43" s="147"/>
      <c r="F43" s="147"/>
      <c r="G43" s="147"/>
    </row>
    <row r="44" spans="1:7">
      <c r="A44" s="147"/>
      <c r="B44" s="147"/>
      <c r="C44" s="147"/>
      <c r="D44" s="147"/>
      <c r="E44" s="147"/>
      <c r="F44" s="147"/>
    </row>
    <row r="45" spans="1:7">
      <c r="A45" s="11" t="s">
        <v>2813</v>
      </c>
      <c r="B45" s="147"/>
      <c r="C45" s="147"/>
      <c r="D45" s="147"/>
      <c r="E45" s="147"/>
      <c r="F45" s="147"/>
    </row>
    <row r="46" spans="1:7">
      <c r="A46" s="11" t="s">
        <v>2814</v>
      </c>
      <c r="B46" s="147"/>
      <c r="C46" s="147"/>
      <c r="D46" s="147"/>
      <c r="E46" s="147"/>
      <c r="F46" s="147"/>
    </row>
    <row r="47" spans="1:7">
      <c r="A47" s="147" t="s">
        <v>2854</v>
      </c>
      <c r="B47" s="147"/>
      <c r="C47" s="147"/>
      <c r="D47" s="147"/>
      <c r="E47" s="147"/>
      <c r="F47" s="147"/>
    </row>
    <row r="48" spans="1:7">
      <c r="A48" s="356"/>
      <c r="B48" s="147"/>
      <c r="C48" s="147"/>
      <c r="D48" s="147"/>
      <c r="E48" s="147"/>
      <c r="F48" s="147"/>
      <c r="G48" s="300"/>
    </row>
    <row r="49" spans="1:7">
      <c r="A49" s="147" t="s">
        <v>2815</v>
      </c>
      <c r="B49" s="147"/>
      <c r="C49" s="147"/>
      <c r="D49" s="147"/>
      <c r="E49" s="147"/>
      <c r="F49" s="147"/>
    </row>
    <row r="50" spans="1:7">
      <c r="A50" s="147"/>
      <c r="B50" s="147"/>
      <c r="C50" s="147"/>
      <c r="D50" s="147"/>
      <c r="E50" s="147"/>
      <c r="F50" s="300" t="s">
        <v>2603</v>
      </c>
    </row>
    <row r="51" spans="1:7">
      <c r="A51" s="147" t="s">
        <v>2816</v>
      </c>
      <c r="B51" s="147"/>
      <c r="C51" s="147"/>
      <c r="D51" s="147"/>
      <c r="E51" s="147"/>
      <c r="F51" s="358" t="str">
        <f>IF($D$17="no","Answer Required",IF($D$18="no","Answer Required",IF($D$19="no","Answer Required",IF($D$20="no","Answer Required",IF($D$21="no","Answer Required","N/A")))))</f>
        <v>N/A</v>
      </c>
    </row>
    <row r="52" spans="1:7">
      <c r="A52" s="147" t="s">
        <v>2817</v>
      </c>
      <c r="B52" s="147"/>
      <c r="C52" s="147"/>
      <c r="D52" s="147"/>
      <c r="E52" s="147"/>
      <c r="F52" s="147"/>
      <c r="G52" s="147"/>
    </row>
    <row r="53" spans="1:7">
      <c r="A53" s="147"/>
      <c r="B53" s="147"/>
      <c r="C53" s="147"/>
      <c r="D53" s="147"/>
      <c r="E53" s="147"/>
      <c r="F53" s="147"/>
      <c r="G53" s="147"/>
    </row>
    <row r="54" spans="1:7" ht="100.5" customHeight="1">
      <c r="A54" s="1170" t="str">
        <f>IF(F51="no","Answer Required","N/A")</f>
        <v>N/A</v>
      </c>
      <c r="B54" s="1170"/>
      <c r="C54" s="1170"/>
      <c r="D54" s="1170"/>
      <c r="E54" s="1171"/>
      <c r="F54" s="1171"/>
      <c r="G54" s="147"/>
    </row>
    <row r="55" spans="1:7">
      <c r="A55" s="147"/>
      <c r="B55" s="147"/>
      <c r="C55" s="147"/>
      <c r="D55" s="147"/>
      <c r="E55" s="147"/>
      <c r="F55" s="147"/>
      <c r="G55" s="147"/>
    </row>
    <row r="56" spans="1:7">
      <c r="A56" s="147"/>
      <c r="B56" s="147"/>
      <c r="C56" s="147"/>
      <c r="D56" s="147"/>
      <c r="E56" s="147"/>
      <c r="F56" s="147"/>
      <c r="G56" s="147"/>
    </row>
    <row r="57" spans="1:7">
      <c r="A57" s="147"/>
      <c r="B57" s="147"/>
      <c r="C57" s="147"/>
      <c r="D57" s="147"/>
      <c r="E57" s="147"/>
      <c r="F57" s="147"/>
      <c r="G57" s="147"/>
    </row>
    <row r="58" spans="1:7" hidden="1">
      <c r="A58" s="147"/>
      <c r="B58" s="147"/>
      <c r="C58" s="147"/>
      <c r="D58" s="147"/>
      <c r="E58" s="147"/>
      <c r="F58" s="147"/>
      <c r="G58" s="147"/>
    </row>
    <row r="59" spans="1:7" hidden="1">
      <c r="A59" s="147"/>
      <c r="B59" s="147"/>
      <c r="C59" s="147"/>
      <c r="D59" s="147" t="s">
        <v>260</v>
      </c>
      <c r="E59" s="147"/>
      <c r="F59" s="147"/>
      <c r="G59" s="147" t="s">
        <v>260</v>
      </c>
    </row>
    <row r="60" spans="1:7" hidden="1">
      <c r="A60" s="147"/>
      <c r="B60" s="147"/>
      <c r="C60" s="147"/>
      <c r="D60" s="147" t="s">
        <v>261</v>
      </c>
      <c r="E60" s="147"/>
      <c r="F60" s="147"/>
      <c r="G60" s="147" t="s">
        <v>261</v>
      </c>
    </row>
    <row r="61" spans="1:7" hidden="1">
      <c r="A61" s="147"/>
      <c r="B61" s="147"/>
      <c r="C61" s="147"/>
      <c r="D61" s="147" t="s">
        <v>262</v>
      </c>
      <c r="E61" s="147"/>
      <c r="F61" s="147"/>
      <c r="G61" s="147"/>
    </row>
    <row r="62" spans="1:7" hidden="1"/>
    <row r="85" spans="2:6">
      <c r="B85" s="14"/>
      <c r="C85" s="14"/>
      <c r="D85" s="14"/>
      <c r="E85" s="14"/>
      <c r="F85" s="14"/>
    </row>
    <row r="86" spans="2:6">
      <c r="B86" s="14"/>
      <c r="C86" s="14"/>
      <c r="D86" s="14"/>
      <c r="E86" s="14"/>
      <c r="F86" s="14"/>
    </row>
    <row r="87" spans="2:6">
      <c r="B87" s="14"/>
      <c r="C87" s="14"/>
      <c r="D87" s="14"/>
      <c r="E87" s="14"/>
      <c r="F87" s="14"/>
    </row>
    <row r="88" spans="2:6">
      <c r="B88" s="14"/>
      <c r="C88" s="14"/>
      <c r="D88" s="14"/>
      <c r="E88" s="14"/>
      <c r="F88" s="14"/>
    </row>
    <row r="89" spans="2:6">
      <c r="B89" s="14"/>
      <c r="C89" s="14"/>
      <c r="D89" s="14"/>
      <c r="E89" s="14"/>
      <c r="F89" s="14"/>
    </row>
    <row r="90" spans="2:6">
      <c r="B90" s="14"/>
      <c r="C90" s="14"/>
      <c r="D90" s="14"/>
      <c r="E90" s="14"/>
      <c r="F90" s="14"/>
    </row>
    <row r="91" spans="2:6">
      <c r="B91" s="14"/>
      <c r="C91" s="14"/>
      <c r="D91" s="14"/>
      <c r="E91" s="14"/>
      <c r="F91" s="14"/>
    </row>
    <row r="92" spans="2:6">
      <c r="B92" s="14"/>
      <c r="C92" s="14"/>
      <c r="D92" s="14"/>
      <c r="E92" s="14"/>
      <c r="F92" s="14"/>
    </row>
    <row r="93" spans="2:6">
      <c r="B93" s="14"/>
      <c r="C93" s="14"/>
      <c r="D93" s="14"/>
      <c r="E93" s="14"/>
      <c r="F93" s="14"/>
    </row>
  </sheetData>
  <sheetProtection algorithmName="SHA-512" hashValue="LUTxMWxdpAQO802xz5OJiGxvwpnWybYqTcovJQCn1QUBVnpHzOScY2XLdRCqDl8UI3WOErN+4AvvWyda9adhXQ==" saltValue="X0B1Hy3iQUthilVfnRN3Fg==" spinCount="100000" sheet="1" objects="1" scenarios="1"/>
  <mergeCells count="15">
    <mergeCell ref="A7:B7"/>
    <mergeCell ref="C1:F1"/>
    <mergeCell ref="C2:F2"/>
    <mergeCell ref="C3:F3"/>
    <mergeCell ref="A54:F54"/>
    <mergeCell ref="C5:F5"/>
    <mergeCell ref="C6:F6"/>
    <mergeCell ref="C7:F7"/>
    <mergeCell ref="A1:B1"/>
    <mergeCell ref="A2:B2"/>
    <mergeCell ref="A3:B3"/>
    <mergeCell ref="A4:B4"/>
    <mergeCell ref="A5:B5"/>
    <mergeCell ref="A6:B6"/>
    <mergeCell ref="C4:F4"/>
  </mergeCells>
  <phoneticPr fontId="46" type="noConversion"/>
  <conditionalFormatting sqref="A54:F54">
    <cfRule type="cellIs" dxfId="141" priority="1" operator="equal">
      <formula>"Answer Required"</formula>
    </cfRule>
  </conditionalFormatting>
  <conditionalFormatting sqref="D16:D25">
    <cfRule type="cellIs" dxfId="140" priority="2" operator="equal">
      <formula>"Answer Required"</formula>
    </cfRule>
  </conditionalFormatting>
  <conditionalFormatting sqref="D17:D21 D24:D25">
    <cfRule type="cellIs" dxfId="139" priority="8" operator="equal">
      <formula>"Error"</formula>
    </cfRule>
  </conditionalFormatting>
  <conditionalFormatting sqref="F51">
    <cfRule type="cellIs" dxfId="138" priority="5" operator="equal">
      <formula>"Answer Required"</formula>
    </cfRule>
  </conditionalFormatting>
  <dataValidations count="2">
    <dataValidation type="list" allowBlank="1" showInputMessage="1" showErrorMessage="1" error="Please use drop-down list to select Yes, No, or N/A" sqref="D16:D25" xr:uid="{00000000-0002-0000-0700-000000000000}">
      <formula1>$D$59:$D$61</formula1>
    </dataValidation>
    <dataValidation type="list" allowBlank="1" showInputMessage="1" showErrorMessage="1" error="Please use drop-down list to select Yes, No, or N/A." sqref="F51" xr:uid="{00000000-0002-0000-0700-000001000000}">
      <formula1>$D$59:$D$61</formula1>
    </dataValidation>
  </dataValidations>
  <pageMargins left="0.5" right="0.39" top="0.76" bottom="0.78" header="0.33" footer="0.5"/>
  <pageSetup scale="57" orientation="portrait" cellComments="asDisplayed" r:id="rId1"/>
  <headerFooter alignWithMargins="0">
    <oddHeader>&amp;C&amp;"Times New Roman,Bold"Attachment 11
Internal Service Fund Financial Statement Template
&amp;A</oddHeader>
    <oddFooter>&amp;L&amp;"Times New Roman,Regular"&amp;F\&amp;A&amp;R&amp;"Times New Roman,Regular"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Fund Vlookup</vt:lpstr>
      <vt:lpstr>Prior Year FS Balances</vt:lpstr>
      <vt:lpstr>Prior Year Cap Asset Balances</vt:lpstr>
      <vt:lpstr>Internal Service Template</vt:lpstr>
      <vt:lpstr>Template Flux</vt:lpstr>
      <vt:lpstr>Tab 1A-GASB 3-40</vt:lpstr>
      <vt:lpstr>Tab 1B-CE.&amp;Inv. Not w Tr </vt:lpstr>
      <vt:lpstr>Tab 1C-Foreign Currency Inv</vt:lpstr>
      <vt:lpstr>Tab 1D-GASB 31</vt:lpstr>
      <vt:lpstr>Tab 2-Receivables</vt:lpstr>
      <vt:lpstr>Tab 3-Capital Assets</vt:lpstr>
      <vt:lpstr>Tab 4-Due to</vt:lpstr>
      <vt:lpstr>Tab 5-LT Liabilities</vt:lpstr>
      <vt:lpstr>Tab 6-Commitments</vt:lpstr>
      <vt:lpstr>Tab 7-Miscellaneous</vt:lpstr>
      <vt:lpstr>Tab 8-Restatements</vt:lpstr>
      <vt:lpstr>Tab 9-Unearned Revenue</vt:lpstr>
      <vt:lpstr>Tab 10-Deficit Net Position</vt:lpstr>
      <vt:lpstr>Tab 11-Transfers</vt:lpstr>
      <vt:lpstr>Tab 12-Net Inv in Cap Assets</vt:lpstr>
      <vt:lpstr>Tab 13-Cash Flow Analysis</vt:lpstr>
      <vt:lpstr>Certification</vt:lpstr>
      <vt:lpstr>Revision Control Log</vt:lpstr>
      <vt:lpstr>Certification!Print_Area</vt:lpstr>
      <vt:lpstr>'Internal Service Template'!Print_Area</vt:lpstr>
      <vt:lpstr>'Prior Year Cap Asset Balances'!Print_Area</vt:lpstr>
      <vt:lpstr>'Prior Year FS Balances'!Print_Area</vt:lpstr>
      <vt:lpstr>'Tab 10-Deficit Net Position'!Print_Area</vt:lpstr>
      <vt:lpstr>'Tab 11-Transfers'!Print_Area</vt:lpstr>
      <vt:lpstr>'Tab 12-Net Inv in Cap Assets'!Print_Area</vt:lpstr>
      <vt:lpstr>'Tab 13-Cash Flow Analysis'!Print_Area</vt:lpstr>
      <vt:lpstr>'Tab 1A-GASB 3-40'!Print_Area</vt:lpstr>
      <vt:lpstr>'Tab 1B-CE.&amp;Inv. Not w Tr '!Print_Area</vt:lpstr>
      <vt:lpstr>'Tab 1C-Foreign Currency Inv'!Print_Area</vt:lpstr>
      <vt:lpstr>'Tab 1D-GASB 31'!Print_Area</vt:lpstr>
      <vt:lpstr>'Tab 3-Capital Assets'!Print_Area</vt:lpstr>
      <vt:lpstr>'Tab 5-LT Liabilities'!Print_Area</vt:lpstr>
      <vt:lpstr>'Tab 6-Commitments'!Print_Area</vt:lpstr>
      <vt:lpstr>'Tab 7-Miscellaneous'!Print_Area</vt:lpstr>
      <vt:lpstr>'Tab 8-Restatements'!Print_Area</vt:lpstr>
      <vt:lpstr>'Template Flux'!Print_Area</vt:lpstr>
      <vt:lpstr>'Revision Control Log'!Print_Titles</vt:lpstr>
      <vt:lpstr>'Tab 1B-CE.&amp;Inv. Not w Tr '!Print_Titles</vt:lpstr>
      <vt:lpstr>'Tab 9-Unearned Revenue'!Print_Titles</vt:lpstr>
      <vt:lpstr>'Template Flux'!Print_Titles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Christine Tuck</dc:creator>
  <cp:lastModifiedBy>Kim, Esther (DOA)</cp:lastModifiedBy>
  <cp:lastPrinted>2024-04-23T18:27:10Z</cp:lastPrinted>
  <dcterms:created xsi:type="dcterms:W3CDTF">2003-02-19T20:11:55Z</dcterms:created>
  <dcterms:modified xsi:type="dcterms:W3CDTF">2024-04-23T18:30:50Z</dcterms:modified>
</cp:coreProperties>
</file>