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6D60AECB-05BD-40A8-B167-5C00BA42001A}" xr6:coauthVersionLast="47" xr6:coauthVersionMax="47" xr10:uidLastSave="{00000000-0000-0000-0000-000000000000}"/>
  <workbookProtection workbookAlgorithmName="SHA-512" workbookHashValue="6KyInoAx9MZ2aSZ+Duaw+JglIe6+vzOvhKN93KgT+ARzEVF4za7CPhHLx2FQgf5JCX6yKT4KBzwd6ELhBDyGng==" workbookSaltValue="2ys+3YS9Mjr1OSWdxcRqgQ==" workbookSpinCount="100000" lockStructure="1"/>
  <bookViews>
    <workbookView xWindow="-120" yWindow="-120" windowWidth="29040" windowHeight="15720" tabRatio="946" firstSheet="2" activeTab="2" xr2:uid="{00000000-000D-0000-FFFF-FFFF00000000}"/>
  </bookViews>
  <sheets>
    <sheet name="Fund Vlookup" sheetId="50" state="hidden" r:id="rId1"/>
    <sheet name="HLookup Tables" sheetId="40" state="hidden" r:id="rId2"/>
    <sheet name="Enterprise Template" sheetId="18" r:id="rId3"/>
    <sheet name="Template Flux" sheetId="47" r:id="rId4"/>
    <sheet name="Tab 1A-GASB 3-40" sheetId="41" r:id="rId5"/>
    <sheet name="Tab 1B-CE.&amp;Inv. Not w Tr " sheetId="52" r:id="rId6"/>
    <sheet name="Tab 1C-Foreign Currency Inv" sheetId="43" r:id="rId7"/>
    <sheet name="Tab 1D-GASB 31" sheetId="29" r:id="rId8"/>
    <sheet name="Tab 2-Receivables" sheetId="4" r:id="rId9"/>
    <sheet name="Tab 3-Capital Assets" sheetId="3" r:id="rId10"/>
    <sheet name="Tab 4-Due to Other Agy or Funds" sheetId="14" r:id="rId11"/>
    <sheet name="Tab 5-LT Liabilities" sheetId="36" r:id="rId12"/>
    <sheet name="Tab 6-Commitments" sheetId="8" r:id="rId13"/>
    <sheet name="Tab 7-Miscellaneous" sheetId="5" r:id="rId14"/>
    <sheet name="Tab 8-Restatements" sheetId="6" r:id="rId15"/>
    <sheet name="Tab 9-Unearned Revenue" sheetId="33" r:id="rId16"/>
    <sheet name="Tab 10-Deficit Net Position" sheetId="32" r:id="rId17"/>
    <sheet name="Tab 11-Transfers" sheetId="34" r:id="rId18"/>
    <sheet name="Tab 12-Net Inv in Cap Assets" sheetId="39" r:id="rId19"/>
    <sheet name="Tab 13-Cash Flow Analysis" sheetId="44" r:id="rId20"/>
    <sheet name="Tab 14-Fund Conversion" sheetId="12" r:id="rId21"/>
    <sheet name="Certification" sheetId="49" r:id="rId22"/>
    <sheet name="Revision Control Log" sheetId="16" r:id="rId23"/>
  </sheets>
  <externalReferences>
    <externalReference r:id="rId24"/>
  </externalReferences>
  <definedNames>
    <definedName name="_xlnm._FilterDatabase" localSheetId="1" hidden="1">'HLookup Tables'!$E$505:$E$520</definedName>
    <definedName name="A">#REF!</definedName>
    <definedName name="art_bs" localSheetId="21">#REF!</definedName>
    <definedName name="art_bs" localSheetId="5">#REF!</definedName>
    <definedName name="art_bs">#REF!</definedName>
    <definedName name="art_cf" localSheetId="21">#REF!</definedName>
    <definedName name="art_cf" localSheetId="5">#REF!</definedName>
    <definedName name="art_cf">#REF!</definedName>
    <definedName name="art_is" localSheetId="21">#REF!</definedName>
    <definedName name="art_is" localSheetId="5">#REF!</definedName>
    <definedName name="art_is">#REF!</definedName>
    <definedName name="Balance_Sheet" localSheetId="21">#REF!</definedName>
    <definedName name="Balance_Sheet">#REF!</definedName>
    <definedName name="BS_Title" localSheetId="21">#REF!</definedName>
    <definedName name="BS_Title">#REF!</definedName>
    <definedName name="Cash_Flows" localSheetId="21">#REF!</definedName>
    <definedName name="Cash_Flows">#REF!</definedName>
    <definedName name="Fitch" localSheetId="21">#REF!</definedName>
    <definedName name="Fitch" localSheetId="5">#REF!</definedName>
    <definedName name="Fitch">#REF!</definedName>
    <definedName name="Income_Statement" localSheetId="21">#REF!</definedName>
    <definedName name="Income_Statement" localSheetId="5">#REF!</definedName>
    <definedName name="Income_Statement">#REF!</definedName>
    <definedName name="IS" localSheetId="21">#REF!</definedName>
    <definedName name="IS" localSheetId="5">#REF!</definedName>
    <definedName name="IS">#REF!</definedName>
    <definedName name="IS_Title" localSheetId="21">#REF!</definedName>
    <definedName name="IS_Title" localSheetId="5">#REF!</definedName>
    <definedName name="IS_Title">#REF!</definedName>
    <definedName name="lcc">#REF!</definedName>
    <definedName name="Leg_BS" localSheetId="21">#REF!</definedName>
    <definedName name="Leg_BS">#REF!</definedName>
    <definedName name="LEG_CF" localSheetId="21">#REF!</definedName>
    <definedName name="LEG_CF">#REF!</definedName>
    <definedName name="Leg_IS" localSheetId="21">#REF!</definedName>
    <definedName name="Leg_IS">#REF!</definedName>
    <definedName name="LOC_BS" localSheetId="21">'[1]Local Choice'!#REF!</definedName>
    <definedName name="LOC_BS" localSheetId="5">'[1]Local Choice'!#REF!</definedName>
    <definedName name="LOC_BS">'[1]Local Choice'!#REF!</definedName>
    <definedName name="Moodys" localSheetId="21">#REF!</definedName>
    <definedName name="Moodys" localSheetId="5">#REF!</definedName>
    <definedName name="Moodys">#REF!</definedName>
    <definedName name="NA" localSheetId="21">#REF!</definedName>
    <definedName name="NA" localSheetId="5">#REF!</definedName>
    <definedName name="NA">#REF!</definedName>
    <definedName name="_xlnm.Print_Area" localSheetId="21">Certification!$A$1:$P$60</definedName>
    <definedName name="_xlnm.Print_Area" localSheetId="2">'Enterprise Template'!$A$1:$N$481</definedName>
    <definedName name="_xlnm.Print_Area" localSheetId="1">'HLookup Tables'!$B$12:$AK$501</definedName>
    <definedName name="_xlnm.Print_Area" localSheetId="18">'Tab 12-Net Inv in Cap Assets'!$A$1:$H$58</definedName>
    <definedName name="_xlnm.Print_Area" localSheetId="19">'Tab 13-Cash Flow Analysis'!$A$1:$K$124</definedName>
    <definedName name="_xlnm.Print_Area" localSheetId="4">'Tab 1A-GASB 3-40'!$A$1:$J$178</definedName>
    <definedName name="_xlnm.Print_Area" localSheetId="5">'Tab 1B-CE.&amp;Inv. Not w Tr '!$A$1:$AI$154</definedName>
    <definedName name="_xlnm.Print_Area" localSheetId="6">'Tab 1C-Foreign Currency Inv'!$A$1:$BW$66</definedName>
    <definedName name="_xlnm.Print_Area" localSheetId="7">'Tab 1D-GASB 31'!$A$1:$G$56</definedName>
    <definedName name="_xlnm.Print_Area" localSheetId="9">'Tab 3-Capital Assets'!$B$1:$P$260</definedName>
    <definedName name="_xlnm.Print_Area" localSheetId="11">'Tab 5-LT Liabilities'!$A$1:$M$253</definedName>
    <definedName name="_xlnm.Print_Area" localSheetId="12">'Tab 6-Commitments'!$A$1:$H$37</definedName>
    <definedName name="_xlnm.Print_Area" localSheetId="13">'Tab 7-Miscellaneous'!$A$1:$C$373</definedName>
    <definedName name="_xlnm.Print_Titles" localSheetId="1">'HLookup Tables'!$B:$G,'HLookup Tables'!$12:$13</definedName>
    <definedName name="_xlnm.Print_Titles" localSheetId="22">'Revision Control Log'!$1:$9</definedName>
    <definedName name="_xlnm.Print_Titles" localSheetId="5">'Tab 1B-CE.&amp;Inv. Not w Tr '!$A:$E,'Tab 1B-CE.&amp;Inv. Not w Tr '!$8:$11</definedName>
    <definedName name="_xlnm.Print_Titles" localSheetId="3">'Template Flux'!$1:$18</definedName>
    <definedName name="Rating_Agency" localSheetId="21">#REF!</definedName>
    <definedName name="Rating_Agency" localSheetId="5">#REF!</definedName>
    <definedName name="Rating_Agency">#REF!</definedName>
    <definedName name="Science_Bs" localSheetId="21">#REF!</definedName>
    <definedName name="Science_Bs" localSheetId="5">#REF!</definedName>
    <definedName name="Science_Bs">#REF!</definedName>
    <definedName name="Science_cf" localSheetId="21">#REF!</definedName>
    <definedName name="Science_cf" localSheetId="5">#REF!</definedName>
    <definedName name="Science_cf">#REF!</definedName>
    <definedName name="Science_IS" localSheetId="21">#REF!</definedName>
    <definedName name="Science_IS" localSheetId="5">#REF!</definedName>
    <definedName name="Science_IS">#REF!</definedName>
    <definedName name="Segments">'HLookup Tables'!$E$505:$E$520</definedName>
    <definedName name="Standard_Poors" localSheetId="21">#REF!</definedName>
    <definedName name="Standard_Poors" localSheetId="5">#REF!</definedName>
    <definedName name="Standard_Poors">#REF!</definedName>
    <definedName name="wrn.Footnote._.8." localSheetId="21" hidden="1">{#N/A,#N/A,FALSE,"Fixed Assets";#N/A,#N/A,FALSE,"PPE Wksheet"}</definedName>
    <definedName name="wrn.Footnote._.8." localSheetId="18" hidden="1">{#N/A,#N/A,FALSE,"Fixed Assets";#N/A,#N/A,FALSE,"PPE Wksheet"}</definedName>
    <definedName name="wrn.Footnote._.8." localSheetId="19" hidden="1">{#N/A,#N/A,FALSE,"Fixed Assets";#N/A,#N/A,FALSE,"PPE Wksheet"}</definedName>
    <definedName name="wrn.Footnote._.8." localSheetId="4" hidden="1">{#N/A,#N/A,FALSE,"Fixed Assets";#N/A,#N/A,FALSE,"PPE Wksheet"}</definedName>
    <definedName name="wrn.Footnote._.8." localSheetId="5" hidden="1">{#N/A,#N/A,FALSE,"Fixed Assets";#N/A,#N/A,FALSE,"PPE Wksheet"}</definedName>
    <definedName name="wrn.Footnote._.8." localSheetId="6" hidden="1">{#N/A,#N/A,FALSE,"Fixed Assets";#N/A,#N/A,FALSE,"PPE Wksheet"}</definedName>
    <definedName name="wrn.Footnote._.8." localSheetId="9" hidden="1">{#N/A,#N/A,FALSE,"Fixed Assets";#N/A,#N/A,FALSE,"PPE Wksheet"}</definedName>
    <definedName name="wrn.Footnote._.8." localSheetId="10" hidden="1">{#N/A,#N/A,FALSE,"Fixed Assets";#N/A,#N/A,FALSE,"PPE Wksheet"}</definedName>
    <definedName name="wrn.Footnote._.8." localSheetId="12" hidden="1">{#N/A,#N/A,FALSE,"Fixed Assets";#N/A,#N/A,FALSE,"PPE Wksheet"}</definedName>
    <definedName name="wrn.Footnote._.8." hidden="1">{#N/A,#N/A,FALSE,"Fixed Assets";#N/A,#N/A,FALSE,"PPE Wksheet"}</definedName>
    <definedName name="Z_6849E161_4DFB_11D5_8CDD_0060945A34C9_.wvu.Rows" localSheetId="13" hidden="1">'Tab 7-Miscellaneous'!$58:$61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5" i="44" l="1"/>
  <c r="B236" i="5" l="1"/>
  <c r="E52" i="29" l="1"/>
  <c r="E75" i="44" l="1"/>
  <c r="E2" i="3" l="1"/>
  <c r="B22" i="49" l="1"/>
  <c r="C15" i="8"/>
  <c r="E1" i="18" l="1"/>
  <c r="G428" i="18" l="1"/>
  <c r="G59" i="18"/>
  <c r="B1" i="39"/>
  <c r="AL229" i="40"/>
  <c r="AL222" i="40"/>
  <c r="AL215" i="40"/>
  <c r="AL188" i="40"/>
  <c r="AF427" i="40"/>
  <c r="AF418" i="40"/>
  <c r="AF188" i="40"/>
  <c r="AD418" i="40"/>
  <c r="AD373" i="40"/>
  <c r="AD372" i="40"/>
  <c r="AD370" i="40"/>
  <c r="AD278" i="40"/>
  <c r="AD152" i="40"/>
  <c r="AD103" i="40"/>
  <c r="AD99" i="40"/>
  <c r="AD93" i="40"/>
  <c r="AD53" i="40"/>
  <c r="AB373" i="40"/>
  <c r="AB372" i="40"/>
  <c r="AB370" i="40"/>
  <c r="AB278" i="40"/>
  <c r="AB233" i="40"/>
  <c r="AB229" i="40"/>
  <c r="AB222" i="40"/>
  <c r="AB204" i="40"/>
  <c r="AB215" i="40" s="1"/>
  <c r="AB168" i="40"/>
  <c r="AB103" i="40"/>
  <c r="AB99" i="40"/>
  <c r="AB93" i="40"/>
  <c r="AB92" i="40"/>
  <c r="Z408" i="40"/>
  <c r="Z395" i="40"/>
  <c r="Z373" i="40"/>
  <c r="Z372" i="40"/>
  <c r="Z370" i="40"/>
  <c r="Z342" i="40"/>
  <c r="Z188" i="40"/>
  <c r="Z152" i="40"/>
  <c r="Z103" i="40"/>
  <c r="Z93" i="40"/>
  <c r="X372" i="40"/>
  <c r="X370" i="40"/>
  <c r="X322" i="40"/>
  <c r="X324" i="40" s="1"/>
  <c r="X244" i="40"/>
  <c r="X233" i="40"/>
  <c r="X127" i="40"/>
  <c r="X103" i="40"/>
  <c r="X99" i="40"/>
  <c r="X93" i="40"/>
  <c r="X92" i="40"/>
  <c r="V418" i="40"/>
  <c r="V404" i="40"/>
  <c r="V373" i="40"/>
  <c r="V372" i="40"/>
  <c r="V370" i="40"/>
  <c r="V278" i="40"/>
  <c r="V237" i="40"/>
  <c r="V103" i="40"/>
  <c r="V98" i="40"/>
  <c r="V93" i="40"/>
  <c r="V92" i="40"/>
  <c r="T99" i="40"/>
  <c r="T427" i="40" l="1"/>
  <c r="T373" i="40"/>
  <c r="T372" i="40"/>
  <c r="T370" i="40"/>
  <c r="T342" i="40"/>
  <c r="T275" i="40"/>
  <c r="T270" i="40"/>
  <c r="T103" i="40"/>
  <c r="T93" i="40"/>
  <c r="R373" i="40"/>
  <c r="R370" i="40"/>
  <c r="R237" i="40"/>
  <c r="R127" i="40"/>
  <c r="R103" i="40"/>
  <c r="R93" i="40"/>
  <c r="Q418" i="40"/>
  <c r="Q404" i="40"/>
  <c r="Q215" i="40"/>
  <c r="Q127" i="40"/>
  <c r="P278" i="40"/>
  <c r="P215" i="40"/>
  <c r="N373" i="40"/>
  <c r="N370" i="40"/>
  <c r="N360" i="40"/>
  <c r="N353" i="40"/>
  <c r="N295" i="40"/>
  <c r="N244" i="40"/>
  <c r="N235" i="40"/>
  <c r="N232" i="40"/>
  <c r="N198" i="40"/>
  <c r="N103" i="40"/>
  <c r="N93" i="40"/>
  <c r="L342" i="40"/>
  <c r="J416" i="40"/>
  <c r="J373" i="40"/>
  <c r="J372" i="40"/>
  <c r="J370" i="40"/>
  <c r="J358" i="40"/>
  <c r="J353" i="40"/>
  <c r="J324" i="40"/>
  <c r="J233" i="40"/>
  <c r="J235" i="40" s="1"/>
  <c r="J180" i="40"/>
  <c r="J168" i="40"/>
  <c r="J166" i="40"/>
  <c r="J103" i="40"/>
  <c r="J99" i="40"/>
  <c r="J93" i="40"/>
  <c r="H501" i="40" l="1"/>
  <c r="H370" i="40"/>
  <c r="H206" i="40"/>
  <c r="H199" i="40"/>
  <c r="H168" i="40"/>
  <c r="H166" i="40"/>
  <c r="H162" i="40"/>
  <c r="H98" i="40"/>
  <c r="H93" i="40"/>
  <c r="H41" i="41" l="1"/>
  <c r="H93" i="41"/>
  <c r="J51" i="41"/>
  <c r="AO53" i="43" l="1"/>
  <c r="BS53" i="43" s="1"/>
  <c r="AO54" i="43"/>
  <c r="BS54" i="43" s="1"/>
  <c r="AO25" i="43"/>
  <c r="BS25" i="43" s="1"/>
  <c r="AO20" i="43"/>
  <c r="BS20" i="43" s="1"/>
  <c r="AO18" i="43"/>
  <c r="BS18" i="43" s="1"/>
  <c r="C371" i="5"/>
  <c r="E134" i="3" l="1"/>
  <c r="E133" i="3"/>
  <c r="E132" i="3"/>
  <c r="E131" i="3"/>
  <c r="E130" i="3"/>
  <c r="E129" i="3"/>
  <c r="A364" i="5" l="1"/>
  <c r="A363" i="5"/>
  <c r="D17" i="14"/>
  <c r="D18" i="14"/>
  <c r="G93" i="41"/>
  <c r="I55" i="41"/>
  <c r="I56" i="41"/>
  <c r="I57" i="41"/>
  <c r="I58" i="41"/>
  <c r="I59" i="41"/>
  <c r="I60" i="41"/>
  <c r="A157" i="5" l="1"/>
  <c r="C356" i="5" l="1"/>
  <c r="A361" i="5"/>
  <c r="C367" i="5"/>
  <c r="C362" i="5" l="1"/>
  <c r="C365" i="5"/>
  <c r="M17" i="36"/>
  <c r="H364" i="18" l="1"/>
  <c r="H362" i="18"/>
  <c r="M19" i="36" l="1"/>
  <c r="AL443" i="40" l="1"/>
  <c r="AJ443" i="40"/>
  <c r="AF443" i="40"/>
  <c r="AD443" i="40"/>
  <c r="AB443" i="40"/>
  <c r="Z443" i="40"/>
  <c r="X443" i="40"/>
  <c r="V443" i="40"/>
  <c r="T443" i="40"/>
  <c r="R443" i="40"/>
  <c r="Q443" i="40"/>
  <c r="P443" i="40"/>
  <c r="L443" i="40"/>
  <c r="H466" i="18"/>
  <c r="G246" i="18" l="1"/>
  <c r="G88" i="18"/>
  <c r="G55" i="18"/>
  <c r="G45" i="18"/>
  <c r="B154" i="36"/>
  <c r="B153" i="36"/>
  <c r="B42" i="36"/>
  <c r="F19" i="36"/>
  <c r="E19" i="36"/>
  <c r="H266" i="18" l="1"/>
  <c r="N246" i="40"/>
  <c r="H298" i="18"/>
  <c r="E111" i="44"/>
  <c r="H464" i="18"/>
  <c r="H463" i="18"/>
  <c r="H462" i="18"/>
  <c r="H461" i="18"/>
  <c r="H460" i="18"/>
  <c r="H459" i="18"/>
  <c r="H458" i="18"/>
  <c r="H450" i="18"/>
  <c r="H449" i="18"/>
  <c r="H448" i="18"/>
  <c r="H447" i="18"/>
  <c r="H446" i="18"/>
  <c r="H445" i="18"/>
  <c r="H441" i="18"/>
  <c r="H440" i="18"/>
  <c r="H439" i="18"/>
  <c r="H438" i="18"/>
  <c r="H437" i="18"/>
  <c r="H436" i="18"/>
  <c r="H435" i="18"/>
  <c r="H434" i="18"/>
  <c r="H433" i="18"/>
  <c r="H431" i="18"/>
  <c r="H430" i="18"/>
  <c r="H427" i="18"/>
  <c r="H426" i="18"/>
  <c r="H425" i="18"/>
  <c r="H424" i="18"/>
  <c r="H423" i="18"/>
  <c r="H422" i="18"/>
  <c r="H421" i="18"/>
  <c r="H420" i="18"/>
  <c r="H418" i="18"/>
  <c r="H417" i="18"/>
  <c r="H414" i="18"/>
  <c r="H413" i="18"/>
  <c r="H412" i="18"/>
  <c r="H409" i="18"/>
  <c r="H408" i="18"/>
  <c r="H407" i="18"/>
  <c r="H405" i="18"/>
  <c r="H404" i="18"/>
  <c r="H403" i="18"/>
  <c r="H402" i="18"/>
  <c r="H401" i="18"/>
  <c r="H400" i="18"/>
  <c r="H398" i="18"/>
  <c r="H395" i="18"/>
  <c r="H394" i="18"/>
  <c r="H392" i="18"/>
  <c r="H391" i="18"/>
  <c r="H390" i="18"/>
  <c r="H389" i="18"/>
  <c r="H388" i="18"/>
  <c r="H387" i="18"/>
  <c r="H386" i="18"/>
  <c r="H383" i="18"/>
  <c r="H382" i="18"/>
  <c r="H381" i="18"/>
  <c r="H380" i="18"/>
  <c r="H379" i="18"/>
  <c r="H376" i="18"/>
  <c r="H356" i="18"/>
  <c r="H352" i="18"/>
  <c r="H351" i="18"/>
  <c r="H350" i="18"/>
  <c r="H339" i="18"/>
  <c r="H338" i="18"/>
  <c r="H344" i="18"/>
  <c r="H343" i="18"/>
  <c r="H334" i="18"/>
  <c r="H333" i="18"/>
  <c r="H332" i="18"/>
  <c r="H331" i="18"/>
  <c r="H317" i="18"/>
  <c r="H316" i="18"/>
  <c r="H315" i="18"/>
  <c r="H312" i="18"/>
  <c r="H311" i="18"/>
  <c r="H310" i="18"/>
  <c r="H309" i="18"/>
  <c r="H308" i="18"/>
  <c r="H307" i="18"/>
  <c r="H305" i="18"/>
  <c r="H304" i="18"/>
  <c r="H297" i="18"/>
  <c r="H294" i="18"/>
  <c r="H293" i="18"/>
  <c r="H291" i="18"/>
  <c r="H290" i="18"/>
  <c r="H289" i="18"/>
  <c r="H288" i="18"/>
  <c r="H286" i="18"/>
  <c r="H285" i="18"/>
  <c r="H283" i="18"/>
  <c r="H282" i="18"/>
  <c r="H281" i="18"/>
  <c r="H280" i="18"/>
  <c r="H279" i="18"/>
  <c r="H278" i="18"/>
  <c r="H268" i="18"/>
  <c r="H265" i="18"/>
  <c r="H264" i="18"/>
  <c r="H263" i="18"/>
  <c r="H262" i="18"/>
  <c r="H255" i="18"/>
  <c r="H253" i="18"/>
  <c r="H252" i="18"/>
  <c r="H251" i="18"/>
  <c r="H250" i="18"/>
  <c r="H249" i="18"/>
  <c r="H248" i="18"/>
  <c r="H245" i="18"/>
  <c r="H244" i="18"/>
  <c r="H243" i="18"/>
  <c r="H235" i="18"/>
  <c r="H234" i="18"/>
  <c r="H233" i="18"/>
  <c r="H231" i="18"/>
  <c r="H230" i="18"/>
  <c r="H229" i="18"/>
  <c r="H226" i="18"/>
  <c r="H225" i="18"/>
  <c r="H223" i="18"/>
  <c r="H222" i="18"/>
  <c r="H221" i="18"/>
  <c r="H220" i="18"/>
  <c r="H217" i="18"/>
  <c r="H216" i="18"/>
  <c r="H214" i="18"/>
  <c r="H208" i="18"/>
  <c r="H207" i="18"/>
  <c r="H206" i="18"/>
  <c r="H205" i="18"/>
  <c r="H203" i="18"/>
  <c r="H202" i="18"/>
  <c r="H191" i="18"/>
  <c r="H190" i="18"/>
  <c r="H189" i="18"/>
  <c r="H188" i="18"/>
  <c r="H187" i="18"/>
  <c r="H186" i="18"/>
  <c r="H185" i="18"/>
  <c r="H180" i="18"/>
  <c r="H146" i="18"/>
  <c r="H145" i="18"/>
  <c r="H144" i="18"/>
  <c r="H143" i="18"/>
  <c r="H142" i="18"/>
  <c r="H141" i="18"/>
  <c r="H140" i="18"/>
  <c r="I140" i="18" s="1"/>
  <c r="C81" i="47" s="1"/>
  <c r="H173" i="18"/>
  <c r="H172" i="18"/>
  <c r="H171" i="18"/>
  <c r="H170" i="18"/>
  <c r="H169" i="18"/>
  <c r="H168" i="18"/>
  <c r="H167" i="18"/>
  <c r="H166" i="18"/>
  <c r="I166" i="18" s="1"/>
  <c r="C100" i="47" s="1"/>
  <c r="H165" i="18"/>
  <c r="H164" i="18"/>
  <c r="H163" i="18"/>
  <c r="H162" i="18"/>
  <c r="H159" i="18"/>
  <c r="H158" i="18"/>
  <c r="H157" i="18"/>
  <c r="AL138" i="40"/>
  <c r="AJ138" i="40"/>
  <c r="AF138" i="40"/>
  <c r="AD138" i="40"/>
  <c r="AB138" i="40"/>
  <c r="Z138" i="40"/>
  <c r="X138" i="40"/>
  <c r="V138" i="40"/>
  <c r="T138" i="40"/>
  <c r="R138" i="40"/>
  <c r="Q138" i="40"/>
  <c r="P138" i="40"/>
  <c r="N138" i="40"/>
  <c r="L138" i="40"/>
  <c r="J138" i="40"/>
  <c r="H138" i="40"/>
  <c r="H155" i="18"/>
  <c r="H154" i="18"/>
  <c r="H153" i="18"/>
  <c r="H152" i="18"/>
  <c r="J125" i="40"/>
  <c r="C42" i="36" l="1"/>
  <c r="D42" i="36" s="1"/>
  <c r="I460" i="18"/>
  <c r="I434" i="18"/>
  <c r="I421" i="18"/>
  <c r="H73" i="3"/>
  <c r="AL473" i="40" l="1"/>
  <c r="AJ473" i="40"/>
  <c r="AF473" i="40"/>
  <c r="AD473" i="40"/>
  <c r="AB473" i="40"/>
  <c r="Z473" i="40"/>
  <c r="X473" i="40"/>
  <c r="V473" i="40"/>
  <c r="T473" i="40"/>
  <c r="R473" i="40"/>
  <c r="Q473" i="40"/>
  <c r="P473" i="40"/>
  <c r="N473" i="40"/>
  <c r="L473" i="40"/>
  <c r="J473" i="40"/>
  <c r="AL495" i="40"/>
  <c r="AJ495" i="40"/>
  <c r="AF495" i="40"/>
  <c r="AD495" i="40"/>
  <c r="AB495" i="40"/>
  <c r="Z495" i="40"/>
  <c r="X495" i="40"/>
  <c r="V495" i="40"/>
  <c r="T495" i="40"/>
  <c r="R495" i="40"/>
  <c r="Q495" i="40"/>
  <c r="P495" i="40"/>
  <c r="N495" i="40"/>
  <c r="L495" i="40"/>
  <c r="J495" i="40"/>
  <c r="H495" i="40"/>
  <c r="H473" i="40"/>
  <c r="J290" i="40" l="1"/>
  <c r="L182" i="40" l="1"/>
  <c r="X290" i="40"/>
  <c r="H443" i="40"/>
  <c r="R188" i="40" l="1"/>
  <c r="H432" i="18" l="1"/>
  <c r="H419" i="18"/>
  <c r="H397" i="18"/>
  <c r="H393" i="18"/>
  <c r="AO15" i="43" l="1"/>
  <c r="AO16" i="43"/>
  <c r="AO17" i="43"/>
  <c r="AO19" i="43"/>
  <c r="AO21" i="43"/>
  <c r="AO22" i="43"/>
  <c r="AO23" i="43"/>
  <c r="AO24" i="43"/>
  <c r="AO26" i="43"/>
  <c r="AO27" i="43"/>
  <c r="AO28" i="43"/>
  <c r="AO29" i="43"/>
  <c r="AO30" i="43"/>
  <c r="AO31" i="43"/>
  <c r="AO32" i="43"/>
  <c r="AO33" i="43"/>
  <c r="AO34" i="43"/>
  <c r="AO35" i="43"/>
  <c r="AO36" i="43"/>
  <c r="AO37" i="43"/>
  <c r="AO38" i="43"/>
  <c r="AO39" i="43"/>
  <c r="AO40" i="43"/>
  <c r="AO41" i="43"/>
  <c r="AO42" i="43"/>
  <c r="AO43" i="43"/>
  <c r="AO44" i="43"/>
  <c r="BS44" i="43" s="1"/>
  <c r="AO45" i="43"/>
  <c r="AO46" i="43"/>
  <c r="AO47" i="43"/>
  <c r="AO48" i="43"/>
  <c r="AO49" i="43"/>
  <c r="AO50" i="43"/>
  <c r="AO51" i="43"/>
  <c r="AO52" i="43"/>
  <c r="AO55" i="43"/>
  <c r="AO56" i="43"/>
  <c r="AO14" i="43"/>
  <c r="AI135" i="52"/>
  <c r="Y135" i="52"/>
  <c r="AG135" i="52" s="1"/>
  <c r="AI134" i="52"/>
  <c r="Y134" i="52"/>
  <c r="AG134" i="52" s="1"/>
  <c r="AI133" i="52"/>
  <c r="Y133" i="52"/>
  <c r="AG133" i="52" s="1"/>
  <c r="AI132" i="52"/>
  <c r="Y132" i="52"/>
  <c r="AG132" i="52" s="1"/>
  <c r="AI131" i="52"/>
  <c r="Y131" i="52"/>
  <c r="AG131" i="52" s="1"/>
  <c r="AF132" i="52" l="1"/>
  <c r="AF134" i="52"/>
  <c r="AF131" i="52"/>
  <c r="AF133" i="52"/>
  <c r="AF135" i="52"/>
  <c r="A10" i="18" l="1"/>
  <c r="B175" i="36" l="1"/>
  <c r="B176" i="36"/>
  <c r="E84" i="44" l="1"/>
  <c r="G65" i="44"/>
  <c r="E65" i="44"/>
  <c r="G52" i="44"/>
  <c r="E52" i="44"/>
  <c r="C52" i="39"/>
  <c r="B52" i="39"/>
  <c r="C36" i="8"/>
  <c r="C32" i="8"/>
  <c r="A185" i="36"/>
  <c r="A181" i="36"/>
  <c r="C175" i="36"/>
  <c r="D174" i="36"/>
  <c r="D173" i="36"/>
  <c r="D172" i="36"/>
  <c r="D171" i="36"/>
  <c r="D170" i="36"/>
  <c r="D169" i="36"/>
  <c r="D168" i="36"/>
  <c r="D167" i="36"/>
  <c r="D166" i="36"/>
  <c r="D165" i="36"/>
  <c r="D164" i="36"/>
  <c r="D163" i="36"/>
  <c r="D162" i="36"/>
  <c r="D161" i="36"/>
  <c r="C40" i="36"/>
  <c r="B40" i="36"/>
  <c r="G19" i="36"/>
  <c r="E52" i="39" l="1"/>
  <c r="F52" i="39" s="1"/>
  <c r="D40" i="36"/>
  <c r="I65" i="44"/>
  <c r="K65" i="44" s="1"/>
  <c r="F161" i="36"/>
  <c r="I52" i="44"/>
  <c r="K52" i="44" s="1"/>
  <c r="D175" i="36"/>
  <c r="E135" i="3" l="1"/>
  <c r="E112" i="3"/>
  <c r="E108" i="3"/>
  <c r="E109" i="3"/>
  <c r="E110" i="3"/>
  <c r="E111" i="3"/>
  <c r="E107" i="3"/>
  <c r="K72" i="3"/>
  <c r="H72" i="3"/>
  <c r="E72" i="3"/>
  <c r="N71" i="3"/>
  <c r="K49" i="3" l="1"/>
  <c r="H49" i="3"/>
  <c r="E49" i="3"/>
  <c r="N47" i="3"/>
  <c r="F480" i="18"/>
  <c r="A126" i="36" l="1"/>
  <c r="A122" i="36"/>
  <c r="C19" i="8" l="1"/>
  <c r="C23" i="8"/>
  <c r="B39" i="36" l="1"/>
  <c r="BS21" i="43"/>
  <c r="BS55" i="43"/>
  <c r="B265" i="5" l="1"/>
  <c r="B117" i="36"/>
  <c r="B116" i="36"/>
  <c r="C116" i="36"/>
  <c r="D115" i="36"/>
  <c r="D114" i="36"/>
  <c r="D113" i="36"/>
  <c r="D112" i="36"/>
  <c r="D111" i="36"/>
  <c r="D110" i="36"/>
  <c r="D109" i="36"/>
  <c r="D108" i="36"/>
  <c r="D107" i="36"/>
  <c r="D106" i="36"/>
  <c r="D105" i="36"/>
  <c r="D104" i="36"/>
  <c r="D103" i="36"/>
  <c r="D102" i="36"/>
  <c r="D116" i="36" l="1"/>
  <c r="N43" i="3"/>
  <c r="D3" i="47" l="1"/>
  <c r="D4" i="47"/>
  <c r="D5" i="47"/>
  <c r="D6" i="47"/>
  <c r="D3" i="41"/>
  <c r="D4" i="41"/>
  <c r="D5" i="41"/>
  <c r="D6" i="41"/>
  <c r="D3" i="43"/>
  <c r="D4" i="43"/>
  <c r="D5" i="43"/>
  <c r="D6" i="43"/>
  <c r="C3" i="29"/>
  <c r="C4" i="29"/>
  <c r="C5" i="29"/>
  <c r="C6" i="29"/>
  <c r="B3" i="4"/>
  <c r="B4" i="4"/>
  <c r="B5" i="4"/>
  <c r="B6" i="4"/>
  <c r="E166" i="3"/>
  <c r="E173" i="3"/>
  <c r="K62" i="3"/>
  <c r="K74" i="3" s="1"/>
  <c r="K76" i="3" s="1"/>
  <c r="H62" i="3"/>
  <c r="E62" i="3"/>
  <c r="E6" i="3"/>
  <c r="E5" i="3"/>
  <c r="E4" i="3"/>
  <c r="E3" i="3"/>
  <c r="B6" i="14"/>
  <c r="B5" i="14"/>
  <c r="B3" i="14"/>
  <c r="B3" i="8"/>
  <c r="B4" i="8"/>
  <c r="B5" i="8"/>
  <c r="B6" i="8"/>
  <c r="H74" i="3" l="1"/>
  <c r="H76" i="3" s="1"/>
  <c r="E74" i="3"/>
  <c r="E76" i="3" s="1"/>
  <c r="C37" i="5"/>
  <c r="A307" i="5" l="1"/>
  <c r="A267" i="5"/>
  <c r="C82" i="5"/>
  <c r="C81" i="5"/>
  <c r="C80" i="5"/>
  <c r="C77" i="5"/>
  <c r="C79" i="5"/>
  <c r="C78" i="5"/>
  <c r="C56" i="5"/>
  <c r="C40" i="5"/>
  <c r="B20" i="5"/>
  <c r="B18" i="5"/>
  <c r="B17" i="5"/>
  <c r="B15" i="5"/>
  <c r="B16" i="5"/>
  <c r="C6" i="5"/>
  <c r="C5" i="5"/>
  <c r="C4" i="5"/>
  <c r="B3" i="33"/>
  <c r="B4" i="33"/>
  <c r="B5" i="33"/>
  <c r="B6" i="33"/>
  <c r="B3" i="32"/>
  <c r="B4" i="32"/>
  <c r="B6" i="32"/>
  <c r="B5" i="32"/>
  <c r="D32" i="39" l="1"/>
  <c r="B3" i="39"/>
  <c r="B4" i="39"/>
  <c r="B5" i="39"/>
  <c r="B6" i="39"/>
  <c r="C54" i="39"/>
  <c r="B54" i="39"/>
  <c r="F481" i="18"/>
  <c r="F479" i="18"/>
  <c r="E85" i="44"/>
  <c r="I461" i="18"/>
  <c r="E54" i="39" l="1"/>
  <c r="F54" i="39" s="1"/>
  <c r="C336" i="5" l="1"/>
  <c r="C333" i="5"/>
  <c r="E67" i="44" l="1"/>
  <c r="K54" i="44"/>
  <c r="E54" i="44"/>
  <c r="F21" i="36"/>
  <c r="F139" i="36" s="1"/>
  <c r="E21" i="36"/>
  <c r="G21" i="36" l="1"/>
  <c r="M21" i="36"/>
  <c r="C153" i="36" l="1"/>
  <c r="D152" i="36"/>
  <c r="D151" i="36"/>
  <c r="D150" i="36"/>
  <c r="D149" i="36"/>
  <c r="D148" i="36"/>
  <c r="D147" i="36"/>
  <c r="D146" i="36"/>
  <c r="D145" i="36"/>
  <c r="D144" i="36"/>
  <c r="D143" i="36"/>
  <c r="D142" i="36"/>
  <c r="D141" i="36"/>
  <c r="D140" i="36"/>
  <c r="D139" i="36"/>
  <c r="D153" i="36" l="1"/>
  <c r="N70" i="3" l="1"/>
  <c r="N69" i="3"/>
  <c r="N68" i="3"/>
  <c r="N67" i="3"/>
  <c r="N66" i="3"/>
  <c r="N45" i="3"/>
  <c r="B46" i="3" s="1"/>
  <c r="N44" i="3"/>
  <c r="N42" i="3"/>
  <c r="N41" i="3"/>
  <c r="I423" i="18"/>
  <c r="I168" i="18"/>
  <c r="I142" i="18"/>
  <c r="N72" i="3" l="1"/>
  <c r="G67" i="44"/>
  <c r="I67" i="44" s="1"/>
  <c r="K67" i="44" s="1"/>
  <c r="C102" i="47"/>
  <c r="C83" i="47"/>
  <c r="G54" i="44"/>
  <c r="Q111" i="52"/>
  <c r="Q110" i="52"/>
  <c r="Q109" i="52"/>
  <c r="Q108" i="52"/>
  <c r="Q107" i="52"/>
  <c r="Q105" i="52"/>
  <c r="Q104" i="52"/>
  <c r="Q103" i="52"/>
  <c r="Q102" i="52"/>
  <c r="Q101" i="52"/>
  <c r="Q99" i="52"/>
  <c r="Q98" i="52"/>
  <c r="Q97" i="52"/>
  <c r="Q96" i="52"/>
  <c r="Q95" i="52"/>
  <c r="Q93" i="52"/>
  <c r="Q91" i="52"/>
  <c r="Q90" i="52"/>
  <c r="Q89" i="52"/>
  <c r="Q88" i="52"/>
  <c r="Q87" i="52"/>
  <c r="Q85" i="52"/>
  <c r="Q84" i="52"/>
  <c r="Q83" i="52"/>
  <c r="Q82" i="52"/>
  <c r="Q81" i="52"/>
  <c r="Q79" i="52"/>
  <c r="Q78" i="52"/>
  <c r="Q77" i="52"/>
  <c r="Q76" i="52"/>
  <c r="Q75" i="52"/>
  <c r="Q74" i="52"/>
  <c r="Q72" i="52"/>
  <c r="Q71" i="52"/>
  <c r="Q70" i="52"/>
  <c r="Q69" i="52"/>
  <c r="Q68" i="52"/>
  <c r="Q66" i="52"/>
  <c r="Q65" i="52"/>
  <c r="Q64" i="52"/>
  <c r="Q63" i="52"/>
  <c r="Q62" i="52"/>
  <c r="Q60" i="52"/>
  <c r="Q59" i="52"/>
  <c r="Q58" i="52"/>
  <c r="Q57" i="52"/>
  <c r="Q56" i="52"/>
  <c r="Q54" i="52"/>
  <c r="Q53" i="52"/>
  <c r="Q52" i="52"/>
  <c r="Q51" i="52"/>
  <c r="Q50" i="52"/>
  <c r="Q48" i="52"/>
  <c r="Q47" i="52"/>
  <c r="Q46" i="52"/>
  <c r="Q45" i="52"/>
  <c r="Q44" i="52"/>
  <c r="Q42" i="52"/>
  <c r="Q41" i="52"/>
  <c r="Q40" i="52"/>
  <c r="Q39" i="52"/>
  <c r="Q38" i="52"/>
  <c r="Q36" i="52"/>
  <c r="Q35" i="52"/>
  <c r="Q34" i="52"/>
  <c r="Q33" i="52"/>
  <c r="Q32" i="52"/>
  <c r="Q30" i="52"/>
  <c r="Q29" i="52"/>
  <c r="Q28" i="52"/>
  <c r="Q27" i="52"/>
  <c r="Q26" i="52"/>
  <c r="Q24" i="52"/>
  <c r="Q23" i="52"/>
  <c r="Q22" i="52"/>
  <c r="Q21" i="52"/>
  <c r="Q20" i="52"/>
  <c r="Q18" i="52"/>
  <c r="Q17" i="52"/>
  <c r="Q16" i="52"/>
  <c r="Q15" i="52"/>
  <c r="Q14" i="52"/>
  <c r="Q12" i="52"/>
  <c r="Z12" i="52" l="1"/>
  <c r="AF272" i="40" l="1"/>
  <c r="AD290" i="40"/>
  <c r="AD233" i="40"/>
  <c r="AI154" i="52" l="1"/>
  <c r="AI153" i="52"/>
  <c r="AI152" i="52"/>
  <c r="AI151" i="52"/>
  <c r="AI150" i="52"/>
  <c r="AI148" i="52"/>
  <c r="AI147" i="52"/>
  <c r="AI146" i="52"/>
  <c r="AI145" i="52"/>
  <c r="AI144" i="52"/>
  <c r="AI142" i="52"/>
  <c r="AI141" i="52"/>
  <c r="AI140" i="52"/>
  <c r="AI139" i="52"/>
  <c r="AI138" i="52"/>
  <c r="AI137" i="52"/>
  <c r="AI129" i="52"/>
  <c r="AI128" i="52"/>
  <c r="AI127" i="52"/>
  <c r="AI126" i="52"/>
  <c r="AI125" i="52"/>
  <c r="AI123" i="52"/>
  <c r="AI122" i="52"/>
  <c r="AI121" i="52"/>
  <c r="AI120" i="52"/>
  <c r="AI119" i="52"/>
  <c r="AI117" i="52"/>
  <c r="AI116" i="52"/>
  <c r="AI115" i="52"/>
  <c r="AI114" i="52"/>
  <c r="AI113" i="52"/>
  <c r="AI111" i="52"/>
  <c r="AI110" i="52"/>
  <c r="AI109" i="52"/>
  <c r="AI108" i="52"/>
  <c r="AI107" i="52"/>
  <c r="AI105" i="52"/>
  <c r="AI104" i="52"/>
  <c r="AI103" i="52"/>
  <c r="AI102" i="52"/>
  <c r="AI101" i="52"/>
  <c r="AI99" i="52"/>
  <c r="AI98" i="52"/>
  <c r="AI97" i="52"/>
  <c r="AI96" i="52"/>
  <c r="AI95" i="52"/>
  <c r="AI93" i="52"/>
  <c r="AI91" i="52"/>
  <c r="AI90" i="52"/>
  <c r="AI89" i="52"/>
  <c r="AI88" i="52"/>
  <c r="AI87" i="52"/>
  <c r="AI85" i="52"/>
  <c r="AI84" i="52"/>
  <c r="AI83" i="52"/>
  <c r="AI82" i="52"/>
  <c r="AI81" i="52"/>
  <c r="AI79" i="52"/>
  <c r="AI78" i="52"/>
  <c r="AI77" i="52"/>
  <c r="AI76" i="52"/>
  <c r="AI75" i="52"/>
  <c r="AI74" i="52"/>
  <c r="AI72" i="52"/>
  <c r="AI71" i="52"/>
  <c r="AI70" i="52"/>
  <c r="AI69" i="52"/>
  <c r="AI68" i="52"/>
  <c r="AI66" i="52"/>
  <c r="AI65" i="52"/>
  <c r="AI64" i="52"/>
  <c r="AI63" i="52"/>
  <c r="AI62" i="52"/>
  <c r="AI60" i="52"/>
  <c r="AI59" i="52"/>
  <c r="AI58" i="52"/>
  <c r="AI57" i="52"/>
  <c r="AI56" i="52"/>
  <c r="AI54" i="52"/>
  <c r="AI53" i="52"/>
  <c r="AI52" i="52"/>
  <c r="AI51" i="52"/>
  <c r="AI50" i="52"/>
  <c r="AI48" i="52"/>
  <c r="AI47" i="52"/>
  <c r="AI46" i="52"/>
  <c r="AI45" i="52"/>
  <c r="AI44" i="52"/>
  <c r="AI42" i="52"/>
  <c r="AI41" i="52"/>
  <c r="AI40" i="52"/>
  <c r="AI39" i="52"/>
  <c r="AI38" i="52"/>
  <c r="AI36" i="52"/>
  <c r="AI35" i="52"/>
  <c r="AI34" i="52"/>
  <c r="AI33" i="52"/>
  <c r="AI32" i="52"/>
  <c r="AI30" i="52"/>
  <c r="AI29" i="52"/>
  <c r="AI28" i="52"/>
  <c r="AI27" i="52"/>
  <c r="AI26" i="52"/>
  <c r="AI24" i="52"/>
  <c r="AI23" i="52"/>
  <c r="AI22" i="52"/>
  <c r="AI21" i="52"/>
  <c r="AI20" i="52"/>
  <c r="AI18" i="52"/>
  <c r="AI17" i="52"/>
  <c r="AI16" i="52"/>
  <c r="AI15" i="52"/>
  <c r="AI14" i="52"/>
  <c r="AI12" i="52"/>
  <c r="B32" i="34" l="1"/>
  <c r="B33" i="34"/>
  <c r="B34" i="34"/>
  <c r="B35" i="34"/>
  <c r="B36" i="34"/>
  <c r="B37" i="34"/>
  <c r="B38" i="34"/>
  <c r="B31" i="34"/>
  <c r="B14" i="34"/>
  <c r="B15" i="34"/>
  <c r="B16" i="34"/>
  <c r="B17" i="34"/>
  <c r="B18" i="34"/>
  <c r="B19" i="34"/>
  <c r="B20" i="34"/>
  <c r="B13" i="34"/>
  <c r="B51" i="14" l="1"/>
  <c r="B52" i="14"/>
  <c r="B53" i="14"/>
  <c r="B54" i="14"/>
  <c r="B55" i="14"/>
  <c r="B56" i="14"/>
  <c r="B57" i="14"/>
  <c r="B50" i="14"/>
  <c r="B36" i="14"/>
  <c r="B37" i="14"/>
  <c r="B38" i="14"/>
  <c r="B39" i="14"/>
  <c r="B40" i="14"/>
  <c r="B41" i="14"/>
  <c r="B42" i="14"/>
  <c r="B35" i="14"/>
  <c r="D19" i="14"/>
  <c r="D20" i="14"/>
  <c r="D21" i="14"/>
  <c r="D22" i="14"/>
  <c r="D23" i="14"/>
  <c r="D24" i="14"/>
  <c r="D57" i="4"/>
  <c r="D58" i="4"/>
  <c r="D59" i="4"/>
  <c r="D60" i="4"/>
  <c r="D61" i="4"/>
  <c r="D62" i="4"/>
  <c r="D63" i="4"/>
  <c r="D64" i="4"/>
  <c r="D65" i="4"/>
  <c r="D66" i="4"/>
  <c r="D67" i="4"/>
  <c r="D68" i="4"/>
  <c r="D56" i="4"/>
  <c r="B41" i="4"/>
  <c r="B42" i="4"/>
  <c r="B43" i="4"/>
  <c r="B44" i="4"/>
  <c r="B45" i="4"/>
  <c r="B46" i="4"/>
  <c r="B47" i="4"/>
  <c r="B40" i="4"/>
  <c r="I392" i="18"/>
  <c r="E23" i="44"/>
  <c r="H465" i="18"/>
  <c r="N443" i="40" l="1"/>
  <c r="P111" i="52" l="1"/>
  <c r="P110" i="52"/>
  <c r="P109" i="52"/>
  <c r="P108" i="52"/>
  <c r="P107" i="52"/>
  <c r="P105" i="52"/>
  <c r="P104" i="52"/>
  <c r="P103" i="52"/>
  <c r="P102" i="52"/>
  <c r="P101" i="52"/>
  <c r="P99" i="52"/>
  <c r="P98" i="52"/>
  <c r="P97" i="52"/>
  <c r="P96" i="52"/>
  <c r="P95" i="52"/>
  <c r="P93" i="52"/>
  <c r="P91" i="52"/>
  <c r="P90" i="52"/>
  <c r="P89" i="52"/>
  <c r="P88" i="52"/>
  <c r="P87" i="52"/>
  <c r="P85" i="52"/>
  <c r="P84" i="52"/>
  <c r="P83" i="52"/>
  <c r="P82" i="52"/>
  <c r="P81" i="52"/>
  <c r="P79" i="52"/>
  <c r="P78" i="52"/>
  <c r="P77" i="52"/>
  <c r="P76" i="52"/>
  <c r="P75" i="52"/>
  <c r="P74" i="52"/>
  <c r="P72" i="52"/>
  <c r="P71" i="52"/>
  <c r="P70" i="52"/>
  <c r="P69" i="52"/>
  <c r="P68" i="52"/>
  <c r="P66" i="52"/>
  <c r="P65" i="52"/>
  <c r="P64" i="52"/>
  <c r="P63" i="52"/>
  <c r="P62" i="52"/>
  <c r="P60" i="52"/>
  <c r="P59" i="52"/>
  <c r="P58" i="52"/>
  <c r="P57" i="52"/>
  <c r="P56" i="52"/>
  <c r="P54" i="52"/>
  <c r="P53" i="52"/>
  <c r="P52" i="52"/>
  <c r="P51" i="52"/>
  <c r="P50" i="52"/>
  <c r="P48" i="52"/>
  <c r="P47" i="52"/>
  <c r="P46" i="52"/>
  <c r="P45" i="52"/>
  <c r="P44" i="52"/>
  <c r="P42" i="52"/>
  <c r="P41" i="52"/>
  <c r="P40" i="52"/>
  <c r="P39" i="52"/>
  <c r="P38" i="52"/>
  <c r="P36" i="52"/>
  <c r="P35" i="52"/>
  <c r="P34" i="52"/>
  <c r="P33" i="52"/>
  <c r="P32" i="52"/>
  <c r="P30" i="52"/>
  <c r="P29" i="52"/>
  <c r="P28" i="52"/>
  <c r="P27" i="52"/>
  <c r="P26" i="52"/>
  <c r="P24" i="52"/>
  <c r="P23" i="52"/>
  <c r="P22" i="52"/>
  <c r="P21" i="52"/>
  <c r="P20" i="52"/>
  <c r="P18" i="52"/>
  <c r="P17" i="52"/>
  <c r="P16" i="52"/>
  <c r="P15" i="52"/>
  <c r="P14" i="52"/>
  <c r="P12" i="52"/>
  <c r="AL486" i="40" l="1"/>
  <c r="AL497" i="40" s="1"/>
  <c r="AL499" i="40" s="1"/>
  <c r="AJ486" i="40"/>
  <c r="AJ497" i="40" s="1"/>
  <c r="AJ499" i="40" s="1"/>
  <c r="AH486" i="40"/>
  <c r="AH499" i="40" s="1"/>
  <c r="AF486" i="40"/>
  <c r="AF497" i="40" s="1"/>
  <c r="AF499" i="40" s="1"/>
  <c r="AD486" i="40"/>
  <c r="AD497" i="40" s="1"/>
  <c r="AD499" i="40" s="1"/>
  <c r="AB486" i="40"/>
  <c r="AB497" i="40" s="1"/>
  <c r="AB499" i="40" s="1"/>
  <c r="Z486" i="40"/>
  <c r="Z497" i="40" s="1"/>
  <c r="Z499" i="40" s="1"/>
  <c r="X486" i="40"/>
  <c r="X497" i="40" s="1"/>
  <c r="X499" i="40" s="1"/>
  <c r="V486" i="40"/>
  <c r="V497" i="40" s="1"/>
  <c r="V499" i="40" s="1"/>
  <c r="T486" i="40"/>
  <c r="T497" i="40" s="1"/>
  <c r="T499" i="40" s="1"/>
  <c r="R486" i="40"/>
  <c r="R497" i="40" s="1"/>
  <c r="R499" i="40" s="1"/>
  <c r="Q486" i="40"/>
  <c r="Q497" i="40" s="1"/>
  <c r="Q499" i="40" s="1"/>
  <c r="P486" i="40"/>
  <c r="P497" i="40" s="1"/>
  <c r="P499" i="40" s="1"/>
  <c r="N486" i="40"/>
  <c r="N497" i="40" s="1"/>
  <c r="N499" i="40" s="1"/>
  <c r="L486" i="40"/>
  <c r="L497" i="40" s="1"/>
  <c r="L499" i="40" s="1"/>
  <c r="J486" i="40"/>
  <c r="J497" i="40" s="1"/>
  <c r="J499" i="40" s="1"/>
  <c r="H486" i="40"/>
  <c r="H499" i="40" s="1"/>
  <c r="AL453" i="40"/>
  <c r="AJ453" i="40"/>
  <c r="AH453" i="40"/>
  <c r="AD453" i="40"/>
  <c r="AB453" i="40"/>
  <c r="Z453" i="40"/>
  <c r="X453" i="40"/>
  <c r="V453" i="40"/>
  <c r="T453" i="40"/>
  <c r="R453" i="40"/>
  <c r="Q453" i="40"/>
  <c r="P453" i="40"/>
  <c r="N453" i="40"/>
  <c r="L453" i="40"/>
  <c r="J453" i="40"/>
  <c r="H453" i="40"/>
  <c r="AF451" i="40"/>
  <c r="AF453" i="40" s="1"/>
  <c r="AH443" i="40"/>
  <c r="J443" i="40"/>
  <c r="AI427" i="40"/>
  <c r="AG427" i="40"/>
  <c r="AE427" i="40"/>
  <c r="AC427" i="40"/>
  <c r="AA427" i="40"/>
  <c r="Y427" i="40"/>
  <c r="W427" i="40"/>
  <c r="U427" i="40"/>
  <c r="S427" i="40"/>
  <c r="O427" i="40"/>
  <c r="M427" i="40"/>
  <c r="K427" i="40"/>
  <c r="I427" i="40"/>
  <c r="AH418" i="40"/>
  <c r="AB418" i="40"/>
  <c r="Z418" i="40"/>
  <c r="X418" i="40"/>
  <c r="T418" i="40"/>
  <c r="R418" i="40"/>
  <c r="P418" i="40"/>
  <c r="N418" i="40"/>
  <c r="L418" i="40"/>
  <c r="J418" i="40"/>
  <c r="H418" i="40"/>
  <c r="AF404" i="40"/>
  <c r="AD404" i="40"/>
  <c r="AB404" i="40"/>
  <c r="Z404" i="40"/>
  <c r="X404" i="40"/>
  <c r="T404" i="40"/>
  <c r="R404" i="40"/>
  <c r="P404" i="40"/>
  <c r="N404" i="40"/>
  <c r="L404" i="40"/>
  <c r="J404" i="40"/>
  <c r="H404" i="40"/>
  <c r="AL391" i="40"/>
  <c r="AJ391" i="40"/>
  <c r="AF391" i="40"/>
  <c r="AD391" i="40"/>
  <c r="AB391" i="40"/>
  <c r="Z391" i="40"/>
  <c r="X391" i="40"/>
  <c r="V391" i="40"/>
  <c r="T391" i="40"/>
  <c r="R391" i="40"/>
  <c r="Q391" i="40"/>
  <c r="P391" i="40"/>
  <c r="N391" i="40"/>
  <c r="L391" i="40"/>
  <c r="J391" i="40"/>
  <c r="H391" i="40"/>
  <c r="AH386" i="40"/>
  <c r="AF386" i="40"/>
  <c r="AD386" i="40"/>
  <c r="AB386" i="40"/>
  <c r="Z386" i="40"/>
  <c r="X386" i="40"/>
  <c r="V386" i="40"/>
  <c r="T386" i="40"/>
  <c r="R386" i="40"/>
  <c r="Q386" i="40"/>
  <c r="P386" i="40"/>
  <c r="N386" i="40"/>
  <c r="L386" i="40"/>
  <c r="J386" i="40"/>
  <c r="H386" i="40"/>
  <c r="AL385" i="40"/>
  <c r="AL386" i="40" s="1"/>
  <c r="AJ386" i="40"/>
  <c r="V360" i="40"/>
  <c r="L360" i="40"/>
  <c r="AL342" i="40"/>
  <c r="AJ342" i="40"/>
  <c r="AH342" i="40"/>
  <c r="AF342" i="40"/>
  <c r="AD342" i="40"/>
  <c r="AB342" i="40"/>
  <c r="X342" i="40"/>
  <c r="V342" i="40"/>
  <c r="R342" i="40"/>
  <c r="Q342" i="40"/>
  <c r="P342" i="40"/>
  <c r="N342" i="40"/>
  <c r="J342" i="40"/>
  <c r="H342" i="40"/>
  <c r="AL330" i="40"/>
  <c r="AH330" i="40"/>
  <c r="AD330" i="40"/>
  <c r="AB330" i="40"/>
  <c r="R330" i="40"/>
  <c r="Q330" i="40"/>
  <c r="P330" i="40"/>
  <c r="N330" i="40"/>
  <c r="L330" i="40"/>
  <c r="J330" i="40"/>
  <c r="H330" i="40"/>
  <c r="R324" i="40"/>
  <c r="Q324" i="40"/>
  <c r="P324" i="40"/>
  <c r="AL322" i="40"/>
  <c r="AL324" i="40" s="1"/>
  <c r="AJ322" i="40"/>
  <c r="AJ324" i="40" s="1"/>
  <c r="AH322" i="40"/>
  <c r="AH324" i="40" s="1"/>
  <c r="V322" i="40"/>
  <c r="V324" i="40" s="1"/>
  <c r="T322" i="40"/>
  <c r="T324" i="40" s="1"/>
  <c r="N322" i="40"/>
  <c r="H322" i="40"/>
  <c r="H324" i="40" s="1"/>
  <c r="AF317" i="40"/>
  <c r="N317" i="40"/>
  <c r="L317" i="40"/>
  <c r="L324" i="40" s="1"/>
  <c r="B302" i="40"/>
  <c r="J297" i="40"/>
  <c r="AL295" i="40"/>
  <c r="AJ295" i="40"/>
  <c r="AJ297" i="40" s="1"/>
  <c r="AD295" i="40"/>
  <c r="AD297" i="40" s="1"/>
  <c r="AB295" i="40"/>
  <c r="AB297" i="40" s="1"/>
  <c r="Z295" i="40"/>
  <c r="Z297" i="40" s="1"/>
  <c r="X295" i="40"/>
  <c r="X297" i="40" s="1"/>
  <c r="T295" i="40"/>
  <c r="T297" i="40" s="1"/>
  <c r="R295" i="40"/>
  <c r="Q295" i="40"/>
  <c r="P295" i="40"/>
  <c r="L295" i="40"/>
  <c r="H295" i="40"/>
  <c r="AF293" i="40"/>
  <c r="AF295" i="40" s="1"/>
  <c r="V295" i="40"/>
  <c r="V297" i="40" s="1"/>
  <c r="AL290" i="40"/>
  <c r="AF290" i="40"/>
  <c r="R290" i="40"/>
  <c r="Q290" i="40"/>
  <c r="P290" i="40"/>
  <c r="N290" i="40"/>
  <c r="L290" i="40"/>
  <c r="H290" i="40"/>
  <c r="AJ278" i="40"/>
  <c r="AH276" i="40"/>
  <c r="AF276" i="40"/>
  <c r="AF278" i="40" s="1"/>
  <c r="Z276" i="40"/>
  <c r="X276" i="40"/>
  <c r="X278" i="40" s="1"/>
  <c r="V276" i="40"/>
  <c r="T276" i="40"/>
  <c r="R276" i="40"/>
  <c r="N276" i="40"/>
  <c r="J276" i="40"/>
  <c r="AB272" i="40"/>
  <c r="Z272" i="40"/>
  <c r="Z278" i="40" s="1"/>
  <c r="T272" i="40"/>
  <c r="R272" i="40"/>
  <c r="N272" i="40"/>
  <c r="L272" i="40"/>
  <c r="J272" i="40"/>
  <c r="H272" i="40"/>
  <c r="AH270" i="40"/>
  <c r="AH272" i="40" s="1"/>
  <c r="AL264" i="40"/>
  <c r="AL278" i="40" s="1"/>
  <c r="R264" i="40"/>
  <c r="Q264" i="40"/>
  <c r="Q278" i="40" s="1"/>
  <c r="P264" i="40"/>
  <c r="N264" i="40"/>
  <c r="L264" i="40"/>
  <c r="H264" i="40"/>
  <c r="AF240" i="40"/>
  <c r="X235" i="40"/>
  <c r="X237" i="40" s="1"/>
  <c r="AL233" i="40"/>
  <c r="AL235" i="40" s="1"/>
  <c r="AH233" i="40"/>
  <c r="AF233" i="40"/>
  <c r="AF235" i="40" s="1"/>
  <c r="Z233" i="40"/>
  <c r="V233" i="40"/>
  <c r="V235" i="40" s="1"/>
  <c r="T233" i="40"/>
  <c r="R233" i="40"/>
  <c r="Q233" i="40"/>
  <c r="P233" i="40"/>
  <c r="N233" i="40"/>
  <c r="L233" i="40"/>
  <c r="H233" i="40"/>
  <c r="AL223" i="40"/>
  <c r="AH223" i="40"/>
  <c r="AD223" i="40"/>
  <c r="AD235" i="40" s="1"/>
  <c r="AB223" i="40"/>
  <c r="Z223" i="40"/>
  <c r="T223" i="40"/>
  <c r="R223" i="40"/>
  <c r="Q223" i="40"/>
  <c r="P223" i="40"/>
  <c r="N223" i="40"/>
  <c r="L223" i="40"/>
  <c r="J223" i="40"/>
  <c r="H223" i="40"/>
  <c r="AJ215" i="40"/>
  <c r="AH213" i="40"/>
  <c r="AH215" i="40" s="1"/>
  <c r="AF213" i="40"/>
  <c r="AD213" i="40"/>
  <c r="AD215" i="40" s="1"/>
  <c r="AB213" i="40"/>
  <c r="Z213" i="40"/>
  <c r="Z215" i="40" s="1"/>
  <c r="X213" i="40"/>
  <c r="V213" i="40"/>
  <c r="T213" i="40"/>
  <c r="R213" i="40"/>
  <c r="Q213" i="40"/>
  <c r="P213" i="40"/>
  <c r="N213" i="40"/>
  <c r="L213" i="40"/>
  <c r="J213" i="40"/>
  <c r="AF204" i="40"/>
  <c r="X204" i="40"/>
  <c r="X215" i="40" s="1"/>
  <c r="V204" i="40"/>
  <c r="T204" i="40"/>
  <c r="R204" i="40"/>
  <c r="Q204" i="40"/>
  <c r="P204" i="40"/>
  <c r="N204" i="40"/>
  <c r="L204" i="40"/>
  <c r="J204" i="40"/>
  <c r="H204" i="40"/>
  <c r="AL195" i="40"/>
  <c r="R195" i="40"/>
  <c r="Q195" i="40"/>
  <c r="P195" i="40"/>
  <c r="N195" i="40"/>
  <c r="L195" i="40"/>
  <c r="H195" i="40"/>
  <c r="AJ188" i="40"/>
  <c r="AH188" i="40"/>
  <c r="X188" i="40"/>
  <c r="V188" i="40"/>
  <c r="AD186" i="40"/>
  <c r="AD188" i="40" s="1"/>
  <c r="AB186" i="40"/>
  <c r="AB188" i="40" s="1"/>
  <c r="Z186" i="40"/>
  <c r="T186" i="40"/>
  <c r="T188" i="40" s="1"/>
  <c r="Q186" i="40"/>
  <c r="Q188" i="40" s="1"/>
  <c r="P186" i="40"/>
  <c r="P188" i="40" s="1"/>
  <c r="N186" i="40"/>
  <c r="N188" i="40" s="1"/>
  <c r="L186" i="40"/>
  <c r="L188" i="40" s="1"/>
  <c r="J186" i="40"/>
  <c r="J188" i="40" s="1"/>
  <c r="H186" i="40"/>
  <c r="H188" i="40" s="1"/>
  <c r="AL169" i="40"/>
  <c r="AJ169" i="40"/>
  <c r="AH169" i="40"/>
  <c r="AF169" i="40"/>
  <c r="AD169" i="40"/>
  <c r="AB169" i="40"/>
  <c r="Z169" i="40"/>
  <c r="X169" i="40"/>
  <c r="V169" i="40"/>
  <c r="T169" i="40"/>
  <c r="R169" i="40"/>
  <c r="Q169" i="40"/>
  <c r="P169" i="40"/>
  <c r="N169" i="40"/>
  <c r="L169" i="40"/>
  <c r="J169" i="40"/>
  <c r="H169" i="40"/>
  <c r="AI159" i="40"/>
  <c r="AG159" i="40"/>
  <c r="AE159" i="40"/>
  <c r="AC159" i="40"/>
  <c r="AA159" i="40"/>
  <c r="W159" i="40"/>
  <c r="U159" i="40"/>
  <c r="S159" i="40"/>
  <c r="I159" i="40"/>
  <c r="AL154" i="40"/>
  <c r="AJ154" i="40"/>
  <c r="L154" i="40"/>
  <c r="AH152" i="40"/>
  <c r="AH154" i="40" s="1"/>
  <c r="AF152" i="40"/>
  <c r="AF154" i="40" s="1"/>
  <c r="AD154" i="40"/>
  <c r="AB152" i="40"/>
  <c r="AB154" i="40" s="1"/>
  <c r="Z154" i="40"/>
  <c r="X152" i="40"/>
  <c r="X154" i="40" s="1"/>
  <c r="V152" i="40"/>
  <c r="V154" i="40" s="1"/>
  <c r="T152" i="40"/>
  <c r="R152" i="40"/>
  <c r="R154" i="40" s="1"/>
  <c r="Q152" i="40"/>
  <c r="Q154" i="40" s="1"/>
  <c r="P152" i="40"/>
  <c r="P154" i="40" s="1"/>
  <c r="N152" i="40"/>
  <c r="N154" i="40" s="1"/>
  <c r="J152" i="40"/>
  <c r="J154" i="40" s="1"/>
  <c r="H152" i="40"/>
  <c r="H154" i="40" s="1"/>
  <c r="T132" i="40"/>
  <c r="AH125" i="40"/>
  <c r="AF125" i="40"/>
  <c r="AD125" i="40"/>
  <c r="AB125" i="40"/>
  <c r="Z125" i="40"/>
  <c r="X125" i="40"/>
  <c r="V125" i="40"/>
  <c r="T125" i="40"/>
  <c r="R125" i="40"/>
  <c r="Q125" i="40"/>
  <c r="P125" i="40"/>
  <c r="N125" i="40"/>
  <c r="H125" i="40"/>
  <c r="AL112" i="40"/>
  <c r="AJ112" i="40"/>
  <c r="AH112" i="40"/>
  <c r="AF112" i="40"/>
  <c r="AD112" i="40"/>
  <c r="AB112" i="40"/>
  <c r="Z112" i="40"/>
  <c r="X112" i="40"/>
  <c r="V112" i="40"/>
  <c r="T112" i="40"/>
  <c r="R112" i="40"/>
  <c r="Q112" i="40"/>
  <c r="P112" i="40"/>
  <c r="N112" i="40"/>
  <c r="L112" i="40"/>
  <c r="J112" i="40"/>
  <c r="H112" i="40"/>
  <c r="AL100" i="40"/>
  <c r="AJ100" i="40"/>
  <c r="AH100" i="40"/>
  <c r="AF100" i="40"/>
  <c r="AD100" i="40"/>
  <c r="AB100" i="40"/>
  <c r="Z100" i="40"/>
  <c r="X100" i="40"/>
  <c r="V100" i="40"/>
  <c r="T100" i="40"/>
  <c r="R100" i="40"/>
  <c r="Q100" i="40"/>
  <c r="P100" i="40"/>
  <c r="N100" i="40"/>
  <c r="L100" i="40"/>
  <c r="J100" i="40"/>
  <c r="H100" i="40"/>
  <c r="AL96" i="40"/>
  <c r="AH96" i="40"/>
  <c r="AF96" i="40"/>
  <c r="AD96" i="40"/>
  <c r="AB96" i="40"/>
  <c r="Z96" i="40"/>
  <c r="X96" i="40"/>
  <c r="V96" i="40"/>
  <c r="T96" i="40"/>
  <c r="R96" i="40"/>
  <c r="Q96" i="40"/>
  <c r="P96" i="40"/>
  <c r="N96" i="40"/>
  <c r="L96" i="40"/>
  <c r="J96" i="40"/>
  <c r="H96" i="40"/>
  <c r="AG81" i="40"/>
  <c r="Q81" i="40"/>
  <c r="L81" i="40"/>
  <c r="AF78" i="40"/>
  <c r="AH76" i="40"/>
  <c r="AF76" i="40"/>
  <c r="AD76" i="40"/>
  <c r="AD81" i="40" s="1"/>
  <c r="AB76" i="40"/>
  <c r="AB81" i="40" s="1"/>
  <c r="X76" i="40"/>
  <c r="X81" i="40" s="1"/>
  <c r="V76" i="40"/>
  <c r="V81" i="40" s="1"/>
  <c r="T76" i="40"/>
  <c r="T81" i="40" s="1"/>
  <c r="R76" i="40"/>
  <c r="R81" i="40" s="1"/>
  <c r="P76" i="40"/>
  <c r="P81" i="40" s="1"/>
  <c r="N76" i="40"/>
  <c r="N81" i="40" s="1"/>
  <c r="J76" i="40"/>
  <c r="H76" i="40"/>
  <c r="J70" i="40"/>
  <c r="AH59" i="40"/>
  <c r="J59" i="40"/>
  <c r="H59" i="40"/>
  <c r="AH51" i="40"/>
  <c r="AF51" i="40"/>
  <c r="AD51" i="40"/>
  <c r="Z51" i="40"/>
  <c r="X51" i="40"/>
  <c r="V51" i="40"/>
  <c r="T51" i="40"/>
  <c r="Q51" i="40"/>
  <c r="N51" i="40"/>
  <c r="J51" i="40"/>
  <c r="H51" i="40"/>
  <c r="AL42" i="40"/>
  <c r="AJ42" i="40"/>
  <c r="AH42" i="40"/>
  <c r="AF42" i="40"/>
  <c r="AD42" i="40"/>
  <c r="AB42" i="40"/>
  <c r="Z42" i="40"/>
  <c r="X42" i="40"/>
  <c r="V42" i="40"/>
  <c r="T42" i="40"/>
  <c r="R42" i="40"/>
  <c r="Q42" i="40"/>
  <c r="P42" i="40"/>
  <c r="N42" i="40"/>
  <c r="L42" i="40"/>
  <c r="J42" i="40"/>
  <c r="H42" i="40"/>
  <c r="AL38" i="40"/>
  <c r="AH38" i="40"/>
  <c r="AF38" i="40"/>
  <c r="AD38" i="40"/>
  <c r="AB38" i="40"/>
  <c r="X38" i="40"/>
  <c r="V38" i="40"/>
  <c r="T38" i="40"/>
  <c r="R38" i="40"/>
  <c r="Q38" i="40"/>
  <c r="P38" i="40"/>
  <c r="N38" i="40"/>
  <c r="L38" i="40"/>
  <c r="J38" i="40"/>
  <c r="H38" i="40"/>
  <c r="Z32" i="40"/>
  <c r="Z38" i="40" s="1"/>
  <c r="AL28" i="40"/>
  <c r="AJ28" i="40"/>
  <c r="AH28" i="40"/>
  <c r="R28" i="40"/>
  <c r="Q28" i="40"/>
  <c r="P28" i="40"/>
  <c r="N28" i="40"/>
  <c r="J28" i="40"/>
  <c r="H28" i="40"/>
  <c r="AL22" i="40"/>
  <c r="AJ22" i="40"/>
  <c r="AH22" i="40"/>
  <c r="AF22" i="40"/>
  <c r="AD22" i="40"/>
  <c r="AB22" i="40"/>
  <c r="Z22" i="40"/>
  <c r="X22" i="40"/>
  <c r="V22" i="40"/>
  <c r="T22" i="40"/>
  <c r="R22" i="40"/>
  <c r="Q22" i="40"/>
  <c r="P22" i="40"/>
  <c r="N22" i="40"/>
  <c r="L22" i="40"/>
  <c r="J22" i="40"/>
  <c r="H22" i="40"/>
  <c r="I436" i="18" l="1"/>
  <c r="AB332" i="40"/>
  <c r="AB334" i="40" s="1"/>
  <c r="J215" i="40"/>
  <c r="J217" i="40" s="1"/>
  <c r="AF127" i="40"/>
  <c r="AF156" i="40" s="1"/>
  <c r="AF159" i="40" s="1"/>
  <c r="AH427" i="40"/>
  <c r="V215" i="40"/>
  <c r="V217" i="40" s="1"/>
  <c r="V244" i="40" s="1"/>
  <c r="V246" i="40" s="1"/>
  <c r="J427" i="40"/>
  <c r="N427" i="40"/>
  <c r="AB427" i="40"/>
  <c r="AB428" i="40" s="1"/>
  <c r="AJ427" i="40"/>
  <c r="AJ428" i="40" s="1"/>
  <c r="R427" i="40"/>
  <c r="T235" i="40"/>
  <c r="AD501" i="40"/>
  <c r="AD502" i="40" s="1"/>
  <c r="V127" i="40"/>
  <c r="V156" i="40" s="1"/>
  <c r="V159" i="40" s="1"/>
  <c r="AH127" i="40"/>
  <c r="AH156" i="40" s="1"/>
  <c r="AH159" i="40" s="1"/>
  <c r="X217" i="40"/>
  <c r="X246" i="40" s="1"/>
  <c r="AB53" i="40"/>
  <c r="AB83" i="40" s="1"/>
  <c r="AB87" i="40" s="1"/>
  <c r="T154" i="40"/>
  <c r="N53" i="40"/>
  <c r="N83" i="40" s="1"/>
  <c r="N87" i="40" s="1"/>
  <c r="J278" i="40"/>
  <c r="J332" i="40" s="1"/>
  <c r="J334" i="40" s="1"/>
  <c r="AF53" i="40"/>
  <c r="AH278" i="40"/>
  <c r="AH332" i="40" s="1"/>
  <c r="AH334" i="40" s="1"/>
  <c r="N324" i="40"/>
  <c r="P297" i="40"/>
  <c r="P332" i="40" s="1"/>
  <c r="P334" i="40" s="1"/>
  <c r="AL297" i="40"/>
  <c r="AL332" i="40" s="1"/>
  <c r="AL334" i="40" s="1"/>
  <c r="T127" i="40"/>
  <c r="AL127" i="40"/>
  <c r="AL156" i="40" s="1"/>
  <c r="AL159" i="40" s="1"/>
  <c r="AJ127" i="40"/>
  <c r="AJ156" i="40" s="1"/>
  <c r="AJ159" i="40" s="1"/>
  <c r="H427" i="40"/>
  <c r="N278" i="40"/>
  <c r="AL427" i="40"/>
  <c r="AL428" i="40" s="1"/>
  <c r="AB235" i="40"/>
  <c r="AH235" i="40"/>
  <c r="Q53" i="40"/>
  <c r="Q83" i="40" s="1"/>
  <c r="Q87" i="40" s="1"/>
  <c r="Q297" i="40"/>
  <c r="Q332" i="40" s="1"/>
  <c r="Q334" i="40" s="1"/>
  <c r="AJ53" i="40"/>
  <c r="AJ83" i="40" s="1"/>
  <c r="AJ87" i="40" s="1"/>
  <c r="P127" i="40"/>
  <c r="P156" i="40" s="1"/>
  <c r="P159" i="40" s="1"/>
  <c r="AD127" i="40"/>
  <c r="AD156" i="40" s="1"/>
  <c r="AD159" i="40" s="1"/>
  <c r="T215" i="40"/>
  <c r="T217" i="40" s="1"/>
  <c r="AL501" i="40"/>
  <c r="AL502" i="40" s="1"/>
  <c r="L127" i="40"/>
  <c r="L156" i="40" s="1"/>
  <c r="L159" i="40" s="1"/>
  <c r="Z127" i="40"/>
  <c r="Z156" i="40" s="1"/>
  <c r="Z159" i="40" s="1"/>
  <c r="P235" i="40"/>
  <c r="L501" i="40"/>
  <c r="L502" i="40" s="1"/>
  <c r="H53" i="40"/>
  <c r="Q217" i="40"/>
  <c r="AJ501" i="40"/>
  <c r="AJ502" i="40" s="1"/>
  <c r="X501" i="40"/>
  <c r="X502" i="40" s="1"/>
  <c r="P501" i="40"/>
  <c r="P502" i="40" s="1"/>
  <c r="T501" i="40"/>
  <c r="T502" i="40" s="1"/>
  <c r="Z501" i="40"/>
  <c r="Z502" i="40" s="1"/>
  <c r="V501" i="40"/>
  <c r="V502" i="40" s="1"/>
  <c r="J501" i="40"/>
  <c r="J502" i="40" s="1"/>
  <c r="H502" i="40"/>
  <c r="AL53" i="40"/>
  <c r="AL83" i="40" s="1"/>
  <c r="AL87" i="40" s="1"/>
  <c r="AJ217" i="40"/>
  <c r="AJ237" i="40" s="1"/>
  <c r="AJ244" i="40" s="1"/>
  <c r="AJ246" i="40" s="1"/>
  <c r="AD217" i="40"/>
  <c r="AD237" i="40" s="1"/>
  <c r="AD244" i="40" s="1"/>
  <c r="AD246" i="40" s="1"/>
  <c r="AB217" i="40"/>
  <c r="AB127" i="40"/>
  <c r="AB156" i="40" s="1"/>
  <c r="AB159" i="40" s="1"/>
  <c r="Z235" i="40"/>
  <c r="V427" i="40"/>
  <c r="V428" i="40" s="1"/>
  <c r="V53" i="40"/>
  <c r="V83" i="40" s="1"/>
  <c r="V87" i="40" s="1"/>
  <c r="T278" i="40"/>
  <c r="T334" i="40" s="1"/>
  <c r="T53" i="40"/>
  <c r="T83" i="40" s="1"/>
  <c r="T87" i="40" s="1"/>
  <c r="V332" i="40"/>
  <c r="V334" i="40" s="1"/>
  <c r="X332" i="40"/>
  <c r="X334" i="40" s="1"/>
  <c r="H361" i="18" s="1"/>
  <c r="N127" i="40"/>
  <c r="N156" i="40" s="1"/>
  <c r="N159" i="40" s="1"/>
  <c r="L297" i="40"/>
  <c r="AL217" i="40"/>
  <c r="L278" i="40"/>
  <c r="Z427" i="40"/>
  <c r="Z428" i="40" s="1"/>
  <c r="Z53" i="40"/>
  <c r="Z83" i="40" s="1"/>
  <c r="Z87" i="40" s="1"/>
  <c r="AH81" i="40"/>
  <c r="AH53" i="40"/>
  <c r="AD83" i="40"/>
  <c r="AD87" i="40" s="1"/>
  <c r="H81" i="40"/>
  <c r="AF81" i="40"/>
  <c r="H127" i="40"/>
  <c r="H156" i="40" s="1"/>
  <c r="H159" i="40" s="1"/>
  <c r="AF215" i="40"/>
  <c r="AF217" i="40" s="1"/>
  <c r="AF237" i="40" s="1"/>
  <c r="AF244" i="40" s="1"/>
  <c r="AF246" i="40" s="1"/>
  <c r="R278" i="40"/>
  <c r="AD332" i="40"/>
  <c r="AD334" i="40" s="1"/>
  <c r="L427" i="40"/>
  <c r="P427" i="40"/>
  <c r="P428" i="40" s="1"/>
  <c r="AD427" i="40"/>
  <c r="AD428" i="40" s="1"/>
  <c r="N501" i="40"/>
  <c r="N502" i="40" s="1"/>
  <c r="AB501" i="40"/>
  <c r="AB502" i="40" s="1"/>
  <c r="AH217" i="40"/>
  <c r="X156" i="40"/>
  <c r="X159" i="40" s="1"/>
  <c r="N215" i="40"/>
  <c r="N217" i="40" s="1"/>
  <c r="R297" i="40"/>
  <c r="AH501" i="40"/>
  <c r="Q501" i="40"/>
  <c r="Q502" i="40" s="1"/>
  <c r="AF501" i="40"/>
  <c r="AF502" i="40" s="1"/>
  <c r="X53" i="40"/>
  <c r="X83" i="40" s="1"/>
  <c r="X87" i="40" s="1"/>
  <c r="Z217" i="40"/>
  <c r="L235" i="40"/>
  <c r="H297" i="40"/>
  <c r="R235" i="40"/>
  <c r="R156" i="40"/>
  <c r="R159" i="40" s="1"/>
  <c r="R53" i="40"/>
  <c r="R83" i="40" s="1"/>
  <c r="R87" i="40" s="1"/>
  <c r="Q235" i="40"/>
  <c r="Q156" i="40"/>
  <c r="Q159" i="40" s="1"/>
  <c r="P217" i="40"/>
  <c r="P53" i="40"/>
  <c r="P83" i="40" s="1"/>
  <c r="P87" i="40" s="1"/>
  <c r="N297" i="40"/>
  <c r="L53" i="40"/>
  <c r="L83" i="40" s="1"/>
  <c r="L87" i="40" s="1"/>
  <c r="J81" i="40"/>
  <c r="J53" i="40"/>
  <c r="H278" i="40"/>
  <c r="H235" i="40"/>
  <c r="H215" i="40"/>
  <c r="H217" i="40" s="1"/>
  <c r="Z332" i="40"/>
  <c r="Z334" i="40" s="1"/>
  <c r="AJ332" i="40"/>
  <c r="AJ334" i="40" s="1"/>
  <c r="AF297" i="40"/>
  <c r="AF332" i="40" s="1"/>
  <c r="AF334" i="40" s="1"/>
  <c r="L215" i="40"/>
  <c r="L217" i="40" s="1"/>
  <c r="R215" i="40"/>
  <c r="R217" i="40" s="1"/>
  <c r="Q427" i="40"/>
  <c r="Q428" i="40" s="1"/>
  <c r="X427" i="40"/>
  <c r="X428" i="40" s="1"/>
  <c r="AF428" i="40"/>
  <c r="J127" i="40"/>
  <c r="J156" i="40" s="1"/>
  <c r="J159" i="40" s="1"/>
  <c r="R501" i="40"/>
  <c r="R502" i="40" s="1"/>
  <c r="J237" i="40" l="1"/>
  <c r="AF83" i="40"/>
  <c r="AF87" i="40" s="1"/>
  <c r="T237" i="40"/>
  <c r="T244" i="40" s="1"/>
  <c r="T246" i="40" s="1"/>
  <c r="J428" i="40"/>
  <c r="N332" i="40"/>
  <c r="N334" i="40" s="1"/>
  <c r="L237" i="40"/>
  <c r="L244" i="40" s="1"/>
  <c r="L246" i="40" s="1"/>
  <c r="L428" i="40"/>
  <c r="L332" i="40"/>
  <c r="L334" i="40" s="1"/>
  <c r="P237" i="40"/>
  <c r="P244" i="40" s="1"/>
  <c r="P246" i="40" s="1"/>
  <c r="T156" i="40"/>
  <c r="T159" i="40" s="1"/>
  <c r="N428" i="40"/>
  <c r="Z237" i="40"/>
  <c r="Z244" i="40" s="1"/>
  <c r="AH237" i="40"/>
  <c r="AH244" i="40" s="1"/>
  <c r="AH246" i="40" s="1"/>
  <c r="AB237" i="40"/>
  <c r="AB244" i="40" s="1"/>
  <c r="AB246" i="40" s="1"/>
  <c r="J83" i="40"/>
  <c r="J87" i="40" s="1"/>
  <c r="T428" i="40"/>
  <c r="H83" i="40"/>
  <c r="H87" i="40" s="1"/>
  <c r="R332" i="40"/>
  <c r="R334" i="40" s="1"/>
  <c r="AH83" i="40"/>
  <c r="AH87" i="40" s="1"/>
  <c r="H332" i="40"/>
  <c r="H334" i="40" s="1"/>
  <c r="Q237" i="40"/>
  <c r="Q244" i="40" s="1"/>
  <c r="Q246" i="40" s="1"/>
  <c r="R428" i="40"/>
  <c r="AL237" i="40"/>
  <c r="AL246" i="40" s="1"/>
  <c r="R244" i="40"/>
  <c r="R246" i="40" s="1"/>
  <c r="H428" i="40"/>
  <c r="H237" i="40"/>
  <c r="H244" i="40" s="1"/>
  <c r="H246" i="40" s="1"/>
  <c r="N237" i="40"/>
  <c r="B3" i="34"/>
  <c r="B4" i="34"/>
  <c r="B5" i="34"/>
  <c r="B6" i="34"/>
  <c r="A318" i="5"/>
  <c r="C268" i="5"/>
  <c r="B89" i="5"/>
  <c r="C3" i="5"/>
  <c r="B6" i="36"/>
  <c r="B5" i="36"/>
  <c r="B4" i="36"/>
  <c r="B3" i="36"/>
  <c r="B4" i="14"/>
  <c r="Z246" i="40" l="1"/>
  <c r="H267" i="18"/>
  <c r="J244" i="40"/>
  <c r="J246" i="40" s="1"/>
  <c r="A11" i="43"/>
  <c r="C3" i="52"/>
  <c r="E54" i="18" l="1"/>
  <c r="E68" i="18"/>
  <c r="E86" i="18"/>
  <c r="E91" i="18"/>
  <c r="E116" i="18"/>
  <c r="E132" i="18"/>
  <c r="E144" i="18"/>
  <c r="E158" i="18"/>
  <c r="E170" i="18"/>
  <c r="E190" i="18"/>
  <c r="E208" i="18"/>
  <c r="E235" i="18"/>
  <c r="E263" i="18"/>
  <c r="E264" i="18"/>
  <c r="E293" i="18"/>
  <c r="E294" i="18"/>
  <c r="E298" i="18"/>
  <c r="E297" i="18"/>
  <c r="E312" i="18"/>
  <c r="E311" i="18"/>
  <c r="E316" i="18"/>
  <c r="E317" i="18"/>
  <c r="E338" i="18"/>
  <c r="E339" i="18"/>
  <c r="E343" i="18"/>
  <c r="E344" i="18"/>
  <c r="E383" i="18"/>
  <c r="E466" i="18"/>
  <c r="C3" i="12" l="1"/>
  <c r="E7" i="18"/>
  <c r="J140" i="18" l="1"/>
  <c r="D81" i="47" s="1"/>
  <c r="J436" i="18"/>
  <c r="J434" i="18"/>
  <c r="J460" i="18"/>
  <c r="J166" i="18"/>
  <c r="D100" i="47" s="1"/>
  <c r="J421" i="18"/>
  <c r="J392" i="18"/>
  <c r="J423" i="18"/>
  <c r="J168" i="18"/>
  <c r="D102" i="47" s="1"/>
  <c r="J142" i="18"/>
  <c r="D83" i="47" s="1"/>
  <c r="C7" i="52"/>
  <c r="C6" i="52"/>
  <c r="C5" i="52"/>
  <c r="C4" i="52"/>
  <c r="C2" i="52"/>
  <c r="D194" i="36" l="1"/>
  <c r="F18" i="36"/>
  <c r="F102" i="36" s="1"/>
  <c r="D60" i="36"/>
  <c r="D233" i="36" l="1"/>
  <c r="H10" i="41" l="1"/>
  <c r="H11" i="41" l="1"/>
  <c r="G11" i="41" s="1"/>
  <c r="BA63" i="43"/>
  <c r="F10" i="33" l="1"/>
  <c r="A13" i="33" s="1"/>
  <c r="Y14" i="52"/>
  <c r="C340" i="5" l="1"/>
  <c r="C343" i="5" l="1"/>
  <c r="C342" i="5"/>
  <c r="C341" i="5"/>
  <c r="C346" i="5"/>
  <c r="C352" i="5" l="1"/>
  <c r="Y154" i="52" l="1"/>
  <c r="Y153" i="52"/>
  <c r="Y152" i="52"/>
  <c r="Y151" i="52"/>
  <c r="Y150" i="52"/>
  <c r="Y148" i="52"/>
  <c r="Y147" i="52"/>
  <c r="Y146" i="52"/>
  <c r="Y145" i="52"/>
  <c r="Y144" i="52"/>
  <c r="Y142" i="52"/>
  <c r="Y141" i="52"/>
  <c r="Y140" i="52"/>
  <c r="Y139" i="52"/>
  <c r="Y138" i="52"/>
  <c r="Y137" i="52"/>
  <c r="Y129" i="52"/>
  <c r="Y128" i="52"/>
  <c r="Y127" i="52"/>
  <c r="Y126" i="52"/>
  <c r="Y125" i="52"/>
  <c r="Y123" i="52"/>
  <c r="AG123" i="52" s="1"/>
  <c r="Y122" i="52"/>
  <c r="AG122" i="52" s="1"/>
  <c r="Y121" i="52"/>
  <c r="AG121" i="52" s="1"/>
  <c r="Y120" i="52"/>
  <c r="AG120" i="52" s="1"/>
  <c r="Y119" i="52"/>
  <c r="AG119" i="52" s="1"/>
  <c r="Y117" i="52"/>
  <c r="AG117" i="52" s="1"/>
  <c r="Y116" i="52"/>
  <c r="AG116" i="52" s="1"/>
  <c r="Y115" i="52"/>
  <c r="AG115" i="52" s="1"/>
  <c r="Y114" i="52"/>
  <c r="AG114" i="52" s="1"/>
  <c r="Y113" i="52"/>
  <c r="AG113" i="52" s="1"/>
  <c r="Z111" i="52"/>
  <c r="Y111" i="52"/>
  <c r="AG111" i="52" s="1"/>
  <c r="Z110" i="52"/>
  <c r="Y110" i="52"/>
  <c r="AF110" i="52" s="1"/>
  <c r="Z109" i="52"/>
  <c r="Y109" i="52"/>
  <c r="Z108" i="52"/>
  <c r="Y108" i="52"/>
  <c r="AF108" i="52" s="1"/>
  <c r="Z107" i="52"/>
  <c r="Y107" i="52"/>
  <c r="AG107" i="52" s="1"/>
  <c r="Z105" i="52"/>
  <c r="Y105" i="52"/>
  <c r="AG105" i="52" s="1"/>
  <c r="Z104" i="52"/>
  <c r="Y104" i="52"/>
  <c r="Z103" i="52"/>
  <c r="Y103" i="52"/>
  <c r="AF103" i="52" s="1"/>
  <c r="Z102" i="52"/>
  <c r="Y102" i="52"/>
  <c r="AG102" i="52" s="1"/>
  <c r="Z101" i="52"/>
  <c r="Y101" i="52"/>
  <c r="AG101" i="52" s="1"/>
  <c r="Z99" i="52"/>
  <c r="Y99" i="52"/>
  <c r="Z98" i="52"/>
  <c r="Y98" i="52"/>
  <c r="AF98" i="52" s="1"/>
  <c r="Z97" i="52"/>
  <c r="Y97" i="52"/>
  <c r="AG97" i="52" s="1"/>
  <c r="Z96" i="52"/>
  <c r="Y96" i="52"/>
  <c r="AF96" i="52" s="1"/>
  <c r="Z95" i="52"/>
  <c r="Y95" i="52"/>
  <c r="Z93" i="52"/>
  <c r="Y93" i="52"/>
  <c r="AF93" i="52" s="1"/>
  <c r="Z91" i="52"/>
  <c r="Y91" i="52"/>
  <c r="AG91" i="52" s="1"/>
  <c r="Z90" i="52"/>
  <c r="Y90" i="52"/>
  <c r="Z89" i="52"/>
  <c r="Y89" i="52"/>
  <c r="Z88" i="52"/>
  <c r="Y88" i="52"/>
  <c r="AF88" i="52" s="1"/>
  <c r="Z87" i="52"/>
  <c r="Y87" i="52"/>
  <c r="AG87" i="52" s="1"/>
  <c r="Z85" i="52"/>
  <c r="Y85" i="52"/>
  <c r="AF85" i="52" s="1"/>
  <c r="Z84" i="52"/>
  <c r="Y84" i="52"/>
  <c r="Z83" i="52"/>
  <c r="Y83" i="52"/>
  <c r="AF83" i="52" s="1"/>
  <c r="Z82" i="52"/>
  <c r="Y82" i="52"/>
  <c r="AG82" i="52" s="1"/>
  <c r="Z81" i="52"/>
  <c r="Y81" i="52"/>
  <c r="AF81" i="52" s="1"/>
  <c r="Z79" i="52"/>
  <c r="Y79" i="52"/>
  <c r="Z78" i="52"/>
  <c r="Y78" i="52"/>
  <c r="AF78" i="52" s="1"/>
  <c r="Z77" i="52"/>
  <c r="Y77" i="52"/>
  <c r="AG77" i="52" s="1"/>
  <c r="Z76" i="52"/>
  <c r="Y76" i="52"/>
  <c r="AF76" i="52" s="1"/>
  <c r="Z75" i="52"/>
  <c r="Y75" i="52"/>
  <c r="Z74" i="52"/>
  <c r="Y74" i="52"/>
  <c r="AF74" i="52" s="1"/>
  <c r="Z72" i="52"/>
  <c r="Y72" i="52"/>
  <c r="AF72" i="52" s="1"/>
  <c r="Z71" i="52"/>
  <c r="Y71" i="52"/>
  <c r="AF71" i="52" s="1"/>
  <c r="Z70" i="52"/>
  <c r="Y70" i="52"/>
  <c r="Z69" i="52"/>
  <c r="Y69" i="52"/>
  <c r="AF69" i="52" s="1"/>
  <c r="Z68" i="52"/>
  <c r="Y68" i="52"/>
  <c r="AG68" i="52" s="1"/>
  <c r="Z66" i="52"/>
  <c r="Y66" i="52"/>
  <c r="AF66" i="52" s="1"/>
  <c r="Z65" i="52"/>
  <c r="Y65" i="52"/>
  <c r="Z64" i="52"/>
  <c r="Y64" i="52"/>
  <c r="AF64" i="52" s="1"/>
  <c r="Z63" i="52"/>
  <c r="Y63" i="52"/>
  <c r="AG63" i="52" s="1"/>
  <c r="Z62" i="52"/>
  <c r="Y62" i="52"/>
  <c r="AF62" i="52" s="1"/>
  <c r="Z60" i="52"/>
  <c r="Y60" i="52"/>
  <c r="Z59" i="52"/>
  <c r="Y59" i="52"/>
  <c r="AF59" i="52" s="1"/>
  <c r="Z58" i="52"/>
  <c r="Y58" i="52"/>
  <c r="AF58" i="52" s="1"/>
  <c r="Z57" i="52"/>
  <c r="Y57" i="52"/>
  <c r="AF57" i="52" s="1"/>
  <c r="Z56" i="52"/>
  <c r="Y56" i="52"/>
  <c r="Z54" i="52"/>
  <c r="Y54" i="52"/>
  <c r="AF54" i="52" s="1"/>
  <c r="Z53" i="52"/>
  <c r="Y53" i="52"/>
  <c r="AG53" i="52" s="1"/>
  <c r="Z52" i="52"/>
  <c r="Y52" i="52"/>
  <c r="AG52" i="52" s="1"/>
  <c r="Z51" i="52"/>
  <c r="Y51" i="52"/>
  <c r="Z50" i="52"/>
  <c r="Y50" i="52"/>
  <c r="AF50" i="52" s="1"/>
  <c r="Z48" i="52"/>
  <c r="Y48" i="52"/>
  <c r="AG48" i="52" s="1"/>
  <c r="Z47" i="52"/>
  <c r="Y47" i="52"/>
  <c r="AG47" i="52" s="1"/>
  <c r="Z46" i="52"/>
  <c r="Y46" i="52"/>
  <c r="Z45" i="52"/>
  <c r="Y45" i="52"/>
  <c r="AF45" i="52" s="1"/>
  <c r="Z44" i="52"/>
  <c r="Y44" i="52"/>
  <c r="AG44" i="52" s="1"/>
  <c r="Z42" i="52"/>
  <c r="Y42" i="52"/>
  <c r="AG42" i="52" s="1"/>
  <c r="Z41" i="52"/>
  <c r="Y41" i="52"/>
  <c r="Z40" i="52"/>
  <c r="Y40" i="52"/>
  <c r="AF40" i="52" s="1"/>
  <c r="Z39" i="52"/>
  <c r="Y39" i="52"/>
  <c r="AF39" i="52" s="1"/>
  <c r="Z38" i="52"/>
  <c r="Y38" i="52"/>
  <c r="AG38" i="52" s="1"/>
  <c r="Z36" i="52"/>
  <c r="Y36" i="52"/>
  <c r="Z35" i="52"/>
  <c r="Y35" i="52"/>
  <c r="AF35" i="52" s="1"/>
  <c r="Z34" i="52"/>
  <c r="Y34" i="52"/>
  <c r="AG34" i="52" s="1"/>
  <c r="Z33" i="52"/>
  <c r="Y33" i="52"/>
  <c r="AG33" i="52" s="1"/>
  <c r="Z32" i="52"/>
  <c r="Y32" i="52"/>
  <c r="Z30" i="52"/>
  <c r="Y30" i="52"/>
  <c r="AF30" i="52" s="1"/>
  <c r="Z29" i="52"/>
  <c r="Y29" i="52"/>
  <c r="AG29" i="52" s="1"/>
  <c r="Z28" i="52"/>
  <c r="Y28" i="52"/>
  <c r="AF28" i="52" s="1"/>
  <c r="Z27" i="52"/>
  <c r="Y27" i="52"/>
  <c r="Z26" i="52"/>
  <c r="Y26" i="52"/>
  <c r="AF26" i="52" s="1"/>
  <c r="Z24" i="52"/>
  <c r="Y24" i="52"/>
  <c r="AG24" i="52" s="1"/>
  <c r="Z23" i="52"/>
  <c r="Y23" i="52"/>
  <c r="AG23" i="52" s="1"/>
  <c r="Z22" i="52"/>
  <c r="Y22" i="52"/>
  <c r="Z21" i="52"/>
  <c r="Y21" i="52"/>
  <c r="AF21" i="52" s="1"/>
  <c r="Z20" i="52"/>
  <c r="Y20" i="52"/>
  <c r="AF20" i="52" s="1"/>
  <c r="Z18" i="52"/>
  <c r="Y18" i="52"/>
  <c r="AF18" i="52" s="1"/>
  <c r="Z17" i="52"/>
  <c r="Y17" i="52"/>
  <c r="Z16" i="52"/>
  <c r="Y16" i="52"/>
  <c r="AF16" i="52" s="1"/>
  <c r="Z15" i="52"/>
  <c r="Y15" i="52"/>
  <c r="AG15" i="52" s="1"/>
  <c r="AG14" i="52"/>
  <c r="AF14" i="52"/>
  <c r="Z14" i="52"/>
  <c r="Y12" i="52"/>
  <c r="AF123" i="52" l="1"/>
  <c r="AG20" i="52"/>
  <c r="AF23" i="52"/>
  <c r="AF53" i="52"/>
  <c r="AG81" i="52"/>
  <c r="AF82" i="52"/>
  <c r="AH78" i="52"/>
  <c r="AF38" i="52"/>
  <c r="AH38" i="52" s="1"/>
  <c r="AF68" i="52"/>
  <c r="AH68" i="52" s="1"/>
  <c r="AF97" i="52"/>
  <c r="AH97" i="52" s="1"/>
  <c r="AH35" i="52"/>
  <c r="AH64" i="52"/>
  <c r="AG28" i="52"/>
  <c r="AF44" i="52"/>
  <c r="AH44" i="52" s="1"/>
  <c r="AG58" i="52"/>
  <c r="AG72" i="52"/>
  <c r="AF87" i="52"/>
  <c r="AH87" i="52" s="1"/>
  <c r="AF107" i="52"/>
  <c r="AH107" i="52" s="1"/>
  <c r="AH26" i="52"/>
  <c r="AF33" i="52"/>
  <c r="AH33" i="52" s="1"/>
  <c r="AH40" i="52"/>
  <c r="AG76" i="52"/>
  <c r="AH83" i="52"/>
  <c r="AH21" i="52"/>
  <c r="AH30" i="52"/>
  <c r="AG39" i="52"/>
  <c r="AF48" i="52"/>
  <c r="AH48" i="52" s="1"/>
  <c r="AG57" i="52"/>
  <c r="AH59" i="52"/>
  <c r="AF63" i="52"/>
  <c r="AH63" i="52" s="1"/>
  <c r="AG71" i="52"/>
  <c r="AH74" i="52"/>
  <c r="AF77" i="52"/>
  <c r="AH77" i="52" s="1"/>
  <c r="AF91" i="52"/>
  <c r="AH91" i="52" s="1"/>
  <c r="AF102" i="52"/>
  <c r="AH102" i="52" s="1"/>
  <c r="AF111" i="52"/>
  <c r="AH111" i="52" s="1"/>
  <c r="AH16" i="52"/>
  <c r="AG35" i="52"/>
  <c r="AG40" i="52"/>
  <c r="AH88" i="52"/>
  <c r="AH23" i="52"/>
  <c r="AH53" i="52"/>
  <c r="AF34" i="52"/>
  <c r="AH34" i="52" s="1"/>
  <c r="AH62" i="52"/>
  <c r="AG69" i="52"/>
  <c r="AH82" i="52"/>
  <c r="AG93" i="52"/>
  <c r="AF101" i="52"/>
  <c r="AH101" i="52" s="1"/>
  <c r="AF105" i="52"/>
  <c r="AH105" i="52" s="1"/>
  <c r="AG108" i="52"/>
  <c r="AF114" i="52"/>
  <c r="AH71" i="52"/>
  <c r="AF15" i="52"/>
  <c r="AH15" i="52" s="1"/>
  <c r="AF24" i="52"/>
  <c r="AH24" i="52" s="1"/>
  <c r="AF29" i="52"/>
  <c r="AH29" i="52" s="1"/>
  <c r="AF42" i="52"/>
  <c r="AH42" i="52" s="1"/>
  <c r="AF47" i="52"/>
  <c r="AH47" i="52" s="1"/>
  <c r="AF52" i="52"/>
  <c r="AH52" i="52" s="1"/>
  <c r="AG54" i="52"/>
  <c r="AG21" i="52"/>
  <c r="AH45" i="52"/>
  <c r="AH50" i="52"/>
  <c r="AH54" i="52"/>
  <c r="AG59" i="52"/>
  <c r="AH69" i="52"/>
  <c r="AG83" i="52"/>
  <c r="AF90" i="52"/>
  <c r="AH90" i="52" s="1"/>
  <c r="AH93" i="52"/>
  <c r="AH98" i="52"/>
  <c r="AH103" i="52"/>
  <c r="AH108" i="52"/>
  <c r="AF119" i="52"/>
  <c r="AG22" i="52"/>
  <c r="AF22" i="52"/>
  <c r="AH22" i="52" s="1"/>
  <c r="AG41" i="52"/>
  <c r="AF41" i="52"/>
  <c r="AH41" i="52" s="1"/>
  <c r="AG60" i="52"/>
  <c r="AF60" i="52"/>
  <c r="AH60" i="52" s="1"/>
  <c r="AG70" i="52"/>
  <c r="AF70" i="52"/>
  <c r="AH70" i="52" s="1"/>
  <c r="AF126" i="52"/>
  <c r="AG126" i="52"/>
  <c r="AF128" i="52"/>
  <c r="AG128" i="52"/>
  <c r="AF137" i="52"/>
  <c r="AG137" i="52"/>
  <c r="AF139" i="52"/>
  <c r="AG139" i="52"/>
  <c r="AF141" i="52"/>
  <c r="AG141" i="52"/>
  <c r="AF144" i="52"/>
  <c r="AG144" i="52"/>
  <c r="AF146" i="52"/>
  <c r="AG146" i="52"/>
  <c r="AF148" i="52"/>
  <c r="AG148" i="52"/>
  <c r="AF151" i="52"/>
  <c r="AG151" i="52"/>
  <c r="AF153" i="52"/>
  <c r="AG153" i="52"/>
  <c r="AG36" i="52"/>
  <c r="AF36" i="52"/>
  <c r="AH36" i="52" s="1"/>
  <c r="AG56" i="52"/>
  <c r="AF56" i="52"/>
  <c r="AH56" i="52" s="1"/>
  <c r="AH57" i="52"/>
  <c r="AG84" i="52"/>
  <c r="AF84" i="52"/>
  <c r="AH84" i="52" s="1"/>
  <c r="AG95" i="52"/>
  <c r="AF95" i="52"/>
  <c r="AH95" i="52" s="1"/>
  <c r="AG109" i="52"/>
  <c r="AF109" i="52"/>
  <c r="AH109" i="52" s="1"/>
  <c r="AF113" i="52"/>
  <c r="AF117" i="52"/>
  <c r="AF122" i="52"/>
  <c r="AG16" i="52"/>
  <c r="AG17" i="52"/>
  <c r="AF17" i="52"/>
  <c r="AH17" i="52" s="1"/>
  <c r="AG30" i="52"/>
  <c r="AG32" i="52"/>
  <c r="AF32" i="52"/>
  <c r="AH32" i="52" s="1"/>
  <c r="AG50" i="52"/>
  <c r="AG51" i="52"/>
  <c r="AF51" i="52"/>
  <c r="AH51" i="52" s="1"/>
  <c r="AG64" i="52"/>
  <c r="AG65" i="52"/>
  <c r="AF65" i="52"/>
  <c r="AH65" i="52" s="1"/>
  <c r="AH72" i="52"/>
  <c r="AG78" i="52"/>
  <c r="AG79" i="52"/>
  <c r="AF79" i="52"/>
  <c r="AH79" i="52" s="1"/>
  <c r="AH81" i="52"/>
  <c r="AH85" i="52"/>
  <c r="AH96" i="52"/>
  <c r="AG103" i="52"/>
  <c r="AG104" i="52"/>
  <c r="AF104" i="52"/>
  <c r="AH104" i="52" s="1"/>
  <c r="AH110" i="52"/>
  <c r="AF116" i="52"/>
  <c r="AF121" i="52"/>
  <c r="AF125" i="52"/>
  <c r="AG125" i="52"/>
  <c r="AF127" i="52"/>
  <c r="AG127" i="52"/>
  <c r="AF129" i="52"/>
  <c r="AG129" i="52"/>
  <c r="AF138" i="52"/>
  <c r="AG138" i="52"/>
  <c r="AF140" i="52"/>
  <c r="AG140" i="52"/>
  <c r="AF142" i="52"/>
  <c r="AG142" i="52"/>
  <c r="AF145" i="52"/>
  <c r="AG145" i="52"/>
  <c r="AF147" i="52"/>
  <c r="AG147" i="52"/>
  <c r="AF150" i="52"/>
  <c r="AG150" i="52"/>
  <c r="AF152" i="52"/>
  <c r="AG152" i="52"/>
  <c r="AF154" i="52"/>
  <c r="AG154" i="52"/>
  <c r="AG12" i="52"/>
  <c r="AF12" i="52"/>
  <c r="AH12" i="52" s="1"/>
  <c r="AH14" i="52"/>
  <c r="AH18" i="52"/>
  <c r="AH20" i="52"/>
  <c r="AG26" i="52"/>
  <c r="AG27" i="52"/>
  <c r="AF27" i="52"/>
  <c r="AH27" i="52" s="1"/>
  <c r="AH28" i="52"/>
  <c r="AH39" i="52"/>
  <c r="AG45" i="52"/>
  <c r="AG46" i="52"/>
  <c r="AF46" i="52"/>
  <c r="AH46" i="52" s="1"/>
  <c r="AH58" i="52"/>
  <c r="AH66" i="52"/>
  <c r="AG74" i="52"/>
  <c r="AG75" i="52"/>
  <c r="AF75" i="52"/>
  <c r="AH75" i="52" s="1"/>
  <c r="AH76" i="52"/>
  <c r="AG88" i="52"/>
  <c r="AG89" i="52"/>
  <c r="AF89" i="52"/>
  <c r="AH89" i="52" s="1"/>
  <c r="AG98" i="52"/>
  <c r="AG99" i="52"/>
  <c r="AF99" i="52"/>
  <c r="AH99" i="52" s="1"/>
  <c r="AF115" i="52"/>
  <c r="AF120" i="52"/>
  <c r="AG18" i="52"/>
  <c r="AG62" i="52"/>
  <c r="AG66" i="52"/>
  <c r="AG85" i="52"/>
  <c r="AG90" i="52"/>
  <c r="AG96" i="52"/>
  <c r="AG110" i="52"/>
  <c r="G84" i="41" l="1"/>
  <c r="D23" i="12" l="1"/>
  <c r="E23" i="12"/>
  <c r="M25" i="36"/>
  <c r="G174" i="18" l="1"/>
  <c r="F474" i="18" l="1"/>
  <c r="I440" i="18"/>
  <c r="I426" i="18"/>
  <c r="I172" i="18"/>
  <c r="C106" i="47" s="1"/>
  <c r="I145" i="18"/>
  <c r="H139" i="18"/>
  <c r="H138" i="18"/>
  <c r="H137" i="18"/>
  <c r="H136" i="18"/>
  <c r="H133" i="18"/>
  <c r="H132" i="18"/>
  <c r="H131" i="18"/>
  <c r="H129" i="18"/>
  <c r="H128" i="18"/>
  <c r="H127" i="18"/>
  <c r="H126" i="18"/>
  <c r="H125" i="18"/>
  <c r="H124" i="18"/>
  <c r="H123" i="18"/>
  <c r="H120" i="18"/>
  <c r="H119" i="18"/>
  <c r="H116" i="18"/>
  <c r="H115" i="18"/>
  <c r="H114" i="18"/>
  <c r="H113" i="18"/>
  <c r="H101" i="18"/>
  <c r="H95" i="18"/>
  <c r="H94" i="18"/>
  <c r="H91" i="18"/>
  <c r="H90" i="18"/>
  <c r="H87" i="18"/>
  <c r="H86" i="18"/>
  <c r="H85" i="18"/>
  <c r="I85" i="18" s="1"/>
  <c r="H84" i="18"/>
  <c r="I84" i="18" s="1"/>
  <c r="H83" i="18"/>
  <c r="I83" i="18" s="1"/>
  <c r="H82" i="18"/>
  <c r="I82" i="18" s="1"/>
  <c r="H81" i="18"/>
  <c r="H79" i="18"/>
  <c r="H76" i="18"/>
  <c r="H74" i="18"/>
  <c r="H75" i="18"/>
  <c r="H68" i="18"/>
  <c r="H66" i="18"/>
  <c r="H65" i="18"/>
  <c r="H63" i="18"/>
  <c r="H62" i="18"/>
  <c r="H61" i="18"/>
  <c r="H58" i="18"/>
  <c r="H57" i="18"/>
  <c r="H54" i="18"/>
  <c r="H53" i="18"/>
  <c r="H52" i="18"/>
  <c r="I52" i="18" s="1"/>
  <c r="H51" i="18"/>
  <c r="H50" i="18"/>
  <c r="I50" i="18" s="1"/>
  <c r="I51" i="18" l="1"/>
  <c r="I53" i="18"/>
  <c r="G71" i="44" l="1"/>
  <c r="E71" i="44"/>
  <c r="G57" i="44"/>
  <c r="E57" i="44"/>
  <c r="I71" i="44" l="1"/>
  <c r="K71" i="44" s="1"/>
  <c r="I57" i="44"/>
  <c r="K57" i="44" s="1"/>
  <c r="C46" i="36"/>
  <c r="B46" i="36"/>
  <c r="B27" i="36"/>
  <c r="F25" i="36"/>
  <c r="E25" i="36"/>
  <c r="C86" i="47"/>
  <c r="C52" i="47"/>
  <c r="C51" i="47"/>
  <c r="C49" i="47"/>
  <c r="C34" i="47"/>
  <c r="C33" i="47"/>
  <c r="C31" i="47"/>
  <c r="G442" i="18"/>
  <c r="G147" i="18"/>
  <c r="D46" i="36" l="1"/>
  <c r="G25" i="36"/>
  <c r="G69" i="18"/>
  <c r="G77" i="18"/>
  <c r="D17" i="29" s="1"/>
  <c r="E255" i="18" l="1"/>
  <c r="F26" i="36" l="1"/>
  <c r="E26" i="36"/>
  <c r="M26" i="36"/>
  <c r="M24" i="36"/>
  <c r="M23" i="36"/>
  <c r="M22" i="36"/>
  <c r="M20" i="36"/>
  <c r="M18" i="36"/>
  <c r="M16" i="36"/>
  <c r="M15" i="36"/>
  <c r="B314" i="5" l="1"/>
  <c r="B303" i="5"/>
  <c r="G124" i="41"/>
  <c r="E58" i="44" l="1"/>
  <c r="I427" i="18"/>
  <c r="I189" i="18" l="1"/>
  <c r="C114" i="47" s="1"/>
  <c r="C47" i="36" l="1"/>
  <c r="H428" i="18"/>
  <c r="I146" i="18"/>
  <c r="C87" i="47" s="1"/>
  <c r="G58" i="44" l="1"/>
  <c r="I58" i="44" s="1"/>
  <c r="K58" i="44" s="1"/>
  <c r="H49" i="18"/>
  <c r="H47" i="18"/>
  <c r="H44" i="18"/>
  <c r="H43" i="18"/>
  <c r="H42" i="18"/>
  <c r="H38" i="18"/>
  <c r="H37" i="18"/>
  <c r="H36" i="18"/>
  <c r="H35" i="18"/>
  <c r="H34" i="18"/>
  <c r="H33" i="18"/>
  <c r="C329" i="5"/>
  <c r="H55" i="18" l="1"/>
  <c r="H147" i="18"/>
  <c r="I52" i="41" l="1"/>
  <c r="I53" i="41"/>
  <c r="I54" i="41"/>
  <c r="I61" i="41"/>
  <c r="I62" i="41"/>
  <c r="I63" i="41"/>
  <c r="I64" i="41"/>
  <c r="I65" i="41"/>
  <c r="I66" i="41"/>
  <c r="I67" i="41"/>
  <c r="I68" i="41"/>
  <c r="I69" i="41"/>
  <c r="I70" i="41"/>
  <c r="I71" i="41"/>
  <c r="I72" i="41"/>
  <c r="I73" i="41"/>
  <c r="I74" i="41"/>
  <c r="I75" i="41"/>
  <c r="I76" i="41"/>
  <c r="I77" i="41"/>
  <c r="I78" i="41"/>
  <c r="I79" i="41"/>
  <c r="I80" i="41"/>
  <c r="I81" i="41"/>
  <c r="I82" i="41"/>
  <c r="I83" i="41"/>
  <c r="I51" i="41"/>
  <c r="F84" i="41" l="1"/>
  <c r="H84" i="41" l="1"/>
  <c r="E97" i="3" l="1"/>
  <c r="E102" i="3"/>
  <c r="E117" i="3"/>
  <c r="E122" i="3"/>
  <c r="E32" i="44" l="1"/>
  <c r="E31" i="44"/>
  <c r="B47" i="36"/>
  <c r="G26" i="36"/>
  <c r="G410" i="18" l="1"/>
  <c r="G415" i="18"/>
  <c r="G134" i="18"/>
  <c r="G160" i="18"/>
  <c r="G176" i="18" s="1"/>
  <c r="I401" i="18" l="1"/>
  <c r="D47" i="36" l="1"/>
  <c r="H88" i="18"/>
  <c r="H67" i="18"/>
  <c r="H41" i="18"/>
  <c r="I47" i="18"/>
  <c r="C29" i="47" s="1"/>
  <c r="I79" i="18"/>
  <c r="C47" i="47" s="1"/>
  <c r="H410" i="18" l="1"/>
  <c r="H415" i="18"/>
  <c r="H134" i="18"/>
  <c r="H174" i="18"/>
  <c r="H160" i="18"/>
  <c r="H176" i="18" l="1"/>
  <c r="C1" i="52" l="1"/>
  <c r="F32" i="12"/>
  <c r="K27" i="44" l="1"/>
  <c r="C169" i="5" l="1"/>
  <c r="E76" i="44" l="1"/>
  <c r="I448" i="18"/>
  <c r="I447" i="18"/>
  <c r="I449" i="18" l="1"/>
  <c r="I450" i="18"/>
  <c r="C320" i="5" l="1"/>
  <c r="A290" i="5" l="1"/>
  <c r="E138" i="41" l="1"/>
  <c r="E139" i="41"/>
  <c r="E140" i="41"/>
  <c r="E141" i="41"/>
  <c r="E142" i="41"/>
  <c r="E143" i="41"/>
  <c r="E144" i="41"/>
  <c r="E145" i="41"/>
  <c r="E146" i="41"/>
  <c r="G102" i="41"/>
  <c r="H102" i="41" s="1"/>
  <c r="G101" i="41"/>
  <c r="H101" i="41" s="1"/>
  <c r="G100" i="41"/>
  <c r="H100" i="41" s="1"/>
  <c r="G99" i="41"/>
  <c r="H99" i="41" s="1"/>
  <c r="G98" i="41"/>
  <c r="H98" i="41" s="1"/>
  <c r="G97" i="41"/>
  <c r="H97" i="41" s="1"/>
  <c r="G96" i="41"/>
  <c r="H96" i="41" s="1"/>
  <c r="G95" i="41"/>
  <c r="H95" i="41" s="1"/>
  <c r="G94" i="41"/>
  <c r="H94" i="41" s="1"/>
  <c r="J83" i="41"/>
  <c r="J82" i="41"/>
  <c r="J81" i="41"/>
  <c r="J80" i="41"/>
  <c r="J79" i="41"/>
  <c r="J78" i="41"/>
  <c r="J77" i="41"/>
  <c r="J76" i="41"/>
  <c r="J75" i="41"/>
  <c r="J74" i="41"/>
  <c r="J73" i="41"/>
  <c r="J72" i="41"/>
  <c r="J71" i="41"/>
  <c r="J70" i="41"/>
  <c r="J69" i="41"/>
  <c r="J68" i="41"/>
  <c r="J67" i="41"/>
  <c r="J66" i="41"/>
  <c r="J65" i="41"/>
  <c r="J64" i="41"/>
  <c r="J63" i="41"/>
  <c r="J62" i="41"/>
  <c r="J61" i="41"/>
  <c r="J60" i="41"/>
  <c r="J59" i="41"/>
  <c r="J58" i="41"/>
  <c r="J57" i="41"/>
  <c r="J56" i="41"/>
  <c r="J55" i="41"/>
  <c r="J54" i="41"/>
  <c r="J53" i="41"/>
  <c r="J52" i="41"/>
  <c r="C291" i="5" l="1"/>
  <c r="C150" i="5" l="1"/>
  <c r="C119" i="5"/>
  <c r="C114" i="5"/>
  <c r="C90" i="5"/>
  <c r="C85" i="5"/>
  <c r="C63" i="5"/>
  <c r="C50" i="5"/>
  <c r="C45" i="5"/>
  <c r="A198" i="5" l="1"/>
  <c r="C199" i="5" s="1"/>
  <c r="C309" i="5" l="1"/>
  <c r="C326" i="5" l="1"/>
  <c r="A175" i="5" l="1"/>
  <c r="A177" i="5" s="1"/>
  <c r="B19" i="5"/>
  <c r="E80" i="41" l="1"/>
  <c r="E98" i="41"/>
  <c r="E102" i="41"/>
  <c r="E101" i="41"/>
  <c r="E100" i="41"/>
  <c r="E99" i="41"/>
  <c r="E97" i="41"/>
  <c r="E96" i="41"/>
  <c r="E95" i="41"/>
  <c r="E94" i="41"/>
  <c r="E93" i="41"/>
  <c r="E83" i="41"/>
  <c r="E82" i="41"/>
  <c r="E81" i="41"/>
  <c r="E79" i="41"/>
  <c r="E78" i="41"/>
  <c r="E77" i="41"/>
  <c r="E76" i="41"/>
  <c r="E75" i="41"/>
  <c r="E74" i="41"/>
  <c r="E73" i="41"/>
  <c r="E72" i="41"/>
  <c r="E71" i="41"/>
  <c r="E70" i="41"/>
  <c r="E69" i="41"/>
  <c r="E68" i="41"/>
  <c r="E67" i="41"/>
  <c r="E66" i="41"/>
  <c r="E65" i="41"/>
  <c r="E64" i="41"/>
  <c r="E63" i="41"/>
  <c r="E62" i="41"/>
  <c r="E61" i="41"/>
  <c r="E60" i="41"/>
  <c r="E59" i="41"/>
  <c r="E58" i="41"/>
  <c r="E57" i="41"/>
  <c r="E56" i="41"/>
  <c r="E55" i="41"/>
  <c r="E54" i="41"/>
  <c r="E53" i="41"/>
  <c r="E52" i="41"/>
  <c r="E51" i="41"/>
  <c r="C313" i="5"/>
  <c r="C301" i="5"/>
  <c r="C300" i="5"/>
  <c r="C299" i="5"/>
  <c r="B315" i="5" l="1"/>
  <c r="C317" i="5" s="1"/>
  <c r="B302" i="5"/>
  <c r="B304" i="5" l="1"/>
  <c r="C306" i="5" s="1"/>
  <c r="H22" i="41" l="1"/>
  <c r="A201" i="5" l="1"/>
  <c r="A202" i="5" s="1"/>
  <c r="A203" i="5" s="1"/>
  <c r="A205" i="5" s="1"/>
  <c r="C206" i="5" s="1"/>
  <c r="A182" i="5"/>
  <c r="A192" i="5" s="1"/>
  <c r="C158" i="5"/>
  <c r="A126" i="5"/>
  <c r="E77" i="44" l="1"/>
  <c r="I446" i="18"/>
  <c r="I445" i="18"/>
  <c r="I101" i="18"/>
  <c r="H468" i="18" l="1"/>
  <c r="I75" i="44" l="1"/>
  <c r="K75" i="44" s="1"/>
  <c r="B45" i="36" l="1"/>
  <c r="E24" i="36" l="1"/>
  <c r="B32" i="4" l="1"/>
  <c r="F71" i="4" l="1"/>
  <c r="F70" i="4"/>
  <c r="D74" i="14" l="1"/>
  <c r="D45" i="14"/>
  <c r="D44" i="14"/>
  <c r="F27" i="14"/>
  <c r="F26" i="14"/>
  <c r="I305" i="18"/>
  <c r="C176" i="47" s="1"/>
  <c r="I266" i="18"/>
  <c r="C45" i="36"/>
  <c r="D45" i="36" s="1"/>
  <c r="I120" i="18"/>
  <c r="C66" i="47" s="1"/>
  <c r="I119" i="18"/>
  <c r="C65" i="47" s="1"/>
  <c r="G121" i="18"/>
  <c r="C44" i="36" l="1"/>
  <c r="C156" i="47"/>
  <c r="H121" i="18"/>
  <c r="I121" i="18"/>
  <c r="J121" i="18" l="1"/>
  <c r="D75" i="14"/>
  <c r="A183" i="5" l="1"/>
  <c r="A184" i="5"/>
  <c r="I180" i="18" l="1"/>
  <c r="G76" i="44" l="1"/>
  <c r="G77" i="44" s="1"/>
  <c r="I76" i="44" l="1"/>
  <c r="K76" i="44" s="1"/>
  <c r="A129" i="5"/>
  <c r="C130" i="5" s="1"/>
  <c r="I77" i="44" l="1"/>
  <c r="B239" i="5"/>
  <c r="B264" i="5" s="1"/>
  <c r="B212" i="5"/>
  <c r="B235" i="5" s="1"/>
  <c r="B288" i="5"/>
  <c r="B280" i="5"/>
  <c r="A196" i="5"/>
  <c r="A185" i="5"/>
  <c r="A178" i="5"/>
  <c r="A173" i="5"/>
  <c r="A172" i="5"/>
  <c r="A171" i="5"/>
  <c r="A170" i="5"/>
  <c r="A187" i="5" l="1"/>
  <c r="A204" i="5"/>
  <c r="A136" i="5"/>
  <c r="C137" i="5" s="1"/>
  <c r="A135" i="5"/>
  <c r="A133" i="5"/>
  <c r="C134" i="5" s="1"/>
  <c r="A131" i="5"/>
  <c r="C132" i="5" s="1"/>
  <c r="A127" i="5"/>
  <c r="C128" i="5" s="1"/>
  <c r="A93" i="5"/>
  <c r="C108" i="47" l="1"/>
  <c r="C59" i="47"/>
  <c r="D2" i="47" l="1"/>
  <c r="I254" i="18"/>
  <c r="C150" i="47" s="1"/>
  <c r="I465" i="18" l="1"/>
  <c r="I335" i="18"/>
  <c r="C191" i="47" s="1"/>
  <c r="I336" i="18"/>
  <c r="C192" i="47" s="1"/>
  <c r="J427" i="18" l="1"/>
  <c r="J426" i="18"/>
  <c r="J145" i="18"/>
  <c r="D86" i="47" s="1"/>
  <c r="J440" i="18"/>
  <c r="J50" i="18"/>
  <c r="D31" i="47" s="1"/>
  <c r="J82" i="18"/>
  <c r="D49" i="47" s="1"/>
  <c r="J52" i="18"/>
  <c r="D33" i="47" s="1"/>
  <c r="J84" i="18"/>
  <c r="D51" i="47" s="1"/>
  <c r="J51" i="18"/>
  <c r="J53" i="18"/>
  <c r="D34" i="47" s="1"/>
  <c r="J172" i="18"/>
  <c r="D106" i="47" s="1"/>
  <c r="J83" i="18"/>
  <c r="J85" i="18"/>
  <c r="D52" i="47" s="1"/>
  <c r="J146" i="18"/>
  <c r="D87" i="47" s="1"/>
  <c r="J189" i="18"/>
  <c r="D114" i="47" s="1"/>
  <c r="J401" i="18"/>
  <c r="J79" i="18"/>
  <c r="D47" i="47" s="1"/>
  <c r="J47" i="18"/>
  <c r="D29" i="47" s="1"/>
  <c r="J447" i="18"/>
  <c r="J448" i="18"/>
  <c r="J450" i="18"/>
  <c r="J449" i="18"/>
  <c r="J445" i="18"/>
  <c r="J446" i="18"/>
  <c r="J305" i="18"/>
  <c r="D176" i="47" s="1"/>
  <c r="J266" i="18"/>
  <c r="D156" i="47" s="1"/>
  <c r="J120" i="18"/>
  <c r="D66" i="47" s="1"/>
  <c r="J119" i="18"/>
  <c r="D65" i="47" s="1"/>
  <c r="J101" i="18"/>
  <c r="D59" i="47" s="1"/>
  <c r="J180" i="18"/>
  <c r="D108" i="47" s="1"/>
  <c r="D7" i="47"/>
  <c r="C4" i="49"/>
  <c r="J254" i="18"/>
  <c r="D150" i="47" s="1"/>
  <c r="D1" i="47"/>
  <c r="C3" i="49"/>
  <c r="J465" i="18"/>
  <c r="J336" i="18"/>
  <c r="D192" i="47" s="1"/>
  <c r="J335" i="18"/>
  <c r="D191" i="47" s="1"/>
  <c r="G25" i="18" l="1"/>
  <c r="F25" i="18"/>
  <c r="E25" i="18"/>
  <c r="D25" i="18"/>
  <c r="C25" i="18"/>
  <c r="B25" i="18"/>
  <c r="A25" i="18"/>
  <c r="G24" i="18"/>
  <c r="F24" i="18"/>
  <c r="E24" i="18"/>
  <c r="D24" i="18"/>
  <c r="C24" i="18"/>
  <c r="B24" i="18"/>
  <c r="A24" i="18"/>
  <c r="G23" i="18"/>
  <c r="F23" i="18"/>
  <c r="E23" i="18"/>
  <c r="D23" i="18"/>
  <c r="C23" i="18"/>
  <c r="B23" i="18"/>
  <c r="A23" i="18"/>
  <c r="G22" i="18"/>
  <c r="F22" i="18"/>
  <c r="E22" i="18"/>
  <c r="D22" i="18"/>
  <c r="C22" i="18"/>
  <c r="B22" i="18"/>
  <c r="A22" i="18"/>
  <c r="G21" i="18"/>
  <c r="F21" i="18"/>
  <c r="E21" i="18"/>
  <c r="D21" i="18"/>
  <c r="C21" i="18"/>
  <c r="B21" i="18"/>
  <c r="A21" i="18"/>
  <c r="G20" i="18"/>
  <c r="F20" i="18"/>
  <c r="E20" i="18"/>
  <c r="D20" i="18"/>
  <c r="C20" i="18"/>
  <c r="B20" i="18"/>
  <c r="A20" i="18"/>
  <c r="G19" i="18"/>
  <c r="F19" i="18"/>
  <c r="E19" i="18"/>
  <c r="D19" i="18"/>
  <c r="C19" i="18"/>
  <c r="B19" i="18"/>
  <c r="A19" i="18"/>
  <c r="G18" i="18"/>
  <c r="F18" i="18"/>
  <c r="E18" i="18"/>
  <c r="D18" i="18"/>
  <c r="C18" i="18"/>
  <c r="B18" i="18"/>
  <c r="A18" i="18"/>
  <c r="G17" i="18"/>
  <c r="F17" i="18"/>
  <c r="E17" i="18"/>
  <c r="D17" i="18"/>
  <c r="C17" i="18"/>
  <c r="B17" i="18"/>
  <c r="A17" i="18"/>
  <c r="G16" i="18"/>
  <c r="F16" i="18"/>
  <c r="E16" i="18"/>
  <c r="D16" i="18"/>
  <c r="C16" i="18"/>
  <c r="B16" i="18"/>
  <c r="A16" i="18"/>
  <c r="G15" i="18"/>
  <c r="F15" i="18"/>
  <c r="E15" i="18"/>
  <c r="D15" i="18"/>
  <c r="C15" i="18"/>
  <c r="B15" i="18"/>
  <c r="A15" i="18"/>
  <c r="G14" i="18"/>
  <c r="F14" i="18"/>
  <c r="E14" i="18"/>
  <c r="D14" i="18"/>
  <c r="C14" i="18"/>
  <c r="B14" i="18"/>
  <c r="A14" i="18"/>
  <c r="G13" i="18"/>
  <c r="F13" i="18"/>
  <c r="E13" i="18"/>
  <c r="D13" i="18"/>
  <c r="C13" i="18"/>
  <c r="B13" i="18"/>
  <c r="A13" i="18"/>
  <c r="G12" i="18"/>
  <c r="F12" i="18"/>
  <c r="E12" i="18"/>
  <c r="D12" i="18"/>
  <c r="C12" i="18"/>
  <c r="B12" i="18"/>
  <c r="A12" i="18"/>
  <c r="G11" i="18"/>
  <c r="F11" i="18"/>
  <c r="E11" i="18"/>
  <c r="D11" i="18"/>
  <c r="C11" i="18"/>
  <c r="B11" i="18"/>
  <c r="A11" i="18"/>
  <c r="G10" i="18"/>
  <c r="F10" i="18"/>
  <c r="E10" i="18"/>
  <c r="D10" i="18"/>
  <c r="C10" i="18"/>
  <c r="B10" i="18"/>
  <c r="H17" i="18"/>
  <c r="I125" i="18"/>
  <c r="E29" i="44"/>
  <c r="I41" i="18"/>
  <c r="I42" i="18"/>
  <c r="C26" i="47" s="1"/>
  <c r="I43" i="18"/>
  <c r="C27" i="47" s="1"/>
  <c r="I44" i="18"/>
  <c r="C28" i="47" s="1"/>
  <c r="I397" i="18"/>
  <c r="G108" i="41"/>
  <c r="I380" i="18"/>
  <c r="I381" i="18"/>
  <c r="I382" i="18"/>
  <c r="I383" i="18"/>
  <c r="I386" i="18"/>
  <c r="I387" i="18"/>
  <c r="I388" i="18"/>
  <c r="I389" i="18"/>
  <c r="I390" i="18"/>
  <c r="I391" i="18"/>
  <c r="I393" i="18"/>
  <c r="I394" i="18"/>
  <c r="I395" i="18"/>
  <c r="I400" i="18"/>
  <c r="I398" i="18"/>
  <c r="I402" i="18"/>
  <c r="I403" i="18"/>
  <c r="I404" i="18"/>
  <c r="I407" i="18"/>
  <c r="I408" i="18"/>
  <c r="I409" i="18"/>
  <c r="I405" i="18"/>
  <c r="I412" i="18"/>
  <c r="I413" i="18"/>
  <c r="I414" i="18"/>
  <c r="I418" i="18"/>
  <c r="I419" i="18"/>
  <c r="I420" i="18"/>
  <c r="J420" i="18" s="1"/>
  <c r="I422" i="18"/>
  <c r="I424" i="18"/>
  <c r="J424" i="18" s="1"/>
  <c r="I425" i="18"/>
  <c r="I430" i="18"/>
  <c r="I431" i="18"/>
  <c r="J431" i="18" s="1"/>
  <c r="I432" i="18"/>
  <c r="I433" i="18"/>
  <c r="I435" i="18"/>
  <c r="I437" i="18"/>
  <c r="I438" i="18"/>
  <c r="I439" i="18"/>
  <c r="I441" i="18"/>
  <c r="I278" i="18"/>
  <c r="I279" i="18"/>
  <c r="C159" i="47" s="1"/>
  <c r="I280" i="18"/>
  <c r="C160" i="47" s="1"/>
  <c r="I281" i="18"/>
  <c r="C161" i="47" s="1"/>
  <c r="I282" i="18"/>
  <c r="C162" i="47" s="1"/>
  <c r="I283" i="18"/>
  <c r="C163" i="47" s="1"/>
  <c r="I285" i="18"/>
  <c r="C164" i="47" s="1"/>
  <c r="I286" i="18"/>
  <c r="C165" i="47" s="1"/>
  <c r="I288" i="18"/>
  <c r="C166" i="47" s="1"/>
  <c r="I289" i="18"/>
  <c r="C167" i="47" s="1"/>
  <c r="I290" i="18"/>
  <c r="C168" i="47" s="1"/>
  <c r="I291" i="18"/>
  <c r="C169" i="47" s="1"/>
  <c r="I293" i="18"/>
  <c r="C170" i="47" s="1"/>
  <c r="I294" i="18"/>
  <c r="C171" i="47" s="1"/>
  <c r="I297" i="18"/>
  <c r="C172" i="47" s="1"/>
  <c r="I298" i="18"/>
  <c r="C173" i="47" s="1"/>
  <c r="I466" i="18"/>
  <c r="J466" i="18" s="1"/>
  <c r="I464" i="18"/>
  <c r="J464" i="18" s="1"/>
  <c r="I463" i="18"/>
  <c r="J463" i="18" s="1"/>
  <c r="I462" i="18"/>
  <c r="J462" i="18" s="1"/>
  <c r="I459" i="18"/>
  <c r="J459" i="18" s="1"/>
  <c r="I458" i="18"/>
  <c r="I356" i="18"/>
  <c r="J356" i="18" s="1"/>
  <c r="I352" i="18"/>
  <c r="C200" i="47" s="1"/>
  <c r="I351" i="18"/>
  <c r="C199" i="47" s="1"/>
  <c r="I344" i="18"/>
  <c r="C196" i="47" s="1"/>
  <c r="I339" i="18"/>
  <c r="I338" i="18"/>
  <c r="I334" i="18"/>
  <c r="I333" i="18"/>
  <c r="I332" i="18"/>
  <c r="C188" i="47" s="1"/>
  <c r="I331" i="18"/>
  <c r="I317" i="18"/>
  <c r="C185" i="47" s="1"/>
  <c r="I316" i="18"/>
  <c r="C184" i="47" s="1"/>
  <c r="I315" i="18"/>
  <c r="C183" i="47" s="1"/>
  <c r="I312" i="18"/>
  <c r="C182" i="47" s="1"/>
  <c r="I311" i="18"/>
  <c r="C181" i="47" s="1"/>
  <c r="I310" i="18"/>
  <c r="C180" i="47" s="1"/>
  <c r="I309" i="18"/>
  <c r="C179" i="47" s="1"/>
  <c r="I308" i="18"/>
  <c r="C178" i="47" s="1"/>
  <c r="I307" i="18"/>
  <c r="C177" i="47" s="1"/>
  <c r="I304" i="18"/>
  <c r="I268" i="18"/>
  <c r="I265" i="18"/>
  <c r="C155" i="47" s="1"/>
  <c r="I264" i="18"/>
  <c r="C154" i="47" s="1"/>
  <c r="I263" i="18"/>
  <c r="C153" i="47" s="1"/>
  <c r="I262" i="18"/>
  <c r="C152" i="47" s="1"/>
  <c r="I255" i="18"/>
  <c r="C151" i="47" s="1"/>
  <c r="I253" i="18"/>
  <c r="C149" i="47" s="1"/>
  <c r="I252" i="18"/>
  <c r="C148" i="47" s="1"/>
  <c r="I251" i="18"/>
  <c r="C147" i="47" s="1"/>
  <c r="I250" i="18"/>
  <c r="C146" i="47" s="1"/>
  <c r="I249" i="18"/>
  <c r="C145" i="47" s="1"/>
  <c r="I245" i="18"/>
  <c r="C143" i="47" s="1"/>
  <c r="I244" i="18"/>
  <c r="C142" i="47" s="1"/>
  <c r="I234" i="18"/>
  <c r="C138" i="47" s="1"/>
  <c r="I233" i="18"/>
  <c r="C137" i="47" s="1"/>
  <c r="I231" i="18"/>
  <c r="C136" i="47" s="1"/>
  <c r="I230" i="18"/>
  <c r="C135" i="47" s="1"/>
  <c r="I229" i="18"/>
  <c r="C134" i="47" s="1"/>
  <c r="I226" i="18"/>
  <c r="C133" i="47" s="1"/>
  <c r="I225" i="18"/>
  <c r="C132" i="47" s="1"/>
  <c r="I223" i="18"/>
  <c r="C131" i="47" s="1"/>
  <c r="I222" i="18"/>
  <c r="C130" i="47" s="1"/>
  <c r="I221" i="18"/>
  <c r="C129" i="47" s="1"/>
  <c r="I220" i="18"/>
  <c r="C128" i="47" s="1"/>
  <c r="I217" i="18"/>
  <c r="C127" i="47" s="1"/>
  <c r="I216" i="18"/>
  <c r="C126" i="47" s="1"/>
  <c r="I208" i="18"/>
  <c r="C123" i="47" s="1"/>
  <c r="I207" i="18"/>
  <c r="C122" i="47" s="1"/>
  <c r="I206" i="18"/>
  <c r="C121" i="47" s="1"/>
  <c r="I205" i="18"/>
  <c r="C120" i="47" s="1"/>
  <c r="I203" i="18"/>
  <c r="C119" i="47" s="1"/>
  <c r="I202" i="18"/>
  <c r="I191" i="18"/>
  <c r="C116" i="47" s="1"/>
  <c r="I190" i="18"/>
  <c r="C115" i="47" s="1"/>
  <c r="I188" i="18"/>
  <c r="C113" i="47" s="1"/>
  <c r="I187" i="18"/>
  <c r="C112" i="47" s="1"/>
  <c r="I186" i="18"/>
  <c r="C111" i="47" s="1"/>
  <c r="I185" i="18"/>
  <c r="I173" i="18"/>
  <c r="C107" i="47" s="1"/>
  <c r="I171" i="18"/>
  <c r="I170" i="18"/>
  <c r="I167" i="18"/>
  <c r="C101" i="47" s="1"/>
  <c r="I165" i="18"/>
  <c r="I164" i="18"/>
  <c r="I163" i="18"/>
  <c r="I159" i="18"/>
  <c r="I158" i="18"/>
  <c r="I154" i="18"/>
  <c r="I152" i="18"/>
  <c r="G32" i="44" s="1"/>
  <c r="I144" i="18"/>
  <c r="I143" i="18"/>
  <c r="I141" i="18"/>
  <c r="I138" i="18"/>
  <c r="I137" i="18"/>
  <c r="I136" i="18"/>
  <c r="I133" i="18"/>
  <c r="I132" i="18"/>
  <c r="I131" i="18"/>
  <c r="I129" i="18"/>
  <c r="I128" i="18"/>
  <c r="C72" i="47" s="1"/>
  <c r="I127" i="18"/>
  <c r="I126" i="18"/>
  <c r="G313" i="18"/>
  <c r="G318" i="18"/>
  <c r="C20" i="12"/>
  <c r="C23" i="12" s="1"/>
  <c r="B20" i="12"/>
  <c r="B23" i="12" s="1"/>
  <c r="F14" i="12"/>
  <c r="F41" i="12"/>
  <c r="F42" i="12"/>
  <c r="F43" i="12"/>
  <c r="F44" i="12"/>
  <c r="F50" i="12"/>
  <c r="G209" i="18"/>
  <c r="G211" i="18" s="1"/>
  <c r="G218" i="18"/>
  <c r="G227" i="18"/>
  <c r="G379" i="18" s="1"/>
  <c r="G236" i="18"/>
  <c r="G256" i="18"/>
  <c r="G117" i="18"/>
  <c r="G149" i="18" s="1"/>
  <c r="G178" i="18" s="1"/>
  <c r="G39" i="18"/>
  <c r="D19" i="29"/>
  <c r="G92" i="18"/>
  <c r="G97" i="18" s="1"/>
  <c r="B22" i="4"/>
  <c r="F15" i="12"/>
  <c r="F16" i="12"/>
  <c r="F17" i="12"/>
  <c r="F18" i="12"/>
  <c r="F19" i="12"/>
  <c r="F38" i="12"/>
  <c r="I113" i="18"/>
  <c r="C61" i="47" s="1"/>
  <c r="I115" i="18"/>
  <c r="C63" i="47" s="1"/>
  <c r="I116" i="18"/>
  <c r="C64" i="47" s="1"/>
  <c r="I66" i="18"/>
  <c r="C42" i="47" s="1"/>
  <c r="I67" i="18"/>
  <c r="I68" i="18"/>
  <c r="C43" i="47" s="1"/>
  <c r="I90" i="18"/>
  <c r="C55" i="47" s="1"/>
  <c r="I91" i="18"/>
  <c r="C56" i="47" s="1"/>
  <c r="C32" i="47"/>
  <c r="I54" i="18"/>
  <c r="I58" i="18"/>
  <c r="C37" i="47" s="1"/>
  <c r="I81" i="18"/>
  <c r="C50" i="47"/>
  <c r="I86" i="18"/>
  <c r="I87" i="18"/>
  <c r="E17" i="44"/>
  <c r="BS57" i="43"/>
  <c r="E116" i="3"/>
  <c r="E118" i="3"/>
  <c r="E119" i="3"/>
  <c r="E120" i="3"/>
  <c r="E123" i="3"/>
  <c r="E124" i="3"/>
  <c r="E125" i="3"/>
  <c r="E103" i="3"/>
  <c r="E104" i="3"/>
  <c r="E105" i="3"/>
  <c r="E96" i="3"/>
  <c r="E98" i="3"/>
  <c r="E99" i="3"/>
  <c r="E100" i="3"/>
  <c r="E90" i="3"/>
  <c r="E91" i="3"/>
  <c r="E87" i="3"/>
  <c r="E88" i="3"/>
  <c r="E89" i="3"/>
  <c r="N52" i="3"/>
  <c r="N53" i="3"/>
  <c r="N54" i="3"/>
  <c r="N55" i="3"/>
  <c r="N56" i="3"/>
  <c r="N58" i="3"/>
  <c r="N59" i="3"/>
  <c r="N60" i="3"/>
  <c r="N61" i="3"/>
  <c r="N36" i="3"/>
  <c r="N37" i="3"/>
  <c r="N38" i="3"/>
  <c r="N29" i="3"/>
  <c r="N30" i="3"/>
  <c r="N31" i="3"/>
  <c r="N32" i="3"/>
  <c r="N33" i="3"/>
  <c r="N35" i="3"/>
  <c r="N20" i="3"/>
  <c r="N21" i="3"/>
  <c r="N22" i="3"/>
  <c r="N23" i="3"/>
  <c r="N24" i="3"/>
  <c r="B25" i="3" s="1"/>
  <c r="H26" i="3"/>
  <c r="H78" i="3" s="1"/>
  <c r="E26" i="3"/>
  <c r="E78" i="3" s="1"/>
  <c r="B10" i="3"/>
  <c r="H63" i="3"/>
  <c r="K26" i="3"/>
  <c r="K78" i="3" s="1"/>
  <c r="C6" i="16"/>
  <c r="C5" i="16"/>
  <c r="C4" i="16"/>
  <c r="C3" i="16"/>
  <c r="C2" i="16"/>
  <c r="C6" i="12"/>
  <c r="C5" i="12"/>
  <c r="C4" i="12"/>
  <c r="C2" i="12"/>
  <c r="E72" i="44"/>
  <c r="E70" i="44"/>
  <c r="E69" i="44"/>
  <c r="E68" i="44"/>
  <c r="E66" i="44"/>
  <c r="E64" i="44"/>
  <c r="E63" i="44"/>
  <c r="E62" i="44"/>
  <c r="E61" i="44"/>
  <c r="E56" i="44"/>
  <c r="E55" i="44"/>
  <c r="E53" i="44"/>
  <c r="E51" i="44"/>
  <c r="E50" i="44"/>
  <c r="E49" i="44"/>
  <c r="E48" i="44"/>
  <c r="E45" i="44"/>
  <c r="E44" i="44"/>
  <c r="E43" i="44"/>
  <c r="E36" i="44"/>
  <c r="E40" i="44"/>
  <c r="E39" i="44"/>
  <c r="E38" i="44"/>
  <c r="E35" i="44"/>
  <c r="E34" i="44"/>
  <c r="E33" i="44"/>
  <c r="E28" i="44"/>
  <c r="I124" i="18"/>
  <c r="G31" i="44" s="1"/>
  <c r="I31" i="44" s="1"/>
  <c r="K31" i="44" s="1"/>
  <c r="E26" i="44"/>
  <c r="I123" i="18"/>
  <c r="E25" i="44"/>
  <c r="E24" i="44"/>
  <c r="E22" i="44"/>
  <c r="I63" i="18"/>
  <c r="E21" i="44"/>
  <c r="I62" i="18"/>
  <c r="G20" i="44" s="1"/>
  <c r="E20" i="44"/>
  <c r="I61" i="18"/>
  <c r="G19" i="44" s="1"/>
  <c r="E19" i="44"/>
  <c r="E18" i="44"/>
  <c r="B6" i="44"/>
  <c r="B5" i="44"/>
  <c r="B4" i="44"/>
  <c r="B3" i="44"/>
  <c r="B2" i="44"/>
  <c r="B2" i="39"/>
  <c r="B2" i="34"/>
  <c r="B2" i="32"/>
  <c r="B2" i="33"/>
  <c r="B6" i="6"/>
  <c r="B5" i="6"/>
  <c r="B4" i="6"/>
  <c r="B3" i="6"/>
  <c r="B2" i="6"/>
  <c r="C2" i="5"/>
  <c r="B2" i="8"/>
  <c r="B44" i="36"/>
  <c r="B43" i="36"/>
  <c r="B41" i="36"/>
  <c r="B38" i="36"/>
  <c r="B37" i="36"/>
  <c r="B36" i="36"/>
  <c r="B2" i="36"/>
  <c r="B2" i="14"/>
  <c r="B2" i="4"/>
  <c r="C2" i="29"/>
  <c r="D2" i="43"/>
  <c r="D2" i="41"/>
  <c r="I74" i="18"/>
  <c r="G364" i="18"/>
  <c r="I364" i="18" s="1"/>
  <c r="G362" i="18"/>
  <c r="I362" i="18" s="1"/>
  <c r="J362" i="18" s="1"/>
  <c r="I95" i="18"/>
  <c r="C58" i="47" s="1"/>
  <c r="I94" i="18"/>
  <c r="C57" i="47" s="1"/>
  <c r="I76" i="18"/>
  <c r="C46" i="47" s="1"/>
  <c r="I38" i="18"/>
  <c r="C25" i="47" s="1"/>
  <c r="I37" i="18"/>
  <c r="C24" i="47" s="1"/>
  <c r="I36" i="18"/>
  <c r="C23" i="47" s="1"/>
  <c r="I35" i="18"/>
  <c r="C22" i="47" s="1"/>
  <c r="I34" i="18"/>
  <c r="C21" i="47" s="1"/>
  <c r="D1" i="41"/>
  <c r="C142" i="5"/>
  <c r="B109" i="5"/>
  <c r="B108" i="5"/>
  <c r="E15" i="36"/>
  <c r="D22" i="4"/>
  <c r="H63" i="43"/>
  <c r="F477" i="18"/>
  <c r="F478" i="18"/>
  <c r="F475" i="18"/>
  <c r="F15" i="36"/>
  <c r="E16" i="36"/>
  <c r="F16" i="36"/>
  <c r="E17" i="36"/>
  <c r="F17" i="36"/>
  <c r="E18" i="36"/>
  <c r="E20" i="36"/>
  <c r="F20" i="36"/>
  <c r="F60" i="36" s="1"/>
  <c r="E22" i="36"/>
  <c r="L22" i="36" s="1"/>
  <c r="F22" i="36"/>
  <c r="F194" i="36" s="1"/>
  <c r="E23" i="36"/>
  <c r="L23" i="36" s="1"/>
  <c r="F23" i="36"/>
  <c r="G24" i="36"/>
  <c r="D27" i="36"/>
  <c r="C27" i="36"/>
  <c r="D59" i="14"/>
  <c r="G287" i="18"/>
  <c r="G295" i="18"/>
  <c r="G299" i="18"/>
  <c r="E112" i="44"/>
  <c r="E108" i="44"/>
  <c r="E107" i="44"/>
  <c r="E87" i="44"/>
  <c r="E86" i="44"/>
  <c r="E83" i="44"/>
  <c r="E82" i="44"/>
  <c r="E81" i="44"/>
  <c r="BS58" i="43"/>
  <c r="BS14" i="43"/>
  <c r="B235" i="36"/>
  <c r="B237" i="36" s="1"/>
  <c r="C235" i="36"/>
  <c r="C237" i="36" s="1"/>
  <c r="B215" i="36"/>
  <c r="B75" i="36"/>
  <c r="B30" i="4"/>
  <c r="F41" i="34"/>
  <c r="F40" i="34"/>
  <c r="D60" i="14"/>
  <c r="B17" i="39"/>
  <c r="B46" i="39" s="1"/>
  <c r="F23" i="34"/>
  <c r="D195" i="36"/>
  <c r="D196" i="36"/>
  <c r="D197" i="36"/>
  <c r="D198" i="36"/>
  <c r="D199" i="36"/>
  <c r="D200" i="36"/>
  <c r="D201" i="36"/>
  <c r="D202" i="36"/>
  <c r="D203" i="36"/>
  <c r="D204" i="36"/>
  <c r="D205" i="36"/>
  <c r="D206" i="36"/>
  <c r="D207" i="36"/>
  <c r="D208" i="36"/>
  <c r="D209" i="36"/>
  <c r="D210" i="36"/>
  <c r="D211" i="36"/>
  <c r="D212" i="36"/>
  <c r="D61" i="36"/>
  <c r="D62" i="36"/>
  <c r="D63" i="36"/>
  <c r="D64" i="36"/>
  <c r="D65" i="36"/>
  <c r="D66" i="36"/>
  <c r="D67" i="36"/>
  <c r="D68" i="36"/>
  <c r="D69" i="36"/>
  <c r="D70" i="36"/>
  <c r="D71" i="36"/>
  <c r="D72" i="36"/>
  <c r="D73" i="36"/>
  <c r="B56" i="39"/>
  <c r="C56" i="39"/>
  <c r="B55" i="39"/>
  <c r="B53" i="39"/>
  <c r="C51" i="39"/>
  <c r="B51" i="39"/>
  <c r="G340" i="18"/>
  <c r="G345" i="18"/>
  <c r="G353" i="18"/>
  <c r="C53" i="39"/>
  <c r="C55" i="39"/>
  <c r="G468" i="18"/>
  <c r="C214" i="36"/>
  <c r="B214" i="36"/>
  <c r="A10" i="44"/>
  <c r="A10" i="12"/>
  <c r="A10" i="39"/>
  <c r="A10" i="34"/>
  <c r="A10" i="32"/>
  <c r="A10" i="33"/>
  <c r="A10" i="6"/>
  <c r="A10" i="5"/>
  <c r="A10" i="8"/>
  <c r="A10" i="36"/>
  <c r="A10" i="14"/>
  <c r="A10" i="4"/>
  <c r="K63" i="43"/>
  <c r="BS15" i="43"/>
  <c r="N63" i="43"/>
  <c r="BS16" i="43"/>
  <c r="Q63" i="43"/>
  <c r="BS17" i="43"/>
  <c r="T63" i="43"/>
  <c r="BS19" i="43"/>
  <c r="W63" i="43"/>
  <c r="BS22" i="43"/>
  <c r="Z63" i="43"/>
  <c r="BS23" i="43"/>
  <c r="AC63" i="43"/>
  <c r="BS24" i="43"/>
  <c r="AI63" i="43"/>
  <c r="BS26" i="43"/>
  <c r="AL63" i="43"/>
  <c r="BS27" i="43"/>
  <c r="AR63" i="43"/>
  <c r="BS28" i="43"/>
  <c r="AU63" i="43"/>
  <c r="BS29" i="43"/>
  <c r="AX63" i="43"/>
  <c r="BS30" i="43"/>
  <c r="BD63" i="43"/>
  <c r="BS40" i="43"/>
  <c r="BG63" i="43"/>
  <c r="BS41" i="43"/>
  <c r="BJ63" i="43"/>
  <c r="BS42" i="43"/>
  <c r="BM63" i="43"/>
  <c r="BS43" i="43"/>
  <c r="BP63" i="43"/>
  <c r="BS59" i="43"/>
  <c r="BS51" i="43"/>
  <c r="BS52" i="43"/>
  <c r="BS38" i="43"/>
  <c r="BS39" i="43"/>
  <c r="BS50" i="43"/>
  <c r="BS45" i="43"/>
  <c r="BS46" i="43"/>
  <c r="BS47" i="43"/>
  <c r="BS48" i="43"/>
  <c r="BS49" i="43"/>
  <c r="BS31" i="43"/>
  <c r="BS32" i="43"/>
  <c r="BS33" i="43"/>
  <c r="BS34" i="43"/>
  <c r="BS35" i="43"/>
  <c r="BS36" i="43"/>
  <c r="BS37" i="43"/>
  <c r="BS60" i="43"/>
  <c r="BS61" i="43"/>
  <c r="BS62" i="43"/>
  <c r="AF63" i="43"/>
  <c r="C26" i="5"/>
  <c r="H14" i="41"/>
  <c r="F103" i="41"/>
  <c r="J374" i="18"/>
  <c r="I374" i="18"/>
  <c r="J329" i="18"/>
  <c r="I329" i="18"/>
  <c r="J275" i="18"/>
  <c r="I275" i="18"/>
  <c r="J199" i="18"/>
  <c r="I199" i="18"/>
  <c r="J109" i="18"/>
  <c r="I109" i="18"/>
  <c r="G374" i="18"/>
  <c r="A274" i="18"/>
  <c r="A326" i="18" s="1"/>
  <c r="A371" i="18" s="1"/>
  <c r="A368" i="18"/>
  <c r="G329" i="18"/>
  <c r="A325" i="18"/>
  <c r="A323" i="18"/>
  <c r="G275" i="18"/>
  <c r="A271" i="18"/>
  <c r="G199" i="18"/>
  <c r="A108" i="18"/>
  <c r="A198" i="18" s="1"/>
  <c r="E195" i="18"/>
  <c r="A195" i="18"/>
  <c r="G109" i="18"/>
  <c r="A107" i="18"/>
  <c r="E105" i="18"/>
  <c r="A105" i="18"/>
  <c r="B7" i="32"/>
  <c r="F22" i="34"/>
  <c r="B7" i="34"/>
  <c r="B74" i="36"/>
  <c r="B85" i="36" s="1"/>
  <c r="B87" i="36" s="1"/>
  <c r="B88" i="36" s="1"/>
  <c r="A91" i="36" s="1"/>
  <c r="D236" i="36"/>
  <c r="D234" i="36"/>
  <c r="C74" i="36"/>
  <c r="B7" i="33"/>
  <c r="B7" i="14"/>
  <c r="B7" i="39"/>
  <c r="I15" i="41" l="1"/>
  <c r="H16" i="41"/>
  <c r="E113" i="3"/>
  <c r="H132" i="3"/>
  <c r="K132" i="3" s="1"/>
  <c r="H120" i="3"/>
  <c r="K120" i="3" s="1"/>
  <c r="H131" i="3"/>
  <c r="K131" i="3" s="1"/>
  <c r="H119" i="3"/>
  <c r="K119" i="3" s="1"/>
  <c r="H130" i="3"/>
  <c r="K130" i="3" s="1"/>
  <c r="H118" i="3"/>
  <c r="H129" i="3"/>
  <c r="H117" i="3"/>
  <c r="K117" i="3" s="1"/>
  <c r="H116" i="3"/>
  <c r="K116" i="3" s="1"/>
  <c r="H124" i="3"/>
  <c r="K124" i="3" s="1"/>
  <c r="H134" i="3"/>
  <c r="K134" i="3" s="1"/>
  <c r="H123" i="3"/>
  <c r="K123" i="3" s="1"/>
  <c r="H133" i="3"/>
  <c r="K133" i="3" s="1"/>
  <c r="H122" i="3"/>
  <c r="K122" i="3" s="1"/>
  <c r="H125" i="3"/>
  <c r="K125" i="3" s="1"/>
  <c r="H111" i="3"/>
  <c r="K111" i="3" s="1"/>
  <c r="H110" i="3"/>
  <c r="K110" i="3" s="1"/>
  <c r="H109" i="3"/>
  <c r="K109" i="3" s="1"/>
  <c r="H112" i="3"/>
  <c r="K112" i="3" s="1"/>
  <c r="H108" i="3"/>
  <c r="K108" i="3" s="1"/>
  <c r="H107" i="3"/>
  <c r="K107" i="3" s="1"/>
  <c r="G112" i="41"/>
  <c r="B114" i="41" s="1"/>
  <c r="E88" i="44"/>
  <c r="N49" i="3"/>
  <c r="D25" i="29"/>
  <c r="D24" i="29"/>
  <c r="D16" i="29"/>
  <c r="D23" i="29"/>
  <c r="D22" i="29"/>
  <c r="D21" i="29"/>
  <c r="D18" i="29"/>
  <c r="D20" i="29"/>
  <c r="N62" i="3"/>
  <c r="N74" i="3" s="1"/>
  <c r="B39" i="3"/>
  <c r="G16" i="41"/>
  <c r="E55" i="39"/>
  <c r="F55" i="39" s="1"/>
  <c r="G133" i="41"/>
  <c r="E51" i="39"/>
  <c r="F51" i="39" s="1"/>
  <c r="C54" i="47"/>
  <c r="J87" i="18"/>
  <c r="D54" i="47" s="1"/>
  <c r="C53" i="47"/>
  <c r="J86" i="18"/>
  <c r="D53" i="47" s="1"/>
  <c r="C35" i="47"/>
  <c r="J54" i="18"/>
  <c r="D35" i="47" s="1"/>
  <c r="I88" i="18"/>
  <c r="G71" i="18"/>
  <c r="G99" i="18" s="1"/>
  <c r="G103" i="18" s="1"/>
  <c r="B48" i="36"/>
  <c r="H110" i="41"/>
  <c r="G109" i="41"/>
  <c r="E59" i="44"/>
  <c r="H102" i="3"/>
  <c r="K102" i="3" s="1"/>
  <c r="H97" i="3"/>
  <c r="K97" i="3" s="1"/>
  <c r="H89" i="3"/>
  <c r="K89" i="3" s="1"/>
  <c r="H104" i="3"/>
  <c r="K104" i="3" s="1"/>
  <c r="H99" i="3"/>
  <c r="K99" i="3" s="1"/>
  <c r="H87" i="3"/>
  <c r="K87" i="3" s="1"/>
  <c r="H98" i="3"/>
  <c r="K98" i="3" s="1"/>
  <c r="H90" i="3"/>
  <c r="K90" i="3" s="1"/>
  <c r="H105" i="3"/>
  <c r="K105" i="3" s="1"/>
  <c r="H100" i="3"/>
  <c r="K100" i="3" s="1"/>
  <c r="H96" i="3"/>
  <c r="H88" i="3"/>
  <c r="K88" i="3" s="1"/>
  <c r="H91" i="3"/>
  <c r="K91" i="3" s="1"/>
  <c r="H103" i="3"/>
  <c r="K103" i="3" s="1"/>
  <c r="E90" i="44"/>
  <c r="B47" i="39"/>
  <c r="E41" i="44"/>
  <c r="E46" i="44"/>
  <c r="I415" i="18"/>
  <c r="I410" i="18"/>
  <c r="I134" i="18"/>
  <c r="H25" i="41"/>
  <c r="I28" i="41" s="1"/>
  <c r="G26" i="44"/>
  <c r="I26" i="44" s="1"/>
  <c r="K26" i="44" s="1"/>
  <c r="C73" i="47"/>
  <c r="I19" i="44"/>
  <c r="K19" i="44" s="1"/>
  <c r="G21" i="44"/>
  <c r="I21" i="44" s="1"/>
  <c r="K21" i="44" s="1"/>
  <c r="I20" i="44"/>
  <c r="K20" i="44" s="1"/>
  <c r="D26" i="4"/>
  <c r="BS63" i="43"/>
  <c r="H120" i="41" s="1"/>
  <c r="E113" i="44"/>
  <c r="E93" i="3"/>
  <c r="J265" i="18"/>
  <c r="D155" i="47" s="1"/>
  <c r="D235" i="36"/>
  <c r="D237" i="36" s="1"/>
  <c r="D74" i="36"/>
  <c r="D214" i="36"/>
  <c r="C194" i="47"/>
  <c r="J339" i="18"/>
  <c r="D194" i="47" s="1"/>
  <c r="C193" i="47"/>
  <c r="J338" i="18"/>
  <c r="D193" i="47" s="1"/>
  <c r="G320" i="18"/>
  <c r="G361" i="18"/>
  <c r="G301" i="18"/>
  <c r="G238" i="18"/>
  <c r="G240" i="18" s="1"/>
  <c r="E73" i="44"/>
  <c r="F235" i="36"/>
  <c r="N27" i="3"/>
  <c r="E126" i="3"/>
  <c r="E137" i="3" s="1"/>
  <c r="I32" i="44"/>
  <c r="K32" i="44" s="1"/>
  <c r="C48" i="47"/>
  <c r="C110" i="47"/>
  <c r="C118" i="47"/>
  <c r="C175" i="47"/>
  <c r="C89" i="47"/>
  <c r="C187" i="47"/>
  <c r="F46" i="12"/>
  <c r="F48" i="12" s="1"/>
  <c r="C91" i="47"/>
  <c r="G258" i="18"/>
  <c r="I57" i="18"/>
  <c r="C36" i="47" s="1"/>
  <c r="H59" i="18"/>
  <c r="I49" i="18"/>
  <c r="G347" i="18"/>
  <c r="C40" i="47"/>
  <c r="C68" i="47"/>
  <c r="J332" i="18"/>
  <c r="D188" i="47" s="1"/>
  <c r="J43" i="18"/>
  <c r="D27" i="47" s="1"/>
  <c r="G72" i="44"/>
  <c r="I72" i="44" s="1"/>
  <c r="K72" i="44" s="1"/>
  <c r="E56" i="39"/>
  <c r="F56" i="39" s="1"/>
  <c r="E53" i="39"/>
  <c r="F53" i="39" s="1"/>
  <c r="G33" i="44"/>
  <c r="I33" i="44" s="1"/>
  <c r="K33" i="44" s="1"/>
  <c r="C71" i="47"/>
  <c r="G39" i="44"/>
  <c r="I39" i="44" s="1"/>
  <c r="K39" i="44" s="1"/>
  <c r="C75" i="47"/>
  <c r="G48" i="44"/>
  <c r="C77" i="47"/>
  <c r="G50" i="44"/>
  <c r="I50" i="44" s="1"/>
  <c r="K50" i="44" s="1"/>
  <c r="C79" i="47"/>
  <c r="G53" i="44"/>
  <c r="I53" i="44" s="1"/>
  <c r="K53" i="44" s="1"/>
  <c r="C82" i="47"/>
  <c r="G56" i="44"/>
  <c r="I56" i="44" s="1"/>
  <c r="K56" i="44" s="1"/>
  <c r="C85" i="47"/>
  <c r="G44" i="44"/>
  <c r="I44" i="44" s="1"/>
  <c r="K44" i="44" s="1"/>
  <c r="C94" i="47"/>
  <c r="G63" i="44"/>
  <c r="I63" i="44" s="1"/>
  <c r="K63" i="44" s="1"/>
  <c r="C98" i="47"/>
  <c r="G66" i="44"/>
  <c r="I66" i="44" s="1"/>
  <c r="K66" i="44" s="1"/>
  <c r="G69" i="44"/>
  <c r="I69" i="44" s="1"/>
  <c r="K69" i="44" s="1"/>
  <c r="C104" i="47"/>
  <c r="J334" i="18"/>
  <c r="D190" i="47" s="1"/>
  <c r="C190" i="47"/>
  <c r="J278" i="18"/>
  <c r="D158" i="47" s="1"/>
  <c r="C158" i="47"/>
  <c r="G29" i="44"/>
  <c r="I29" i="44" s="1"/>
  <c r="K29" i="44" s="1"/>
  <c r="C69" i="47"/>
  <c r="C38" i="47"/>
  <c r="C39" i="47"/>
  <c r="G25" i="44"/>
  <c r="I25" i="44" s="1"/>
  <c r="K25" i="44" s="1"/>
  <c r="C67" i="47"/>
  <c r="G28" i="44"/>
  <c r="I28" i="44" s="1"/>
  <c r="K28" i="44" s="1"/>
  <c r="C70" i="47"/>
  <c r="G38" i="44"/>
  <c r="C74" i="47"/>
  <c r="G40" i="44"/>
  <c r="I40" i="44" s="1"/>
  <c r="K40" i="44" s="1"/>
  <c r="C76" i="47"/>
  <c r="G49" i="44"/>
  <c r="I49" i="44" s="1"/>
  <c r="K49" i="44" s="1"/>
  <c r="C78" i="47"/>
  <c r="G55" i="44"/>
  <c r="I55" i="44" s="1"/>
  <c r="K55" i="44" s="1"/>
  <c r="C84" i="47"/>
  <c r="G45" i="44"/>
  <c r="I45" i="44" s="1"/>
  <c r="K45" i="44" s="1"/>
  <c r="C95" i="47"/>
  <c r="G62" i="44"/>
  <c r="I62" i="44" s="1"/>
  <c r="K62" i="44" s="1"/>
  <c r="C97" i="47"/>
  <c r="G64" i="44"/>
  <c r="I64" i="44" s="1"/>
  <c r="K64" i="44" s="1"/>
  <c r="C99" i="47"/>
  <c r="G70" i="44"/>
  <c r="I70" i="44" s="1"/>
  <c r="K70" i="44" s="1"/>
  <c r="C105" i="47"/>
  <c r="J333" i="18"/>
  <c r="D189" i="47" s="1"/>
  <c r="C189" i="47"/>
  <c r="J413" i="18"/>
  <c r="J405" i="18"/>
  <c r="J125" i="18"/>
  <c r="D69" i="47" s="1"/>
  <c r="J76" i="18"/>
  <c r="D46" i="47" s="1"/>
  <c r="J293" i="18"/>
  <c r="D170" i="47" s="1"/>
  <c r="G22" i="36"/>
  <c r="I33" i="18"/>
  <c r="C20" i="47" s="1"/>
  <c r="J390" i="18"/>
  <c r="J439" i="18"/>
  <c r="J280" i="18"/>
  <c r="D160" i="47" s="1"/>
  <c r="J132" i="18"/>
  <c r="D75" i="47" s="1"/>
  <c r="J262" i="18"/>
  <c r="D152" i="47" s="1"/>
  <c r="J206" i="18"/>
  <c r="D121" i="47" s="1"/>
  <c r="F27" i="36"/>
  <c r="J128" i="18"/>
  <c r="D72" i="47" s="1"/>
  <c r="J245" i="18"/>
  <c r="D143" i="47" s="1"/>
  <c r="J307" i="18"/>
  <c r="D177" i="47" s="1"/>
  <c r="J251" i="18"/>
  <c r="D147" i="47" s="1"/>
  <c r="J231" i="18"/>
  <c r="D136" i="47" s="1"/>
  <c r="I155" i="18"/>
  <c r="J155" i="18" s="1"/>
  <c r="D92" i="47" s="1"/>
  <c r="G15" i="36"/>
  <c r="I75" i="18"/>
  <c r="C45" i="47" s="1"/>
  <c r="G16" i="36"/>
  <c r="J304" i="18"/>
  <c r="D175" i="47" s="1"/>
  <c r="J191" i="18"/>
  <c r="D116" i="47" s="1"/>
  <c r="J216" i="18"/>
  <c r="D126" i="47" s="1"/>
  <c r="J225" i="18"/>
  <c r="D132" i="47" s="1"/>
  <c r="J393" i="18"/>
  <c r="J124" i="18"/>
  <c r="D68" i="47" s="1"/>
  <c r="J310" i="18"/>
  <c r="D180" i="47" s="1"/>
  <c r="J281" i="18"/>
  <c r="D161" i="47" s="1"/>
  <c r="J203" i="18"/>
  <c r="D119" i="47" s="1"/>
  <c r="J58" i="18"/>
  <c r="D37" i="47" s="1"/>
  <c r="C7" i="16"/>
  <c r="E323" i="18"/>
  <c r="B7" i="6"/>
  <c r="J425" i="18"/>
  <c r="J364" i="18"/>
  <c r="J437" i="18"/>
  <c r="J123" i="18"/>
  <c r="D67" i="47" s="1"/>
  <c r="J311" i="18"/>
  <c r="D181" i="47" s="1"/>
  <c r="J144" i="18"/>
  <c r="D85" i="47" s="1"/>
  <c r="J344" i="18"/>
  <c r="D196" i="47" s="1"/>
  <c r="C7" i="29"/>
  <c r="J220" i="18"/>
  <c r="D128" i="47" s="1"/>
  <c r="E7" i="3"/>
  <c r="J137" i="18"/>
  <c r="D78" i="47" s="1"/>
  <c r="J394" i="18"/>
  <c r="J430" i="18"/>
  <c r="J165" i="18"/>
  <c r="D99" i="47" s="1"/>
  <c r="J187" i="18"/>
  <c r="D112" i="47" s="1"/>
  <c r="J90" i="18"/>
  <c r="D55" i="47" s="1"/>
  <c r="J294" i="18"/>
  <c r="D171" i="47" s="1"/>
  <c r="J44" i="18"/>
  <c r="D28" i="47" s="1"/>
  <c r="H218" i="18"/>
  <c r="H92" i="18"/>
  <c r="E109" i="44"/>
  <c r="F20" i="12"/>
  <c r="F23" i="12" s="1"/>
  <c r="B1" i="14"/>
  <c r="J115" i="18"/>
  <c r="D63" i="47" s="1"/>
  <c r="I218" i="18"/>
  <c r="J38" i="18"/>
  <c r="D25" i="47" s="1"/>
  <c r="J116" i="18"/>
  <c r="D64" i="47" s="1"/>
  <c r="J66" i="18"/>
  <c r="D42" i="47" s="1"/>
  <c r="C41" i="36"/>
  <c r="D41" i="36" s="1"/>
  <c r="J141" i="18"/>
  <c r="D82" i="47" s="1"/>
  <c r="J136" i="18"/>
  <c r="D77" i="47" s="1"/>
  <c r="J253" i="18"/>
  <c r="D149" i="47" s="1"/>
  <c r="J234" i="18"/>
  <c r="D138" i="47" s="1"/>
  <c r="J138" i="18"/>
  <c r="D79" i="47" s="1"/>
  <c r="J202" i="18"/>
  <c r="D118" i="47" s="1"/>
  <c r="J34" i="18"/>
  <c r="D21" i="47" s="1"/>
  <c r="J167" i="18"/>
  <c r="D101" i="47" s="1"/>
  <c r="J74" i="18"/>
  <c r="D1" i="43"/>
  <c r="J95" i="18"/>
  <c r="D58" i="47" s="1"/>
  <c r="J381" i="18"/>
  <c r="J395" i="18"/>
  <c r="J309" i="18"/>
  <c r="D179" i="47" s="1"/>
  <c r="C1" i="16"/>
  <c r="B1" i="6"/>
  <c r="H442" i="18"/>
  <c r="J414" i="18"/>
  <c r="J315" i="18"/>
  <c r="D183" i="47" s="1"/>
  <c r="J297" i="18"/>
  <c r="D172" i="47" s="1"/>
  <c r="J290" i="18"/>
  <c r="D168" i="47" s="1"/>
  <c r="J249" i="18"/>
  <c r="D145" i="47" s="1"/>
  <c r="J208" i="18"/>
  <c r="D123" i="47" s="1"/>
  <c r="J188" i="18"/>
  <c r="D113" i="47" s="1"/>
  <c r="J154" i="18"/>
  <c r="D91" i="47" s="1"/>
  <c r="J127" i="18"/>
  <c r="D71" i="47" s="1"/>
  <c r="J91" i="18"/>
  <c r="D56" i="47" s="1"/>
  <c r="J68" i="18"/>
  <c r="D43" i="47" s="1"/>
  <c r="J61" i="18"/>
  <c r="D38" i="47" s="1"/>
  <c r="D32" i="47"/>
  <c r="D7" i="41"/>
  <c r="B7" i="44"/>
  <c r="E368" i="18"/>
  <c r="C1" i="29"/>
  <c r="B7" i="8"/>
  <c r="J388" i="18"/>
  <c r="J263" i="18"/>
  <c r="D153" i="47" s="1"/>
  <c r="J380" i="18"/>
  <c r="J382" i="18"/>
  <c r="C36" i="36"/>
  <c r="J433" i="18"/>
  <c r="J419" i="18"/>
  <c r="J408" i="18"/>
  <c r="J164" i="18"/>
  <c r="D98" i="47" s="1"/>
  <c r="C38" i="36"/>
  <c r="D38" i="36" s="1"/>
  <c r="J41" i="18"/>
  <c r="J422" i="18"/>
  <c r="J351" i="18"/>
  <c r="D199" i="47" s="1"/>
  <c r="J282" i="18"/>
  <c r="D162" i="47" s="1"/>
  <c r="J186" i="18"/>
  <c r="D111" i="47" s="1"/>
  <c r="J129" i="18"/>
  <c r="D73" i="47" s="1"/>
  <c r="J62" i="18"/>
  <c r="D39" i="47" s="1"/>
  <c r="J173" i="18"/>
  <c r="J158" i="18"/>
  <c r="D94" i="47" s="1"/>
  <c r="J404" i="18"/>
  <c r="J317" i="18"/>
  <c r="D185" i="47" s="1"/>
  <c r="J288" i="18"/>
  <c r="D166" i="47" s="1"/>
  <c r="J170" i="18"/>
  <c r="D104" i="47" s="1"/>
  <c r="D50" i="47"/>
  <c r="D7" i="43"/>
  <c r="C7" i="12"/>
  <c r="B7" i="36"/>
  <c r="D44" i="36"/>
  <c r="J264" i="18"/>
  <c r="D154" i="47" s="1"/>
  <c r="C7" i="5"/>
  <c r="B7" i="4"/>
  <c r="E271" i="18"/>
  <c r="J113" i="18"/>
  <c r="D61" i="47" s="1"/>
  <c r="J289" i="18"/>
  <c r="D167" i="47" s="1"/>
  <c r="J283" i="18"/>
  <c r="D163" i="47" s="1"/>
  <c r="I227" i="18"/>
  <c r="I340" i="18"/>
  <c r="I299" i="18"/>
  <c r="I295" i="18"/>
  <c r="J42" i="18"/>
  <c r="D26" i="47" s="1"/>
  <c r="H77" i="18"/>
  <c r="J37" i="18"/>
  <c r="D24" i="47" s="1"/>
  <c r="J391" i="18"/>
  <c r="J387" i="18"/>
  <c r="H209" i="18"/>
  <c r="H211" i="18" s="1"/>
  <c r="H318" i="18"/>
  <c r="B1" i="4"/>
  <c r="B1" i="8"/>
  <c r="H287" i="18"/>
  <c r="J400" i="18"/>
  <c r="J438" i="18"/>
  <c r="J409" i="18"/>
  <c r="J250" i="18"/>
  <c r="D146" i="47" s="1"/>
  <c r="J244" i="18"/>
  <c r="D142" i="47" s="1"/>
  <c r="J226" i="18"/>
  <c r="D133" i="47" s="1"/>
  <c r="J205" i="18"/>
  <c r="D120" i="47" s="1"/>
  <c r="J190" i="18"/>
  <c r="D115" i="47" s="1"/>
  <c r="J171" i="18"/>
  <c r="D105" i="47" s="1"/>
  <c r="J159" i="18"/>
  <c r="D95" i="47" s="1"/>
  <c r="J143" i="18"/>
  <c r="D84" i="47" s="1"/>
  <c r="J131" i="18"/>
  <c r="D74" i="47" s="1"/>
  <c r="J331" i="18"/>
  <c r="D187" i="47" s="1"/>
  <c r="J217" i="18"/>
  <c r="D127" i="47" s="1"/>
  <c r="J308" i="18"/>
  <c r="D178" i="47" s="1"/>
  <c r="J223" i="18"/>
  <c r="D131" i="47" s="1"/>
  <c r="B1" i="44"/>
  <c r="J255" i="18"/>
  <c r="D151" i="47" s="1"/>
  <c r="J126" i="18"/>
  <c r="D70" i="47" s="1"/>
  <c r="H45" i="18"/>
  <c r="J397" i="18"/>
  <c r="J94" i="18"/>
  <c r="D57" i="47" s="1"/>
  <c r="J35" i="18"/>
  <c r="D22" i="47" s="1"/>
  <c r="H299" i="18"/>
  <c r="J383" i="18"/>
  <c r="J389" i="18"/>
  <c r="C1" i="12"/>
  <c r="B1" i="32"/>
  <c r="E1" i="3"/>
  <c r="B1" i="36"/>
  <c r="E250" i="36" s="1"/>
  <c r="A252" i="36" s="1"/>
  <c r="C1" i="5"/>
  <c r="B1" i="33"/>
  <c r="J403" i="18"/>
  <c r="J441" i="18"/>
  <c r="J435" i="18"/>
  <c r="J418" i="18"/>
  <c r="J412" i="18"/>
  <c r="J407" i="18"/>
  <c r="J286" i="18"/>
  <c r="D165" i="47" s="1"/>
  <c r="J279" i="18"/>
  <c r="D159" i="47" s="1"/>
  <c r="J233" i="18"/>
  <c r="D137" i="47" s="1"/>
  <c r="J230" i="18"/>
  <c r="D135" i="47" s="1"/>
  <c r="J163" i="18"/>
  <c r="D97" i="47" s="1"/>
  <c r="J152" i="18"/>
  <c r="D89" i="47" s="1"/>
  <c r="J133" i="18"/>
  <c r="D76" i="47" s="1"/>
  <c r="J81" i="18"/>
  <c r="D48" i="47" s="1"/>
  <c r="H313" i="18"/>
  <c r="B1" i="34"/>
  <c r="J312" i="18"/>
  <c r="D182" i="47" s="1"/>
  <c r="J207" i="18"/>
  <c r="D122" i="47" s="1"/>
  <c r="H227" i="18"/>
  <c r="H295" i="18"/>
  <c r="J67" i="18"/>
  <c r="H340" i="18"/>
  <c r="J352" i="18"/>
  <c r="D200" i="47" s="1"/>
  <c r="J298" i="18"/>
  <c r="D173" i="47" s="1"/>
  <c r="J458" i="18"/>
  <c r="J291" i="18"/>
  <c r="D169" i="47" s="1"/>
  <c r="J268" i="18"/>
  <c r="H39" i="18"/>
  <c r="J36" i="18"/>
  <c r="D23" i="47" s="1"/>
  <c r="I209" i="18"/>
  <c r="J229" i="18"/>
  <c r="D134" i="47" s="1"/>
  <c r="I468" i="18"/>
  <c r="J468" i="18" s="1"/>
  <c r="J63" i="18"/>
  <c r="D40" i="47" s="1"/>
  <c r="J285" i="18"/>
  <c r="D164" i="47" s="1"/>
  <c r="I287" i="18"/>
  <c r="J185" i="18"/>
  <c r="D110" i="47" s="1"/>
  <c r="J221" i="18"/>
  <c r="D129" i="47" s="1"/>
  <c r="J222" i="18"/>
  <c r="D130" i="47" s="1"/>
  <c r="J252" i="18"/>
  <c r="D148" i="47" s="1"/>
  <c r="J432" i="18"/>
  <c r="J402" i="18"/>
  <c r="J398" i="18"/>
  <c r="J386" i="18"/>
  <c r="J316" i="18"/>
  <c r="D184" i="47" s="1"/>
  <c r="G23" i="36"/>
  <c r="G20" i="36"/>
  <c r="G18" i="36"/>
  <c r="G17" i="36"/>
  <c r="E27" i="36"/>
  <c r="H77" i="36" s="1"/>
  <c r="H79" i="36" s="1"/>
  <c r="A81" i="36" s="1"/>
  <c r="I313" i="18"/>
  <c r="I318" i="18"/>
  <c r="N26" i="3"/>
  <c r="I379" i="18"/>
  <c r="J379" i="18" s="1"/>
  <c r="D27" i="4"/>
  <c r="D50" i="4"/>
  <c r="D49" i="4"/>
  <c r="I65" i="18"/>
  <c r="H69" i="18"/>
  <c r="I153" i="18"/>
  <c r="I157" i="18"/>
  <c r="I160" i="18" s="1"/>
  <c r="I243" i="18"/>
  <c r="H246" i="18"/>
  <c r="I343" i="18"/>
  <c r="H345" i="18"/>
  <c r="I350" i="18"/>
  <c r="C198" i="47" s="1"/>
  <c r="H353" i="18"/>
  <c r="I417" i="18"/>
  <c r="I428" i="18" s="1"/>
  <c r="I92" i="18"/>
  <c r="G23" i="44" s="1"/>
  <c r="I23" i="44" s="1"/>
  <c r="K23" i="44" s="1"/>
  <c r="I45" i="18"/>
  <c r="I114" i="18"/>
  <c r="C62" i="47" s="1"/>
  <c r="H117" i="18"/>
  <c r="H149" i="18" s="1"/>
  <c r="G35" i="44"/>
  <c r="I139" i="18"/>
  <c r="I147" i="18" s="1"/>
  <c r="C39" i="36"/>
  <c r="D39" i="36" s="1"/>
  <c r="I162" i="18"/>
  <c r="I169" i="18"/>
  <c r="C43" i="36"/>
  <c r="D43" i="36" s="1"/>
  <c r="I214" i="18"/>
  <c r="I235" i="18"/>
  <c r="H236" i="18"/>
  <c r="I248" i="18"/>
  <c r="H256" i="18"/>
  <c r="C37" i="36"/>
  <c r="D37" i="36" s="1"/>
  <c r="I442" i="18"/>
  <c r="E139" i="3" l="1"/>
  <c r="E141" i="3"/>
  <c r="H113" i="3"/>
  <c r="K129" i="3"/>
  <c r="K135" i="3" s="1"/>
  <c r="H135" i="3"/>
  <c r="B137" i="41"/>
  <c r="E137" i="41" s="1"/>
  <c r="F147" i="41" s="1"/>
  <c r="A55" i="29"/>
  <c r="N76" i="3"/>
  <c r="N78" i="3" s="1"/>
  <c r="N196" i="3" s="1"/>
  <c r="N202" i="3" s="1"/>
  <c r="N205" i="3" s="1"/>
  <c r="E221" i="36"/>
  <c r="A223" i="36" s="1"/>
  <c r="E225" i="36"/>
  <c r="A227" i="36" s="1"/>
  <c r="N77" i="3"/>
  <c r="E92" i="44"/>
  <c r="A96" i="44" s="1"/>
  <c r="I361" i="18"/>
  <c r="J361" i="18" s="1"/>
  <c r="J49" i="18"/>
  <c r="D30" i="47" s="1"/>
  <c r="I55" i="18"/>
  <c r="J55" i="18" s="1"/>
  <c r="I48" i="44"/>
  <c r="J75" i="18"/>
  <c r="D45" i="47" s="1"/>
  <c r="H347" i="18"/>
  <c r="C48" i="36"/>
  <c r="G119" i="41"/>
  <c r="D107" i="47"/>
  <c r="I38" i="44"/>
  <c r="G41" i="44"/>
  <c r="H97" i="18"/>
  <c r="H71" i="18"/>
  <c r="J92" i="18"/>
  <c r="H40" i="41"/>
  <c r="H39" i="41"/>
  <c r="C92" i="47"/>
  <c r="BS64" i="43"/>
  <c r="BS65" i="43"/>
  <c r="E115" i="44"/>
  <c r="A118" i="44" s="1"/>
  <c r="J340" i="18"/>
  <c r="J318" i="18"/>
  <c r="J57" i="18"/>
  <c r="D36" i="47" s="1"/>
  <c r="J287" i="18"/>
  <c r="J45" i="18"/>
  <c r="J442" i="18"/>
  <c r="G355" i="18"/>
  <c r="G357" i="18" s="1"/>
  <c r="G366" i="18" s="1"/>
  <c r="G260" i="18"/>
  <c r="G267" i="18" s="1"/>
  <c r="I267" i="18" s="1"/>
  <c r="J88" i="18"/>
  <c r="H301" i="18"/>
  <c r="H453" i="18" s="1"/>
  <c r="H238" i="18"/>
  <c r="H240" i="18" s="1"/>
  <c r="J218" i="18"/>
  <c r="J415" i="18"/>
  <c r="G182" i="18"/>
  <c r="G192" i="18" s="1"/>
  <c r="F10" i="32" s="1"/>
  <c r="A13" i="32" s="1"/>
  <c r="D36" i="36"/>
  <c r="A52" i="36" s="1"/>
  <c r="J313" i="18"/>
  <c r="J410" i="18"/>
  <c r="J134" i="18"/>
  <c r="J295" i="18"/>
  <c r="J428" i="18"/>
  <c r="J299" i="18"/>
  <c r="J227" i="18"/>
  <c r="I211" i="18"/>
  <c r="J211" i="18" s="1"/>
  <c r="J209" i="18"/>
  <c r="I301" i="18"/>
  <c r="H320" i="18"/>
  <c r="I320" i="18"/>
  <c r="H258" i="18"/>
  <c r="C30" i="47"/>
  <c r="I59" i="18"/>
  <c r="G376" i="18"/>
  <c r="I77" i="18"/>
  <c r="I97" i="18" s="1"/>
  <c r="I256" i="18"/>
  <c r="J256" i="18" s="1"/>
  <c r="C144" i="47"/>
  <c r="J157" i="18"/>
  <c r="D93" i="47" s="1"/>
  <c r="C93" i="47"/>
  <c r="I69" i="18"/>
  <c r="G22" i="44" s="1"/>
  <c r="C41" i="47"/>
  <c r="J33" i="18"/>
  <c r="D20" i="47" s="1"/>
  <c r="J214" i="18"/>
  <c r="D125" i="47" s="1"/>
  <c r="C125" i="47"/>
  <c r="G68" i="44"/>
  <c r="I68" i="44" s="1"/>
  <c r="K68" i="44" s="1"/>
  <c r="C103" i="47"/>
  <c r="J162" i="18"/>
  <c r="D96" i="47" s="1"/>
  <c r="C96" i="47"/>
  <c r="G51" i="44"/>
  <c r="G59" i="44" s="1"/>
  <c r="C80" i="47"/>
  <c r="I345" i="18"/>
  <c r="J345" i="18" s="1"/>
  <c r="C195" i="47"/>
  <c r="I246" i="18"/>
  <c r="C141" i="47"/>
  <c r="I39" i="18"/>
  <c r="I236" i="18"/>
  <c r="C139" i="47"/>
  <c r="J153" i="18"/>
  <c r="D90" i="47" s="1"/>
  <c r="C90" i="47"/>
  <c r="G27" i="36"/>
  <c r="J248" i="18"/>
  <c r="D144" i="47" s="1"/>
  <c r="J169" i="18"/>
  <c r="D103" i="47" s="1"/>
  <c r="G36" i="44"/>
  <c r="I36" i="44" s="1"/>
  <c r="K36" i="44" s="1"/>
  <c r="J343" i="18"/>
  <c r="D195" i="47" s="1"/>
  <c r="J65" i="18"/>
  <c r="D41" i="47" s="1"/>
  <c r="J243" i="18"/>
  <c r="D141" i="47" s="1"/>
  <c r="I353" i="18"/>
  <c r="J353" i="18" s="1"/>
  <c r="J350" i="18"/>
  <c r="D198" i="47" s="1"/>
  <c r="J139" i="18"/>
  <c r="D80" i="47" s="1"/>
  <c r="J417" i="18"/>
  <c r="J147" i="18"/>
  <c r="H93" i="3"/>
  <c r="K93" i="3"/>
  <c r="J235" i="18"/>
  <c r="D139" i="47" s="1"/>
  <c r="I117" i="18"/>
  <c r="I149" i="18" s="1"/>
  <c r="J149" i="18" s="1"/>
  <c r="J114" i="18"/>
  <c r="D62" i="47" s="1"/>
  <c r="I174" i="18"/>
  <c r="J174" i="18" s="1"/>
  <c r="G61" i="44"/>
  <c r="I35" i="44"/>
  <c r="K35" i="44" s="1"/>
  <c r="G34" i="44"/>
  <c r="I34" i="44" s="1"/>
  <c r="K34" i="44" s="1"/>
  <c r="K118" i="3"/>
  <c r="K126" i="3" s="1"/>
  <c r="H126" i="3"/>
  <c r="K96" i="3"/>
  <c r="K113" i="3" s="1"/>
  <c r="G43" i="44"/>
  <c r="G46" i="44" s="1"/>
  <c r="J160" i="18"/>
  <c r="T114" i="3" l="1" a="1"/>
  <c r="T114" i="3" s="1"/>
  <c r="B144" i="3" s="1"/>
  <c r="H137" i="3"/>
  <c r="H139" i="3" s="1"/>
  <c r="H141" i="3" s="1"/>
  <c r="K137" i="3"/>
  <c r="K139" i="3" s="1"/>
  <c r="K141" i="3" s="1"/>
  <c r="N209" i="3"/>
  <c r="B237" i="3" s="1"/>
  <c r="N186" i="3"/>
  <c r="B181" i="3"/>
  <c r="G452" i="18"/>
  <c r="G453" i="18"/>
  <c r="L452" i="18"/>
  <c r="G193" i="18"/>
  <c r="L192" i="18"/>
  <c r="L269" i="18"/>
  <c r="G270" i="18"/>
  <c r="B199" i="3"/>
  <c r="D48" i="36"/>
  <c r="K48" i="44"/>
  <c r="H452" i="18"/>
  <c r="K38" i="44"/>
  <c r="I41" i="44"/>
  <c r="G73" i="44"/>
  <c r="I176" i="18"/>
  <c r="J176" i="18" s="1"/>
  <c r="J39" i="18"/>
  <c r="I71" i="18"/>
  <c r="J59" i="18"/>
  <c r="G365" i="18"/>
  <c r="H260" i="18"/>
  <c r="H269" i="18" s="1"/>
  <c r="I376" i="18"/>
  <c r="J320" i="18"/>
  <c r="J301" i="18"/>
  <c r="G24" i="44"/>
  <c r="I24" i="44" s="1"/>
  <c r="K24" i="44" s="1"/>
  <c r="J117" i="18"/>
  <c r="I238" i="18"/>
  <c r="J236" i="18"/>
  <c r="J97" i="18"/>
  <c r="J77" i="18"/>
  <c r="I258" i="18"/>
  <c r="J258" i="18" s="1"/>
  <c r="J246" i="18"/>
  <c r="I22" i="44"/>
  <c r="K22" i="44" s="1"/>
  <c r="J69" i="18"/>
  <c r="G17" i="44"/>
  <c r="I17" i="44" s="1"/>
  <c r="K17" i="44" s="1"/>
  <c r="G18" i="44"/>
  <c r="I18" i="44" s="1"/>
  <c r="K18" i="44" s="1"/>
  <c r="H99" i="18"/>
  <c r="H103" i="18" s="1"/>
  <c r="I347" i="18"/>
  <c r="H355" i="18"/>
  <c r="H357" i="18" s="1"/>
  <c r="H365" i="18" s="1"/>
  <c r="H178" i="18"/>
  <c r="H182" i="18" s="1"/>
  <c r="I51" i="44"/>
  <c r="I59" i="44" s="1"/>
  <c r="I43" i="44"/>
  <c r="I61" i="44"/>
  <c r="K61" i="44" s="1"/>
  <c r="I452" i="18" l="1"/>
  <c r="J452" i="18" s="1"/>
  <c r="I453" i="18"/>
  <c r="H192" i="18"/>
  <c r="B32" i="6"/>
  <c r="C43" i="6" s="1"/>
  <c r="K51" i="44"/>
  <c r="K43" i="44"/>
  <c r="I46" i="44"/>
  <c r="I73" i="44"/>
  <c r="J376" i="18"/>
  <c r="I99" i="18"/>
  <c r="I103" i="18" s="1"/>
  <c r="J71" i="18"/>
  <c r="I240" i="18"/>
  <c r="J238" i="18"/>
  <c r="I355" i="18"/>
  <c r="J347" i="18"/>
  <c r="I178" i="18"/>
  <c r="J178" i="18" s="1"/>
  <c r="P243" i="3" l="1"/>
  <c r="N243" i="3"/>
  <c r="B42" i="6"/>
  <c r="I182" i="18"/>
  <c r="J182" i="18" s="1"/>
  <c r="I357" i="18"/>
  <c r="J355" i="18"/>
  <c r="J240" i="18"/>
  <c r="I260" i="18"/>
  <c r="J103" i="18"/>
  <c r="J99" i="18"/>
  <c r="B27" i="4"/>
  <c r="B26" i="4"/>
  <c r="F476" i="18"/>
  <c r="J260" i="18" l="1"/>
  <c r="J357" i="18"/>
  <c r="I365" i="18"/>
  <c r="J365" i="18" s="1"/>
  <c r="I192" i="18"/>
  <c r="I18" i="47"/>
  <c r="G269" i="18"/>
  <c r="F54" i="12" s="1"/>
  <c r="J267" i="18" l="1"/>
  <c r="I269" i="18"/>
  <c r="J192" i="18"/>
  <c r="I19" i="47"/>
  <c r="D15" i="47" s="1"/>
  <c r="D14" i="47"/>
  <c r="F51" i="12" l="1"/>
  <c r="B17" i="6" l="1"/>
  <c r="B28" i="6" l="1"/>
  <c r="C29" i="6"/>
  <c r="J269"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AEW</author>
    <author>dba</author>
    <author>Duncan, Sarah (DOA)</author>
    <author>Sarah Drysdale</author>
    <author>Mary Christine Tuck</author>
    <author>Sharon H. Lawrence</author>
  </authors>
  <commentList>
    <comment ref="E6" authorId="0" shapeId="0" xr:uid="{00000000-0006-0000-0200-000001000000}">
      <text>
        <r>
          <rPr>
            <sz val="8"/>
            <color indexed="81"/>
            <rFont val="Times New Roman"/>
            <family val="1"/>
          </rPr>
          <t xml:space="preserve">If this submission is a </t>
        </r>
        <r>
          <rPr>
            <b/>
            <sz val="8"/>
            <color indexed="81"/>
            <rFont val="Times New Roman"/>
            <family val="1"/>
          </rPr>
          <t>revision</t>
        </r>
        <r>
          <rPr>
            <sz val="8"/>
            <color indexed="81"/>
            <rFont val="Times New Roman"/>
            <family val="1"/>
          </rPr>
          <t xml:space="preserve"> to a previous submission for which DOA acknowledged receipt and acceptance, </t>
        </r>
        <r>
          <rPr>
            <b/>
            <sz val="8"/>
            <color indexed="81"/>
            <rFont val="Times New Roman"/>
            <family val="1"/>
          </rPr>
          <t>COMPLETE THE REVISION CONTROL LOG TAB</t>
        </r>
        <r>
          <rPr>
            <sz val="8"/>
            <color indexed="81"/>
            <rFont val="Times New Roman"/>
            <family val="1"/>
          </rPr>
          <t xml:space="preserve">.
</t>
        </r>
      </text>
    </comment>
    <comment ref="K29" authorId="1" shapeId="0" xr:uid="{00000000-0006-0000-0200-000002000000}">
      <text>
        <r>
          <rPr>
            <b/>
            <u/>
            <sz val="8"/>
            <color indexed="81"/>
            <rFont val="Times New Roman"/>
            <family val="1"/>
          </rPr>
          <t>Note</t>
        </r>
        <r>
          <rPr>
            <b/>
            <sz val="8"/>
            <color indexed="81"/>
            <rFont val="Times New Roman"/>
            <family val="1"/>
          </rPr>
          <t>:</t>
        </r>
        <r>
          <rPr>
            <sz val="8"/>
            <color indexed="81"/>
            <rFont val="Times New Roman"/>
            <family val="1"/>
          </rPr>
          <t xml:space="preserve">  Provide any fluctuation explanations in a Microsoft Word document and submit with this template.
</t>
        </r>
      </text>
    </comment>
    <comment ref="B75" authorId="2" shapeId="0" xr:uid="{00000000-0006-0000-0200-000003000000}">
      <text>
        <r>
          <rPr>
            <b/>
            <sz val="9"/>
            <color indexed="81"/>
            <rFont val="Tahoma"/>
            <family val="2"/>
          </rPr>
          <t>LGIP EM should be reported as Noncurrent Investments with the Treasurer - Other</t>
        </r>
      </text>
    </comment>
    <comment ref="B114" authorId="3" shapeId="0" xr:uid="{00000000-0006-0000-0200-000004000000}">
      <text>
        <r>
          <rPr>
            <b/>
            <sz val="9"/>
            <color indexed="81"/>
            <rFont val="Tahoma"/>
            <family val="2"/>
          </rPr>
          <t xml:space="preserve">Salary/Wages Payable:  </t>
        </r>
        <r>
          <rPr>
            <sz val="9"/>
            <color indexed="81"/>
            <rFont val="Tahoma"/>
            <family val="2"/>
          </rPr>
          <t xml:space="preserve">This amount should </t>
        </r>
        <r>
          <rPr>
            <b/>
            <sz val="9"/>
            <color indexed="81"/>
            <rFont val="Tahoma"/>
            <family val="2"/>
          </rPr>
          <t>exclude</t>
        </r>
        <r>
          <rPr>
            <sz val="9"/>
            <color indexed="81"/>
            <rFont val="Tahoma"/>
            <family val="2"/>
          </rPr>
          <t xml:space="preserve"> any accruals associated with the VRS-provided benefits as well as the DHRM-provided benefits (LAG Pay).</t>
        </r>
      </text>
    </comment>
    <comment ref="B125" authorId="3" shapeId="0" xr:uid="{00000000-0006-0000-0200-000005000000}">
      <text>
        <r>
          <rPr>
            <b/>
            <sz val="9"/>
            <color indexed="81"/>
            <rFont val="Tahoma"/>
            <family val="2"/>
          </rPr>
          <t>Due to External Parties (Fiduciary Funds):</t>
        </r>
        <r>
          <rPr>
            <sz val="9"/>
            <color indexed="81"/>
            <rFont val="Tahoma"/>
            <family val="2"/>
          </rPr>
          <t xml:space="preserve">  This amount should include any accruals associated with the VRS-provided benefits as well as the VRS portion of LAG Pay
</t>
        </r>
      </text>
    </comment>
    <comment ref="A189" authorId="2" shapeId="0" xr:uid="{00000000-0006-0000-0200-00000B000000}">
      <text>
        <r>
          <rPr>
            <b/>
            <sz val="9"/>
            <color indexed="81"/>
            <rFont val="Tahoma"/>
            <family val="2"/>
          </rPr>
          <t>Amounts entered should agree to the Supplemental GASBS 75 submission</t>
        </r>
      </text>
    </comment>
    <comment ref="G192" authorId="4" shapeId="0" xr:uid="{00000000-0006-0000-0200-00000C000000}">
      <text>
        <r>
          <rPr>
            <b/>
            <sz val="9"/>
            <color indexed="81"/>
            <rFont val="Tahoma"/>
            <family val="2"/>
          </rPr>
          <t>Total Net Position:</t>
        </r>
        <r>
          <rPr>
            <sz val="9"/>
            <color indexed="81"/>
            <rFont val="Tahoma"/>
            <family val="2"/>
          </rPr>
          <t xml:space="preserve">
Total net position plus liabilities and deferred inflows must equal total assets and deferred outflows.  If amounts do not agree, an "error" message will appear.   Review amounts entered and make corrections as deemed necessary.</t>
        </r>
      </text>
    </comment>
    <comment ref="B206" authorId="3" shapeId="0" xr:uid="{00000000-0006-0000-0200-00000D000000}">
      <text>
        <r>
          <rPr>
            <b/>
            <sz val="9"/>
            <color indexed="81"/>
            <rFont val="Tahoma"/>
            <family val="2"/>
          </rPr>
          <t>Any capital contributions should be reported on the "Capital Contribution" line in the nonoperating section.</t>
        </r>
      </text>
    </comment>
    <comment ref="B253" authorId="3" shapeId="0" xr:uid="{00000000-0006-0000-0200-00000E000000}">
      <text>
        <r>
          <rPr>
            <b/>
            <sz val="9"/>
            <color indexed="81"/>
            <rFont val="Tahoma"/>
            <family val="2"/>
          </rPr>
          <t xml:space="preserve">Interest Expense: </t>
        </r>
        <r>
          <rPr>
            <sz val="9"/>
            <color indexed="81"/>
            <rFont val="Tahoma"/>
            <family val="2"/>
          </rPr>
          <t>All interest associated with long-term lease liabilities and long-term SBITA liabilities should be reported as non-operating.</t>
        </r>
      </text>
    </comment>
    <comment ref="A268" authorId="3" shapeId="0" xr:uid="{00000000-0006-0000-0200-00000F000000}">
      <text>
        <r>
          <rPr>
            <b/>
            <sz val="9"/>
            <color indexed="81"/>
            <rFont val="Tahoma"/>
            <family val="2"/>
          </rPr>
          <t>Total Net Position-Beginning:</t>
        </r>
        <r>
          <rPr>
            <sz val="9"/>
            <color indexed="81"/>
            <rFont val="Tahoma"/>
            <family val="2"/>
          </rPr>
          <t xml:space="preserve">
Complete Tab 8 - Restatements if this amount differs from prior year.
</t>
        </r>
      </text>
    </comment>
    <comment ref="G269" authorId="5" shapeId="0" xr:uid="{00000000-0006-0000-0200-000010000000}">
      <text>
        <r>
          <rPr>
            <b/>
            <sz val="8"/>
            <color indexed="81"/>
            <rFont val="Times New Roman"/>
            <family val="1"/>
          </rPr>
          <t xml:space="preserve">Total Net Position-Ending:
</t>
        </r>
        <r>
          <rPr>
            <sz val="8"/>
            <color indexed="81"/>
            <rFont val="Times New Roman"/>
            <family val="1"/>
          </rPr>
          <t>Complete Tab 10 - Deficit Net Position if the ending balance is negative.</t>
        </r>
      </text>
    </comment>
    <comment ref="A280" authorId="3" shapeId="0" xr:uid="{00000000-0006-0000-0200-000011000000}">
      <text>
        <r>
          <rPr>
            <b/>
            <sz val="9"/>
            <color indexed="81"/>
            <rFont val="Tahoma"/>
            <family val="2"/>
          </rPr>
          <t>Internal Activity-Receipts from Other Funds/ Internal Activity-Payments to Other Funds:</t>
        </r>
        <r>
          <rPr>
            <sz val="9"/>
            <color indexed="81"/>
            <rFont val="Tahoma"/>
            <family val="2"/>
          </rPr>
          <t xml:space="preserve">
Report quasi-external transactions with customers or suppliers that are part of the Commonwealth on the Statement of Cash Flows as "Internal Activity-Receipts from Other Funds" or "Internal Activity-Payments to Other Funds."</t>
        </r>
      </text>
    </comment>
    <comment ref="G356" authorId="4" shapeId="0" xr:uid="{00000000-0006-0000-0200-000012000000}">
      <text>
        <r>
          <rPr>
            <b/>
            <sz val="9"/>
            <color indexed="81"/>
            <rFont val="Tahoma"/>
            <family val="2"/>
          </rPr>
          <t>Total Cash and Cash Equivalents -Beginning:</t>
        </r>
        <r>
          <rPr>
            <sz val="9"/>
            <color indexed="81"/>
            <rFont val="Tahoma"/>
            <family val="2"/>
          </rPr>
          <t xml:space="preserve">
Complete Tab 8-Restatements if this amount differs from prior year.</t>
        </r>
      </text>
    </comment>
    <comment ref="G452" authorId="4" shapeId="0" xr:uid="{00000000-0006-0000-0200-000013000000}">
      <text>
        <r>
          <rPr>
            <b/>
            <sz val="8"/>
            <color indexed="81"/>
            <rFont val="Times New Roman"/>
            <family val="1"/>
          </rPr>
          <t>Net Cash Provided by (Used for) Operating Activities:</t>
        </r>
        <r>
          <rPr>
            <sz val="8"/>
            <color indexed="81"/>
            <rFont val="Times New Roman"/>
            <family val="1"/>
          </rPr>
          <t xml:space="preserve">
Must equal the Net Cash Provided by (Used for) Operating Activities on the Statement of Cash Flows (Part 1).  If not, an "error" message will appear.  Make corrections as deemed necessary.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dba</author>
    <author>Mary Christine Tuck</author>
    <author>Sharon H. Lawrence</author>
    <author>VITA Program</author>
    <author>test</author>
    <author>Sarah Drysdale</author>
  </authors>
  <commentList>
    <comment ref="B6" authorId="0" shapeId="0" xr:uid="{00000000-0006-0000-0B00-000001000000}">
      <text>
        <r>
          <rPr>
            <sz val="8"/>
            <color indexed="81"/>
            <rFont val="Tahoma"/>
            <family val="2"/>
          </rPr>
          <t xml:space="preserve">If this submission is a </t>
        </r>
        <r>
          <rPr>
            <b/>
            <sz val="8"/>
            <color indexed="81"/>
            <rFont val="Tahoma"/>
            <family val="2"/>
          </rPr>
          <t xml:space="preserve">revision </t>
        </r>
        <r>
          <rPr>
            <sz val="8"/>
            <color indexed="81"/>
            <rFont val="Tahoma"/>
            <family val="2"/>
          </rPr>
          <t xml:space="preserve">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E14" authorId="1" shapeId="0" xr:uid="{00000000-0006-0000-0B00-000002000000}">
      <text>
        <r>
          <rPr>
            <b/>
            <sz val="10"/>
            <color indexed="81"/>
            <rFont val="Arial"/>
            <family val="2"/>
          </rPr>
          <t xml:space="preserve">Balance June 30, 2024 Amounts </t>
        </r>
        <r>
          <rPr>
            <sz val="10"/>
            <color indexed="81"/>
            <rFont val="Arial"/>
            <family val="2"/>
          </rPr>
          <t>must agree to the corresponding total current and noncurrent long-term liabilities on the Statement of Net Position Template.  If not, an "error" message will appear.  Review and make corrections as deemed necessary.</t>
        </r>
      </text>
    </comment>
    <comment ref="F17" authorId="2" shapeId="0" xr:uid="{00000000-0006-0000-0B00-000003000000}">
      <text>
        <r>
          <rPr>
            <b/>
            <sz val="10"/>
            <color indexed="81"/>
            <rFont val="Arial"/>
            <family val="2"/>
          </rPr>
          <t>Compensated Absences:</t>
        </r>
        <r>
          <rPr>
            <sz val="10"/>
            <color indexed="81"/>
            <rFont val="Arial"/>
            <family val="2"/>
          </rPr>
          <t xml:space="preserve">  Directions for computing required amounts are located in Attachment 6B, Non-HCM and Hybrid Users.</t>
        </r>
      </text>
    </comment>
    <comment ref="F60" authorId="3" shapeId="0" xr:uid="{00000000-0006-0000-0B00-000004000000}">
      <text>
        <r>
          <rPr>
            <b/>
            <sz val="10"/>
            <color indexed="81"/>
            <rFont val="Tahoma"/>
            <family val="2"/>
          </rPr>
          <t xml:space="preserve">Installment Purchases Due Within One Year: </t>
        </r>
        <r>
          <rPr>
            <sz val="10"/>
            <color indexed="81"/>
            <rFont val="Tahoma"/>
            <family val="2"/>
          </rPr>
          <t>The Due Within One Year Installment Purchases in Part 1 should agree to the FY2025
 principal amount in Part 2.</t>
        </r>
      </text>
    </comment>
    <comment ref="B74" authorId="1" shapeId="0" xr:uid="{00000000-0006-0000-0B00-000005000000}">
      <text>
        <r>
          <rPr>
            <b/>
            <sz val="10"/>
            <color indexed="81"/>
            <rFont val="Arial"/>
            <family val="2"/>
          </rPr>
          <t xml:space="preserve">Total Future Principal Amounts </t>
        </r>
        <r>
          <rPr>
            <sz val="10"/>
            <color indexed="81"/>
            <rFont val="Arial"/>
            <family val="2"/>
          </rPr>
          <t>must equal to total current and noncurrent installment purchase obligations reported on the Statement of Net Position.  If not, an "error" message will appear.  Review and make corrections as deemed necessary.</t>
        </r>
      </text>
    </comment>
    <comment ref="B86" authorId="4" shapeId="0" xr:uid="{00000000-0006-0000-0B00-000006000000}">
      <text>
        <r>
          <rPr>
            <sz val="8"/>
            <color indexed="81"/>
            <rFont val="Tahoma"/>
            <family val="2"/>
          </rPr>
          <t>The MELP listing for fiscal year 2024 will become available mid July.</t>
        </r>
      </text>
    </comment>
    <comment ref="F102" authorId="5" shapeId="0" xr:uid="{00000000-0006-0000-0B00-000007000000}">
      <text>
        <r>
          <rPr>
            <b/>
            <sz val="9"/>
            <color indexed="81"/>
            <rFont val="Tahoma"/>
            <family val="2"/>
          </rPr>
          <t>Long-term Lease Liabilities (</t>
        </r>
        <r>
          <rPr>
            <b/>
            <u/>
            <sz val="9"/>
            <color indexed="81"/>
            <rFont val="Tahoma"/>
            <family val="2"/>
          </rPr>
          <t>GASBS No. 87</t>
        </r>
        <r>
          <rPr>
            <b/>
            <sz val="9"/>
            <color indexed="81"/>
            <rFont val="Tahoma"/>
            <family val="2"/>
          </rPr>
          <t>) Due Within One Year:</t>
        </r>
        <r>
          <rPr>
            <sz val="9"/>
            <color indexed="81"/>
            <rFont val="Tahoma"/>
            <family val="2"/>
          </rPr>
          <t xml:space="preserve"> The Due Within One Year Long-term Lease Liabilities in Part 1 should agree to the FY2025 principal amount in Part 3.</t>
        </r>
      </text>
    </comment>
    <comment ref="B116" authorId="1" shapeId="0" xr:uid="{00000000-0006-0000-0B00-000008000000}">
      <text>
        <r>
          <rPr>
            <b/>
            <sz val="8"/>
            <color indexed="81"/>
            <rFont val="Tahoma"/>
            <family val="2"/>
          </rPr>
          <t xml:space="preserve">Total Future Principal Amounts </t>
        </r>
        <r>
          <rPr>
            <sz val="8"/>
            <color indexed="81"/>
            <rFont val="Tahoma"/>
            <family val="2"/>
          </rPr>
          <t>must equal to total current and noncurrent Long-term Lease Liability reported on the Statement of Net Position.  If not, an "error" message will appear. Make corrections as deemed necessary.</t>
        </r>
      </text>
    </comment>
    <comment ref="F139" authorId="5" shapeId="0" xr:uid="{00000000-0006-0000-0B00-000009000000}">
      <text>
        <r>
          <rPr>
            <b/>
            <sz val="9"/>
            <color indexed="81"/>
            <rFont val="Tahoma"/>
            <family val="2"/>
          </rPr>
          <t>Financed Purchases Obligations (</t>
        </r>
        <r>
          <rPr>
            <b/>
            <u/>
            <sz val="9"/>
            <color indexed="81"/>
            <rFont val="Tahoma"/>
            <family val="2"/>
          </rPr>
          <t>GASBS No. 87</t>
        </r>
        <r>
          <rPr>
            <b/>
            <sz val="9"/>
            <color indexed="81"/>
            <rFont val="Tahoma"/>
            <family val="2"/>
          </rPr>
          <t>) Due Within One Year:</t>
        </r>
        <r>
          <rPr>
            <sz val="9"/>
            <color indexed="81"/>
            <rFont val="Tahoma"/>
            <family val="2"/>
          </rPr>
          <t xml:space="preserve"> The Due Within One Year Financed Purchases Obligations in Part 1 should agree to the FY2025 principal amount in Part 4.</t>
        </r>
      </text>
    </comment>
    <comment ref="B153" authorId="1" shapeId="0" xr:uid="{00000000-0006-0000-0B00-00000A000000}">
      <text>
        <r>
          <rPr>
            <b/>
            <sz val="8"/>
            <color indexed="81"/>
            <rFont val="Tahoma"/>
            <family val="2"/>
          </rPr>
          <t xml:space="preserve">Total Future Principal Amounts </t>
        </r>
        <r>
          <rPr>
            <sz val="8"/>
            <color indexed="81"/>
            <rFont val="Tahoma"/>
            <family val="2"/>
          </rPr>
          <t>must equal to total current and noncurrent Financed Purchase Obligations reported on the Statement of Net Position.  If not, an "error" message will appear. Make corrections as deemed necessary.</t>
        </r>
      </text>
    </comment>
    <comment ref="F161" authorId="5" shapeId="0" xr:uid="{00000000-0006-0000-0B00-00000B000000}">
      <text>
        <r>
          <rPr>
            <b/>
            <sz val="9"/>
            <color indexed="81"/>
            <rFont val="Tahoma"/>
            <family val="2"/>
          </rPr>
          <t>Long-term Subscription-based Information Technology Arrangements Liabilities (</t>
        </r>
        <r>
          <rPr>
            <b/>
            <u/>
            <sz val="9"/>
            <color indexed="81"/>
            <rFont val="Tahoma"/>
            <family val="2"/>
          </rPr>
          <t>GASBS No. 96</t>
        </r>
        <r>
          <rPr>
            <b/>
            <sz val="9"/>
            <color indexed="81"/>
            <rFont val="Tahoma"/>
            <family val="2"/>
          </rPr>
          <t>) Due Within One Year:</t>
        </r>
        <r>
          <rPr>
            <sz val="9"/>
            <color indexed="81"/>
            <rFont val="Tahoma"/>
            <family val="2"/>
          </rPr>
          <t xml:space="preserve"> The Due Within One Year Long-term Subscription-based Information Technology Arrangements Liabilities in Part 1 should agree to the FY2025 principal amount in Part 5.</t>
        </r>
      </text>
    </comment>
    <comment ref="B175" authorId="1" shapeId="0" xr:uid="{00000000-0006-0000-0B00-00000C000000}">
      <text>
        <r>
          <rPr>
            <b/>
            <sz val="8"/>
            <color indexed="81"/>
            <rFont val="Tahoma"/>
            <family val="2"/>
          </rPr>
          <t xml:space="preserve">Total Future Principal Amounts </t>
        </r>
        <r>
          <rPr>
            <sz val="8"/>
            <color indexed="81"/>
            <rFont val="Tahoma"/>
            <family val="2"/>
          </rPr>
          <t>must equal to total current and noncurrent Long-term Subscription-based Information Technology Arrangements Liabilities reported on the Statement of Net Position.  If not, an "error" message will appear. Make corrections as deemed necessary.</t>
        </r>
      </text>
    </comment>
    <comment ref="F194" authorId="3" shapeId="0" xr:uid="{00000000-0006-0000-0B00-00000D000000}">
      <text>
        <r>
          <rPr>
            <b/>
            <sz val="10"/>
            <color indexed="81"/>
            <rFont val="Tahoma"/>
            <family val="2"/>
          </rPr>
          <t xml:space="preserve">Bonds Payable Due Within One Year:  </t>
        </r>
        <r>
          <rPr>
            <sz val="10"/>
            <color indexed="81"/>
            <rFont val="Tahoma"/>
            <family val="2"/>
          </rPr>
          <t xml:space="preserve">
The Due Within One Year Net Bonds Payable in Part 1 should agree to the FY2025 principal amount in Part 6.</t>
        </r>
      </text>
    </comment>
    <comment ref="B214" authorId="1" shapeId="0" xr:uid="{00000000-0006-0000-0B00-00000E000000}">
      <text>
        <r>
          <rPr>
            <b/>
            <sz val="10"/>
            <color indexed="81"/>
            <rFont val="Arial"/>
            <family val="2"/>
          </rPr>
          <t xml:space="preserve">Total Bonds Payable Principal Amount </t>
        </r>
        <r>
          <rPr>
            <sz val="10"/>
            <color indexed="81"/>
            <rFont val="Arial"/>
            <family val="2"/>
          </rPr>
          <t>must agree to the total current and noncurrent bonds payable amount reported on the Statement of Net Position template.  If not, an "error" message will appear.  Review and make corrections as deemed necessary.</t>
        </r>
      </text>
    </comment>
    <comment ref="D235" authorId="1" shapeId="0" xr:uid="{00000000-0006-0000-0B00-00000F000000}">
      <text>
        <r>
          <rPr>
            <b/>
            <sz val="10"/>
            <color indexed="81"/>
            <rFont val="Arial"/>
            <family val="2"/>
          </rPr>
          <t>Total Present Value Amount</t>
        </r>
        <r>
          <rPr>
            <sz val="10"/>
            <color indexed="81"/>
            <rFont val="Arial"/>
            <family val="2"/>
          </rPr>
          <t xml:space="preserve"> must agree to the total current and noncurrent Lottery Jackpot Prizes Payable amount reported on the Statement of Net Position template.  If not, an "error" message will appear.  Review and make corrections as deemed necessary.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C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dba</author>
    <author>Amy Warner</author>
  </authors>
  <commentList>
    <comment ref="C6" authorId="0" shapeId="0" xr:uid="{00000000-0006-0000-0D00-000001000000}">
      <text>
        <r>
          <rPr>
            <sz val="8"/>
            <color indexed="81"/>
            <rFont val="Tahoma"/>
            <family val="2"/>
          </rPr>
          <t>If this submission is a</t>
        </r>
        <r>
          <rPr>
            <b/>
            <sz val="8"/>
            <color indexed="81"/>
            <rFont val="Tahoma"/>
            <family val="2"/>
          </rPr>
          <t xml:space="preserve"> revision</t>
        </r>
        <r>
          <rPr>
            <sz val="8"/>
            <color indexed="81"/>
            <rFont val="Tahoma"/>
            <family val="2"/>
          </rPr>
          <t xml:space="preserve">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B108" authorId="1" shapeId="0" xr:uid="{00000000-0006-0000-0D00-000003000000}">
      <text>
        <r>
          <rPr>
            <b/>
            <sz val="8"/>
            <color indexed="81"/>
            <rFont val="Tahoma"/>
            <family val="2"/>
          </rPr>
          <t xml:space="preserve">Total Prepaid Items </t>
        </r>
        <r>
          <rPr>
            <sz val="8"/>
            <color indexed="81"/>
            <rFont val="Tahoma"/>
            <family val="2"/>
          </rPr>
          <t>must equal prepaid items reported on the Statement of Net Position.  If not, an "error" message will appear. Correct as necessary.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dba</author>
    <author>Mary Christine Tuck</author>
  </authors>
  <commentList>
    <comment ref="B6" authorId="0" shapeId="0" xr:uid="{00000000-0006-0000-0E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B28" authorId="1" shapeId="0" xr:uid="{00000000-0006-0000-0E00-000002000000}">
      <text>
        <r>
          <rPr>
            <b/>
            <sz val="8"/>
            <color indexed="81"/>
            <rFont val="Tahoma"/>
            <family val="2"/>
          </rPr>
          <t>Beginning Net Position Balance:</t>
        </r>
        <r>
          <rPr>
            <sz val="8"/>
            <color indexed="81"/>
            <rFont val="Tahoma"/>
            <family val="2"/>
          </rPr>
          <t xml:space="preserve">
If the Beginning Net Position Balance per the Current Year's Financial Statements does not agree to the Statement of Revenues, Expenses, and Changes in Net Position, an "error" message will appear.  Make corrections as deemed necessary.</t>
        </r>
      </text>
    </comment>
    <comment ref="B42" authorId="1" shapeId="0" xr:uid="{00000000-0006-0000-0E00-000003000000}">
      <text>
        <r>
          <rPr>
            <b/>
            <sz val="8"/>
            <color indexed="81"/>
            <rFont val="Tahoma"/>
            <family val="2"/>
          </rPr>
          <t>Beginning Cash and Cash Equivalents Balance:</t>
        </r>
        <r>
          <rPr>
            <sz val="8"/>
            <color indexed="81"/>
            <rFont val="Tahoma"/>
            <family val="2"/>
          </rPr>
          <t xml:space="preserve">
If the Cash and Cash Equivalents Beginning Balance per the current year's Statement of Cash Flows does not agree to this amount, an "error" message will appear.  Make corrections as deemed necessary.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F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10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11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text>
    </comment>
    <comment ref="F22" authorId="0" shapeId="0" xr:uid="{00000000-0006-0000-1100-000002000000}">
      <text>
        <r>
          <rPr>
            <b/>
            <sz val="8"/>
            <color indexed="81"/>
            <rFont val="Tahoma"/>
            <family val="2"/>
          </rPr>
          <t>Total Transfers in</t>
        </r>
        <r>
          <rPr>
            <sz val="8"/>
            <color indexed="81"/>
            <rFont val="Tahoma"/>
            <family val="2"/>
          </rPr>
          <t xml:space="preserve"> must agree to the amount reported on the "Transfers In" line item on the template.  If not, an "error" message will appear.  Make corrections as deemed necessary.
</t>
        </r>
      </text>
    </comment>
    <comment ref="F40" authorId="0" shapeId="0" xr:uid="{00000000-0006-0000-1100-000003000000}">
      <text>
        <r>
          <rPr>
            <b/>
            <sz val="8"/>
            <color indexed="81"/>
            <rFont val="Tahoma"/>
            <family val="2"/>
          </rPr>
          <t>Total Transfers out</t>
        </r>
        <r>
          <rPr>
            <sz val="8"/>
            <color indexed="81"/>
            <rFont val="Tahoma"/>
            <family val="2"/>
          </rPr>
          <t xml:space="preserve"> must agree to the amount reported on the "Transfers Out" line item on the template.  If not, an "error" message will appear.  Make corrections as deemed necessary.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test</author>
    <author>Kevin L. Salminen</author>
    <author>Christy Tuck</author>
  </authors>
  <commentList>
    <comment ref="B6" authorId="0" shapeId="0" xr:uid="{00000000-0006-0000-1200-000001000000}">
      <text>
        <r>
          <rPr>
            <sz val="10"/>
            <color indexed="81"/>
            <rFont val="Tahoma"/>
            <family val="2"/>
          </rPr>
          <t xml:space="preserve">If this submission is a revision to a previous submission for which DOA acknowledged receipt and acceptance, </t>
        </r>
        <r>
          <rPr>
            <b/>
            <sz val="10"/>
            <color indexed="81"/>
            <rFont val="Tahoma"/>
            <family val="2"/>
          </rPr>
          <t>COMPLETE THE REVISION CONTROL LOG TAB.</t>
        </r>
      </text>
    </comment>
    <comment ref="B17" authorId="1" shapeId="0" xr:uid="{00000000-0006-0000-1200-000002000000}">
      <text>
        <r>
          <rPr>
            <b/>
            <sz val="10"/>
            <color indexed="81"/>
            <rFont val="Tahoma"/>
            <family val="2"/>
          </rPr>
          <t xml:space="preserve">Total Capital Assets:  
</t>
        </r>
        <r>
          <rPr>
            <sz val="10"/>
            <color indexed="81"/>
            <rFont val="Tahoma"/>
            <family val="2"/>
          </rPr>
          <t xml:space="preserve">This is the sum of nondepreciable and Other Capital Assets, Net on the template. Total capital assets include nondepreciable capital assets reported on the template including intangible assets as required by </t>
        </r>
        <r>
          <rPr>
            <b/>
            <u/>
            <sz val="10"/>
            <color indexed="81"/>
            <rFont val="Tahoma"/>
            <family val="2"/>
          </rPr>
          <t>GASBS No. 51</t>
        </r>
        <r>
          <rPr>
            <sz val="10"/>
            <color indexed="81"/>
            <rFont val="Tahoma"/>
            <family val="2"/>
          </rPr>
          <t xml:space="preserve"> and right-to-use amortized intangible assets required by </t>
        </r>
        <r>
          <rPr>
            <b/>
            <u/>
            <sz val="10"/>
            <color indexed="81"/>
            <rFont val="Tahoma"/>
            <family val="2"/>
          </rPr>
          <t>GASBS No. 87</t>
        </r>
        <r>
          <rPr>
            <sz val="10"/>
            <color indexed="81"/>
            <rFont val="Tahoma"/>
            <family val="2"/>
          </rPr>
          <t xml:space="preserve"> and </t>
        </r>
        <r>
          <rPr>
            <b/>
            <u/>
            <sz val="10"/>
            <color indexed="81"/>
            <rFont val="Tahoma"/>
            <family val="2"/>
          </rPr>
          <t>GASBS No. 96</t>
        </r>
        <r>
          <rPr>
            <sz val="10"/>
            <color indexed="81"/>
            <rFont val="Tahoma"/>
            <family val="2"/>
          </rPr>
          <t>.</t>
        </r>
      </text>
    </comment>
    <comment ref="D32" authorId="2" shapeId="0" xr:uid="{00000000-0006-0000-1200-000003000000}">
      <text>
        <r>
          <rPr>
            <b/>
            <u/>
            <sz val="9"/>
            <color indexed="81"/>
            <rFont val="Arial"/>
            <family val="2"/>
          </rPr>
          <t>Note B</t>
        </r>
        <r>
          <rPr>
            <sz val="9"/>
            <color indexed="81"/>
            <rFont val="Arial"/>
            <family val="2"/>
          </rPr>
          <t>:  If an amount is provided for unspent proceeds on debt related to capital assets, do the unspent proceeds on debt exclude investment earnings? (yes or no)</t>
        </r>
      </text>
    </comment>
    <comment ref="B46" authorId="1" shapeId="0" xr:uid="{00000000-0006-0000-1200-000004000000}">
      <text>
        <r>
          <rPr>
            <b/>
            <sz val="10"/>
            <color indexed="81"/>
            <rFont val="Tahoma"/>
            <family val="2"/>
          </rPr>
          <t xml:space="preserve">Net Investment in Capital Assets </t>
        </r>
        <r>
          <rPr>
            <sz val="10"/>
            <color indexed="81"/>
            <rFont val="Tahoma"/>
            <family val="2"/>
          </rPr>
          <t>must agree to the amount reported on the "Net investment in capital assets," line item on the template.  If not, an "error" message will appear.  Make corrections as deemed necessary.</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B6" authorId="0" shapeId="0" xr:uid="{00000000-0006-0000-1300-000001000000}">
      <text>
        <r>
          <rPr>
            <sz val="10"/>
            <color indexed="81"/>
            <rFont val="Tahoma"/>
            <family val="2"/>
          </rPr>
          <t xml:space="preserve">If this submission is a revision to a previous submission for which DOA acknowledged receipt and acceptance, </t>
        </r>
        <r>
          <rPr>
            <b/>
            <sz val="10"/>
            <color indexed="81"/>
            <rFont val="Tahoma"/>
            <family val="2"/>
          </rPr>
          <t>COMPLETE THE REVISION CONTROL LOG TAB.</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dba</author>
    <author>Mary Christine Tuck</author>
    <author>Lauren.Brown</author>
  </authors>
  <commentList>
    <comment ref="C6" authorId="0" shapeId="0" xr:uid="{00000000-0006-0000-1400-000001000000}">
      <text>
        <r>
          <rPr>
            <sz val="8"/>
            <color indexed="81"/>
            <rFont val="Tahoma"/>
            <family val="2"/>
          </rPr>
          <t xml:space="preserve">If this submission is a revision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G14" authorId="1" shapeId="0" xr:uid="{00000000-0006-0000-1400-000002000000}">
      <text>
        <r>
          <rPr>
            <b/>
            <sz val="9"/>
            <color indexed="81"/>
            <rFont val="Arial"/>
            <family val="2"/>
          </rPr>
          <t>Step 1:</t>
        </r>
        <r>
          <rPr>
            <sz val="9"/>
            <color indexed="81"/>
            <rFont val="Arial"/>
            <family val="2"/>
          </rPr>
          <t xml:space="preserve">
Record the name of each identifiable activity of the enterprise fund.  Some examples of identifiable activities are Lottery and Alcoholic Beverage Control.  Record the direct expenses and revenues related to each identifiable activity.</t>
        </r>
      </text>
    </comment>
    <comment ref="G28" authorId="1" shapeId="0" xr:uid="{00000000-0006-0000-1400-000003000000}">
      <text>
        <r>
          <rPr>
            <b/>
            <sz val="9"/>
            <color indexed="81"/>
            <rFont val="Arial"/>
            <family val="2"/>
          </rPr>
          <t>Step 2:</t>
        </r>
        <r>
          <rPr>
            <sz val="9"/>
            <color indexed="81"/>
            <rFont val="Arial"/>
            <family val="2"/>
          </rPr>
          <t xml:space="preserve">
Record tax revenues and type of tax.</t>
        </r>
      </text>
    </comment>
    <comment ref="G34" authorId="1" shapeId="0" xr:uid="{00000000-0006-0000-1400-000004000000}">
      <text>
        <r>
          <rPr>
            <b/>
            <sz val="9"/>
            <color indexed="81"/>
            <rFont val="Arial"/>
            <family val="2"/>
          </rPr>
          <t>Step 3:</t>
        </r>
        <r>
          <rPr>
            <sz val="9"/>
            <color indexed="81"/>
            <rFont val="Arial"/>
            <family val="2"/>
          </rPr>
          <t xml:space="preserve">
Record other General Revenues.</t>
        </r>
      </text>
    </comment>
    <comment ref="G41" authorId="2" shapeId="0" xr:uid="{00000000-0006-0000-1400-000005000000}">
      <text>
        <r>
          <rPr>
            <b/>
            <sz val="9"/>
            <color indexed="81"/>
            <rFont val="Arial"/>
            <family val="2"/>
          </rPr>
          <t xml:space="preserve">Step 4:
</t>
        </r>
        <r>
          <rPr>
            <sz val="9"/>
            <color indexed="81"/>
            <rFont val="Arial"/>
            <family val="2"/>
          </rPr>
          <t>Record Transfers and Other Items.</t>
        </r>
        <r>
          <rPr>
            <sz val="8"/>
            <color indexed="81"/>
            <rFont val="Tahoma"/>
            <family val="2"/>
          </rPr>
          <t xml:space="preserve">
</t>
        </r>
        <r>
          <rPr>
            <sz val="8"/>
            <color indexed="81"/>
            <rFont val="Tahoma"/>
            <family val="2"/>
          </rPr>
          <t xml:space="preserve">
</t>
        </r>
      </text>
    </comment>
    <comment ref="F50" authorId="1" shapeId="0" xr:uid="{00000000-0006-0000-1400-000006000000}">
      <text>
        <r>
          <rPr>
            <b/>
            <sz val="9"/>
            <color indexed="81"/>
            <rFont val="Arial"/>
            <family val="2"/>
          </rPr>
          <t xml:space="preserve">Net Position - Beginning </t>
        </r>
        <r>
          <rPr>
            <sz val="9"/>
            <color indexed="81"/>
            <rFont val="Arial"/>
            <family val="2"/>
          </rPr>
          <t xml:space="preserve">amount links to the Total Net Position - Beginning amount on the Enterprise Fund Template. </t>
        </r>
      </text>
    </comment>
    <comment ref="F51" authorId="1" shapeId="0" xr:uid="{00000000-0006-0000-1400-000007000000}">
      <text>
        <r>
          <rPr>
            <b/>
            <sz val="9"/>
            <color indexed="81"/>
            <rFont val="Arial"/>
            <family val="2"/>
          </rPr>
          <t xml:space="preserve">Net Position - Ending </t>
        </r>
        <r>
          <rPr>
            <sz val="9"/>
            <color indexed="81"/>
            <rFont val="Arial"/>
            <family val="2"/>
          </rPr>
          <t>amount must equal the Total Net Position - Ending amount on the Enterprise Fund Template.  If not, an "error" message will appear.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dba</author>
    <author>Christy Tuck</author>
  </authors>
  <commentList>
    <comment ref="D6" authorId="0" shapeId="0" xr:uid="{00000000-0006-0000-0300-000001000000}">
      <text>
        <r>
          <rPr>
            <sz val="10"/>
            <color indexed="81"/>
            <rFont val="Times New Roman"/>
            <family val="1"/>
          </rPr>
          <t xml:space="preserve">If this submission is a </t>
        </r>
        <r>
          <rPr>
            <b/>
            <sz val="10"/>
            <color indexed="81"/>
            <rFont val="Times New Roman"/>
            <family val="1"/>
          </rPr>
          <t>revision</t>
        </r>
        <r>
          <rPr>
            <sz val="10"/>
            <color indexed="81"/>
            <rFont val="Times New Roman"/>
            <family val="1"/>
          </rPr>
          <t xml:space="preserve"> to a previous submission for which DOA acknowledged receipt and acceptance, </t>
        </r>
        <r>
          <rPr>
            <b/>
            <sz val="10"/>
            <color indexed="81"/>
            <rFont val="Times New Roman"/>
            <family val="1"/>
          </rPr>
          <t>COMPLETE THE REVISION CONTROL LOG TAB.</t>
        </r>
        <r>
          <rPr>
            <sz val="8"/>
            <color indexed="81"/>
            <rFont val="Times New Roman"/>
            <family val="1"/>
          </rPr>
          <t xml:space="preserve">
</t>
        </r>
      </text>
    </comment>
    <comment ref="E18" authorId="1" shapeId="0" xr:uid="{00000000-0006-0000-0300-000002000000}">
      <text>
        <r>
          <rPr>
            <sz val="8"/>
            <color indexed="81"/>
            <rFont val="Arial"/>
            <family val="2"/>
          </rPr>
          <t xml:space="preserve"> If additional space is needed, provide explanations in a separate document and provide fluctuation amount, percent and explanation.   The row height should automatically increase if needed.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dba</author>
    <author>Kevin L. Salminen</author>
    <author>LAR</author>
    <author>Gemma Yu-Meade</author>
    <author>JAW</author>
  </authors>
  <commentList>
    <comment ref="D6" authorId="0" shapeId="0" xr:uid="{00000000-0006-0000-0400-000001000000}">
      <text>
        <r>
          <rPr>
            <sz val="9"/>
            <color indexed="81"/>
            <rFont val="Tahoma"/>
            <family val="2"/>
          </rPr>
          <t>If this submission is a</t>
        </r>
        <r>
          <rPr>
            <b/>
            <sz val="9"/>
            <color indexed="81"/>
            <rFont val="Tahoma"/>
            <family val="2"/>
          </rPr>
          <t xml:space="preserve"> revision</t>
        </r>
        <r>
          <rPr>
            <sz val="9"/>
            <color indexed="81"/>
            <rFont val="Tahoma"/>
            <family val="2"/>
          </rPr>
          <t xml:space="preserve"> to a previous submission for which DOA acknowledged receipt and acceptance, </t>
        </r>
        <r>
          <rPr>
            <b/>
            <sz val="9"/>
            <color indexed="81"/>
            <rFont val="Tahoma"/>
            <family val="2"/>
          </rPr>
          <t>COMPLETE THE REVISION CONTROL LOG TAB</t>
        </r>
        <r>
          <rPr>
            <sz val="9"/>
            <color indexed="81"/>
            <rFont val="Tahoma"/>
            <family val="2"/>
          </rPr>
          <t>.</t>
        </r>
        <r>
          <rPr>
            <sz val="8"/>
            <color indexed="81"/>
            <rFont val="Times New Roman"/>
            <family val="1"/>
          </rPr>
          <t xml:space="preserve">
</t>
        </r>
      </text>
    </comment>
    <comment ref="H10" authorId="1" shapeId="0" xr:uid="{00000000-0006-0000-0400-000002000000}">
      <text>
        <r>
          <rPr>
            <sz val="9"/>
            <color indexed="81"/>
            <rFont val="Tahoma"/>
            <family val="2"/>
          </rPr>
          <t>Linked to the Enterprise Template Cash held with the Treasurer.</t>
        </r>
      </text>
    </comment>
    <comment ref="H14" authorId="1" shapeId="0" xr:uid="{00000000-0006-0000-0400-000003000000}">
      <text>
        <r>
          <rPr>
            <sz val="9"/>
            <color indexed="81"/>
            <rFont val="Tahoma"/>
            <family val="2"/>
          </rPr>
          <t>Linked to the Enterprise Template Cash NOT held with the Treasurer.</t>
        </r>
      </text>
    </comment>
    <comment ref="H39" authorId="1" shapeId="0" xr:uid="{00000000-0006-0000-0400-000004000000}">
      <text>
        <r>
          <rPr>
            <sz val="9"/>
            <color indexed="81"/>
            <rFont val="Tahoma"/>
            <family val="2"/>
          </rPr>
          <t>This is the sum of 3a, 3b, &amp; 3c.  It should agree to the amount reported in 2.2 above.</t>
        </r>
        <r>
          <rPr>
            <sz val="9"/>
            <color indexed="81"/>
            <rFont val="Times New Roman"/>
            <family val="1"/>
          </rPr>
          <t xml:space="preserve">
</t>
        </r>
      </text>
    </comment>
    <comment ref="F84" authorId="2" shapeId="0" xr:uid="{00000000-0006-0000-0400-000005000000}">
      <text>
        <r>
          <rPr>
            <sz val="9"/>
            <color indexed="81"/>
            <rFont val="Tahoma"/>
            <family val="2"/>
          </rPr>
          <t>LGIP should be reported as "Cash Equivalents with the Treasurer" or "Assets Held Pending Distribution" lines on the template, as applicable.</t>
        </r>
      </text>
    </comment>
    <comment ref="G84" authorId="3" shapeId="0" xr:uid="{00000000-0006-0000-0400-000006000000}">
      <text>
        <r>
          <rPr>
            <sz val="9"/>
            <color indexed="81"/>
            <rFont val="Tahoma"/>
            <family val="2"/>
          </rPr>
          <t>Total LGIP EM should be reported as Noncurrent "Investments with the Treasurer - Other".</t>
        </r>
      </text>
    </comment>
    <comment ref="H84" authorId="4" shapeId="0" xr:uid="{00000000-0006-0000-0400-000007000000}">
      <text>
        <r>
          <rPr>
            <sz val="9"/>
            <color indexed="81"/>
            <rFont val="Tahoma"/>
            <family val="2"/>
          </rPr>
          <t>Should be the amount of LGIP that is included on the "Assets Held Pending Distribution" line of the template.</t>
        </r>
      </text>
    </comment>
    <comment ref="G108" authorId="1" shapeId="0" xr:uid="{00000000-0006-0000-0400-000008000000}">
      <text>
        <r>
          <rPr>
            <sz val="9"/>
            <color indexed="81"/>
            <rFont val="Tahoma"/>
            <family val="2"/>
          </rPr>
          <t>Linked to the Enterprise Template Cash Equivalents and Investments NOT held with the Treasurer.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dba</author>
    <author>Aneri Patel</author>
  </authors>
  <commentList>
    <comment ref="C6" authorId="0" shapeId="0" xr:uid="{00000000-0006-0000-0500-000001000000}">
      <text>
        <r>
          <rPr>
            <sz val="9"/>
            <color indexed="81"/>
            <rFont val="Tahoma"/>
            <family val="2"/>
          </rPr>
          <t xml:space="preserve">If this submission is a </t>
        </r>
        <r>
          <rPr>
            <b/>
            <sz val="9"/>
            <color indexed="81"/>
            <rFont val="Tahoma"/>
            <family val="2"/>
          </rPr>
          <t>revision</t>
        </r>
        <r>
          <rPr>
            <sz val="9"/>
            <color indexed="81"/>
            <rFont val="Tahoma"/>
            <family val="2"/>
          </rPr>
          <t xml:space="preserve"> to a previous submission for which DOA acknowledged receipt and acceptance, </t>
        </r>
        <r>
          <rPr>
            <b/>
            <sz val="9"/>
            <color indexed="81"/>
            <rFont val="Tahoma"/>
            <family val="2"/>
          </rPr>
          <t>COMPLETE THE REVISION CONTROL LOG TAB</t>
        </r>
        <r>
          <rPr>
            <sz val="9"/>
            <color indexed="81"/>
            <rFont val="Tahoma"/>
            <family val="2"/>
          </rPr>
          <t>.</t>
        </r>
        <r>
          <rPr>
            <sz val="8"/>
            <color indexed="81"/>
            <rFont val="Times New Roman"/>
            <family val="1"/>
          </rPr>
          <t xml:space="preserve">
</t>
        </r>
      </text>
    </comment>
    <comment ref="K10" authorId="1" shapeId="0" xr:uid="{00000000-0006-0000-0500-000002000000}">
      <text>
        <r>
          <rPr>
            <sz val="9"/>
            <color indexed="81"/>
            <rFont val="Tahoma"/>
            <family val="2"/>
          </rPr>
          <t xml:space="preserve">Commonly used ratings of Moody's, S&amp;P, and Fitch are provided in each credit rating column. If the agency has debt securities rated by one of the rating agencies and the agency is unable to categorize them into one of the credit rating columns below, </t>
        </r>
        <r>
          <rPr>
            <u/>
            <sz val="9"/>
            <color indexed="81"/>
            <rFont val="Tahoma"/>
            <family val="2"/>
          </rPr>
          <t>do not</t>
        </r>
        <r>
          <rPr>
            <sz val="9"/>
            <color indexed="81"/>
            <rFont val="Tahoma"/>
            <family val="2"/>
          </rPr>
          <t xml:space="preserve"> categorize such securities in the "Unrated" column. Contact DOA for appropriate reporting.
</t>
        </r>
      </text>
    </comment>
    <comment ref="A11" authorId="1" shapeId="0" xr:uid="{00000000-0006-0000-0500-000003000000}">
      <text>
        <r>
          <rPr>
            <b/>
            <u/>
            <sz val="9"/>
            <color indexed="81"/>
            <rFont val="Tahoma"/>
            <family val="2"/>
          </rPr>
          <t>Note</t>
        </r>
        <r>
          <rPr>
            <sz val="9"/>
            <color indexed="81"/>
            <rFont val="Tahoma"/>
            <family val="2"/>
          </rPr>
          <t xml:space="preserve">:  This tab has been left unprotected and unlocked, so that rows may be added or information copied into it.  If rows are added, please ensure that the "Type" and "Investment" descriptions in columns A and B and the formulas at columns  P, Q, Y, Z,  AF, AG,  AH, and AI are copied into the new rows.
</t>
        </r>
      </text>
    </comment>
    <comment ref="Y11" authorId="1" shapeId="0" xr:uid="{00000000-0006-0000-0500-000004000000}">
      <text>
        <r>
          <rPr>
            <b/>
            <sz val="9"/>
            <color indexed="81"/>
            <rFont val="Tahoma"/>
            <family val="2"/>
          </rPr>
          <t xml:space="preserve">Total Reported Amount: </t>
        </r>
        <r>
          <rPr>
            <sz val="9"/>
            <color indexed="81"/>
            <rFont val="Tahoma"/>
            <family val="2"/>
          </rPr>
          <t xml:space="preserve"> For the debt securities an "error" message will appear if the sum of the amounts for interest rate risk (the sum of the amounts for  "Less Than 1 Year", "1-5 Years", "6-10 Years" and "Greater Than 10 Years")  does not equal the sum of the amounts for custodial credit risk for each security (the sum of the amounts for "Held by Counterparty", "Held by Counterparty's Trust Department or Agent but not in Government's Name", and "Uncategorized").
</t>
        </r>
      </text>
    </comment>
    <comment ref="AH11" authorId="1" shapeId="0" xr:uid="{00000000-0006-0000-0500-000005000000}">
      <text>
        <r>
          <rPr>
            <b/>
            <sz val="9"/>
            <color indexed="81"/>
            <rFont val="Tahoma"/>
            <family val="2"/>
          </rPr>
          <t>Accuracy check</t>
        </r>
        <r>
          <rPr>
            <sz val="9"/>
            <color indexed="81"/>
            <rFont val="Tahoma"/>
            <family val="2"/>
          </rPr>
          <t xml:space="preserve">: For the debt securities, total reported amount per column P, column Y, and column AF must agree. If it does not, an "Error" message will appear. Verify accuracy and make necessary corrections.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test</author>
    <author>Kevin L. Salminen</author>
  </authors>
  <commentList>
    <comment ref="D6" authorId="0" shapeId="0" xr:uid="{00000000-0006-0000-06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t>
        </r>
        <r>
          <rPr>
            <b/>
            <sz val="8"/>
            <color indexed="81"/>
            <rFont val="Tahoma"/>
            <family val="2"/>
          </rPr>
          <t xml:space="preserve"> COMPLETE THE REVISION CONTROL LOG TAB</t>
        </r>
        <r>
          <rPr>
            <sz val="8"/>
            <color indexed="81"/>
            <rFont val="Tahoma"/>
            <family val="2"/>
          </rPr>
          <t>.</t>
        </r>
      </text>
    </comment>
    <comment ref="BS64" authorId="1" shapeId="0" xr:uid="{00000000-0006-0000-0600-000002000000}">
      <text>
        <r>
          <rPr>
            <sz val="9"/>
            <color indexed="81"/>
            <rFont val="Tahoma"/>
            <family val="2"/>
          </rPr>
          <t>The total fair value of foreign currency should agree to the Part 7 amount that was reported on the "Tab 1A-GASB 3-40" tab.  If it does not, an "error" message will appear.</t>
        </r>
        <r>
          <rPr>
            <b/>
            <sz val="8"/>
            <color indexed="81"/>
            <rFont val="Tahoma"/>
            <family val="2"/>
          </rPr>
          <t xml:space="preserve">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C6" authorId="0" shapeId="0" xr:uid="{00000000-0006-0000-07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dba</author>
    <author>Mary Christine Tuck</author>
    <author>Wai Levy</author>
  </authors>
  <commentList>
    <comment ref="B6" authorId="0" shapeId="0" xr:uid="{00000000-0006-0000-08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 </t>
        </r>
        <r>
          <rPr>
            <b/>
            <sz val="8"/>
            <color indexed="81"/>
            <rFont val="Tahoma"/>
            <family val="2"/>
          </rPr>
          <t>COMPLETE THE REVISION CONTROL LOG TAB</t>
        </r>
        <r>
          <rPr>
            <sz val="8"/>
            <color indexed="81"/>
            <rFont val="Tahoma"/>
            <family val="2"/>
          </rPr>
          <t xml:space="preserve">.
</t>
        </r>
      </text>
    </comment>
    <comment ref="B26" authorId="1" shapeId="0" xr:uid="{00000000-0006-0000-0800-000002000000}">
      <text>
        <r>
          <rPr>
            <b/>
            <sz val="8"/>
            <color indexed="81"/>
            <rFont val="Times New Roman"/>
            <family val="1"/>
          </rPr>
          <t xml:space="preserve">Total Receivables, Net </t>
        </r>
        <r>
          <rPr>
            <sz val="8"/>
            <color indexed="81"/>
            <rFont val="Times New Roman"/>
            <family val="1"/>
          </rPr>
          <t>must agree to the current plus noncurrent Receivables, Net reported on the Statement of Net Position.  If not, an "error" message will appear.  Make corrections as deemed necessary.</t>
        </r>
      </text>
    </comment>
    <comment ref="D26" authorId="2" shapeId="0" xr:uid="{00000000-0006-0000-0800-000003000000}">
      <text>
        <r>
          <rPr>
            <b/>
            <sz val="8"/>
            <color indexed="81"/>
            <rFont val="Times New Roman"/>
            <family val="1"/>
          </rPr>
          <t>Total Receivables To be collected after one year, Net</t>
        </r>
        <r>
          <rPr>
            <sz val="8"/>
            <color indexed="81"/>
            <rFont val="Times New Roman"/>
            <family val="1"/>
          </rPr>
          <t xml:space="preserve"> must agree to the noncurrent Receivables, Net reported on the Statement of Net Position. If not, an "error" message will appear. Make corrections as deemed necessary.</t>
        </r>
        <r>
          <rPr>
            <sz val="8"/>
            <color indexed="81"/>
            <rFont val="Tahoma"/>
            <family val="2"/>
          </rPr>
          <t xml:space="preserve">
</t>
        </r>
      </text>
    </comment>
    <comment ref="D49" authorId="0" shapeId="0" xr:uid="{00000000-0006-0000-0800-000004000000}">
      <text>
        <r>
          <rPr>
            <b/>
            <sz val="8"/>
            <color indexed="81"/>
            <rFont val="Times New Roman"/>
            <family val="1"/>
          </rPr>
          <t>Total Due from Other Funds</t>
        </r>
        <r>
          <rPr>
            <sz val="8"/>
            <color indexed="81"/>
            <rFont val="Times New Roman"/>
            <family val="1"/>
          </rPr>
          <t xml:space="preserve"> must agree to the amount reported above.  If not, an "error" message will appear.  Make corrections as deemed necessary.
</t>
        </r>
      </text>
    </comment>
    <comment ref="F70" authorId="0" shapeId="0" xr:uid="{00000000-0006-0000-0800-000005000000}">
      <text>
        <r>
          <rPr>
            <b/>
            <sz val="8"/>
            <color indexed="81"/>
            <rFont val="Times New Roman"/>
            <family val="1"/>
          </rPr>
          <t>Total Due from Other State Agencies</t>
        </r>
        <r>
          <rPr>
            <sz val="8"/>
            <color indexed="81"/>
            <rFont val="Times New Roman"/>
            <family val="1"/>
          </rPr>
          <t xml:space="preserve"> must agree to the amount reported above.  If not, an "error" message will appear.  Make corrections as deemed necessary.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dba</author>
    <author>Sarah Drysdale</author>
    <author>Mary Christine Tuck</author>
    <author>Matthew Wiggins</author>
    <author>Lamart Cooper</author>
  </authors>
  <commentList>
    <comment ref="E6" authorId="0" shapeId="0" xr:uid="{00000000-0006-0000-09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t>
        </r>
        <r>
          <rPr>
            <b/>
            <sz val="8"/>
            <color indexed="81"/>
            <rFont val="Tahoma"/>
            <family val="2"/>
          </rPr>
          <t xml:space="preserve"> COMPLETE THE REVISION CONTROL LOG TAB.</t>
        </r>
        <r>
          <rPr>
            <sz val="8"/>
            <color indexed="81"/>
            <rFont val="Tahoma"/>
            <family val="2"/>
          </rPr>
          <t xml:space="preserve">
</t>
        </r>
      </text>
    </comment>
    <comment ref="B21" authorId="1" shapeId="0" xr:uid="{3CA80D21-2F55-4C80-A8F1-40AAE69CC452}">
      <text>
        <r>
          <rPr>
            <b/>
            <sz val="8"/>
            <color indexed="81"/>
            <rFont val="Tahoma"/>
            <family val="2"/>
          </rPr>
          <t>SBITA Payments before commencement should be recorded as CIP.</t>
        </r>
      </text>
    </comment>
    <comment ref="N26" authorId="2" shapeId="0" xr:uid="{00000000-0006-0000-0900-000002000000}">
      <text>
        <r>
          <rPr>
            <b/>
            <sz val="8"/>
            <color indexed="81"/>
            <rFont val="Tahoma"/>
            <family val="2"/>
          </rPr>
          <t xml:space="preserve">Total Nondepreciable Capital Assets </t>
        </r>
        <r>
          <rPr>
            <sz val="8"/>
            <color indexed="81"/>
            <rFont val="Tahoma"/>
            <family val="2"/>
          </rPr>
          <t>must agree to the Total Nondepreciable Capital Assets reported on the Statement of Net Position.  If not, an "error" message will appear.  Make corrections as deemed necessary.</t>
        </r>
      </text>
    </comment>
    <comment ref="B40" authorId="3" shapeId="0" xr:uid="{00000000-0006-0000-0900-000003000000}">
      <text>
        <r>
          <rPr>
            <sz val="8"/>
            <color indexed="81"/>
            <rFont val="Tahoma"/>
            <family val="2"/>
          </rPr>
          <t xml:space="preserve">Assets obtained through Financed Purchase Obligations should </t>
        </r>
        <r>
          <rPr>
            <b/>
            <u/>
            <sz val="8"/>
            <color indexed="81"/>
            <rFont val="Tahoma"/>
            <family val="2"/>
          </rPr>
          <t>not</t>
        </r>
        <r>
          <rPr>
            <sz val="8"/>
            <color indexed="81"/>
            <rFont val="Tahoma"/>
            <family val="2"/>
          </rPr>
          <t xml:space="preserve"> be reported as Right-to-Use Intangible Assets.  These should be reported as Other Capital Assets above.</t>
        </r>
        <r>
          <rPr>
            <sz val="9"/>
            <color indexed="81"/>
            <rFont val="Tahoma"/>
            <family val="2"/>
          </rPr>
          <t xml:space="preserve">
</t>
        </r>
      </text>
    </comment>
    <comment ref="H62" authorId="0" shapeId="0" xr:uid="{00000000-0006-0000-0900-000004000000}">
      <text>
        <r>
          <rPr>
            <b/>
            <sz val="8"/>
            <color indexed="81"/>
            <rFont val="Tahoma"/>
            <family val="2"/>
          </rPr>
          <t xml:space="preserve">Total Increases to Accumulated Depreciation </t>
        </r>
        <r>
          <rPr>
            <sz val="8"/>
            <color indexed="81"/>
            <rFont val="Tahoma"/>
            <family val="2"/>
          </rPr>
          <t>must equal total depreciation expense reported on the Statement of Revenues, Expenses, and Changes in Net Position.  If not, an "error" message will appear.   Review amounts entered and make corrections as deemed necessary.</t>
        </r>
      </text>
    </comment>
    <comment ref="H72" authorId="4" shapeId="0" xr:uid="{00000000-0006-0000-0900-000005000000}">
      <text>
        <r>
          <rPr>
            <b/>
            <sz val="8"/>
            <color indexed="81"/>
            <rFont val="Tahoma"/>
            <family val="2"/>
          </rPr>
          <t xml:space="preserve">Total Increases to Accumulated Amortization </t>
        </r>
        <r>
          <rPr>
            <sz val="8"/>
            <color indexed="81"/>
            <rFont val="Tahoma"/>
            <family val="2"/>
          </rPr>
          <t>must equal total amortization expense reported on the Statement of Revenues, Expenses, and Changes in Net Position.  If not, an "error" message will appear.   Review amounts entered and make corrections as deemed necessary.</t>
        </r>
      </text>
    </comment>
    <comment ref="N76" authorId="2" shapeId="0" xr:uid="{00000000-0006-0000-0900-000006000000}">
      <text>
        <r>
          <rPr>
            <b/>
            <sz val="8"/>
            <color indexed="81"/>
            <rFont val="Tahoma"/>
            <family val="2"/>
          </rPr>
          <t xml:space="preserve">Total Other Capital Assets, Net </t>
        </r>
        <r>
          <rPr>
            <sz val="8"/>
            <color indexed="81"/>
            <rFont val="Tahoma"/>
            <family val="2"/>
          </rPr>
          <t>must agree to the Other Capital Assets, Net reported on the Statement of Net Position.  If not, an "error" message will appear.  Make corrections as deemed necessary.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dba</author>
  </authors>
  <commentList>
    <comment ref="B6" authorId="0" shapeId="0" xr:uid="{00000000-0006-0000-0A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acknowledged receipt and acceptance,</t>
        </r>
        <r>
          <rPr>
            <b/>
            <sz val="8"/>
            <color indexed="81"/>
            <rFont val="Tahoma"/>
            <family val="2"/>
          </rPr>
          <t xml:space="preserve"> COMPLETE THE REVISION CONTROL LOG TAB.</t>
        </r>
        <r>
          <rPr>
            <sz val="8"/>
            <color indexed="81"/>
            <rFont val="Tahoma"/>
            <family val="2"/>
          </rPr>
          <t xml:space="preserve">
</t>
        </r>
      </text>
    </comment>
    <comment ref="F26" authorId="0" shapeId="0" xr:uid="{00000000-0006-0000-0A00-000002000000}">
      <text>
        <r>
          <rPr>
            <b/>
            <sz val="8"/>
            <color indexed="81"/>
            <rFont val="Tahoma"/>
            <family val="2"/>
          </rPr>
          <t>Total Due to Other State Agencies</t>
        </r>
        <r>
          <rPr>
            <sz val="8"/>
            <color indexed="81"/>
            <rFont val="Tahoma"/>
            <family val="2"/>
          </rPr>
          <t xml:space="preserve"> must agree to the amount reported on the "Due to Other State Agencies" line item on the template.  If not, an "error" message will appear.  Make corrections as deemed necessary.
</t>
        </r>
      </text>
    </comment>
    <comment ref="D44" authorId="0" shapeId="0" xr:uid="{00000000-0006-0000-0A00-000003000000}">
      <text>
        <r>
          <rPr>
            <b/>
            <sz val="8"/>
            <color indexed="81"/>
            <rFont val="Tahoma"/>
            <family val="2"/>
          </rPr>
          <t>Total Due to Other Funds - Current</t>
        </r>
        <r>
          <rPr>
            <sz val="8"/>
            <color indexed="81"/>
            <rFont val="Tahoma"/>
            <family val="2"/>
          </rPr>
          <t xml:space="preserve"> must agree to the amount reported on the "Due to Other Funds - Current" line item on the template.  If not, an "error" message will appear.  Make corrections as deemed necessary.
</t>
        </r>
      </text>
    </comment>
    <comment ref="D59" authorId="0" shapeId="0" xr:uid="{00000000-0006-0000-0A00-000004000000}">
      <text>
        <r>
          <rPr>
            <b/>
            <sz val="8"/>
            <color indexed="81"/>
            <rFont val="Tahoma"/>
            <family val="2"/>
          </rPr>
          <t>Total Due to Other Funds - Noncurrent</t>
        </r>
        <r>
          <rPr>
            <sz val="8"/>
            <color indexed="81"/>
            <rFont val="Tahoma"/>
            <family val="2"/>
          </rPr>
          <t xml:space="preserve"> must agree to the amount reported on the "Due to Other Funds - Noncurrent" line item on the template.  If not, an "error" message will appear.  Make corrections as deemed necessary.
</t>
        </r>
      </text>
    </comment>
    <comment ref="D74" authorId="0" shapeId="0" xr:uid="{00000000-0006-0000-0A00-000005000000}">
      <text>
        <r>
          <rPr>
            <b/>
            <sz val="8"/>
            <color indexed="81"/>
            <rFont val="Tahoma"/>
            <family val="2"/>
          </rPr>
          <t>Total Due to External Parties (Fiduciary Funds)</t>
        </r>
        <r>
          <rPr>
            <sz val="8"/>
            <color indexed="81"/>
            <rFont val="Tahoma"/>
            <family val="2"/>
          </rPr>
          <t xml:space="preserve"> must agree to the amount reported on the "Due to External Parties (Fiduciary Funds)" line item on the template.  If not, an "error" message will appear.  Make corrections as deemed necessary.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<sst xmlns="http://schemas.openxmlformats.org/spreadsheetml/2006/main" count="5692" uniqueCount="3796">
  <si>
    <r>
      <t>Change in Fair Value of Investments (</t>
    </r>
    <r>
      <rPr>
        <u/>
        <sz val="10"/>
        <color indexed="12"/>
        <rFont val="Times New Roman"/>
        <family val="1"/>
      </rPr>
      <t>GASBS No. 31</t>
    </r>
    <r>
      <rPr>
        <sz val="10"/>
        <color indexed="12"/>
        <rFont val="Times New Roman"/>
        <family val="1"/>
      </rPr>
      <t xml:space="preserve"> requirement)</t>
    </r>
  </si>
  <si>
    <t>Unrestricted</t>
  </si>
  <si>
    <t>Operating Revenues:</t>
  </si>
  <si>
    <t>Charges for Sales and Services</t>
  </si>
  <si>
    <t>Interest, Dividends, Rents and Other Investment Income</t>
  </si>
  <si>
    <t>Contributions</t>
  </si>
  <si>
    <t>Other</t>
  </si>
  <si>
    <t>Other Revenues</t>
  </si>
  <si>
    <t>Total Operating Revenues</t>
  </si>
  <si>
    <t>Operating Expenses:</t>
  </si>
  <si>
    <t>Interest Expense</t>
  </si>
  <si>
    <t>Cost of Sales and Services</t>
  </si>
  <si>
    <t>Insurance Claims</t>
  </si>
  <si>
    <t>Lottery Prize Expense</t>
  </si>
  <si>
    <t>Personal Services</t>
  </si>
  <si>
    <t>Contractual Services</t>
  </si>
  <si>
    <t>Supplies and Materials</t>
  </si>
  <si>
    <t>Depreciation</t>
  </si>
  <si>
    <t>Amortization</t>
  </si>
  <si>
    <t>Rent, Insurance, and Other Related Charges</t>
  </si>
  <si>
    <t>Expendable Equipment</t>
  </si>
  <si>
    <t>Total Operating Expenses</t>
  </si>
  <si>
    <t>Operating Income (Loss)</t>
  </si>
  <si>
    <t>Nonoperating Revenues (Expenses):</t>
  </si>
  <si>
    <t>Less: Deferral on Debt Defeasance</t>
  </si>
  <si>
    <t>Add: Accretion on Capital Appreciation Bonds</t>
  </si>
  <si>
    <t>Add: Unamortized Premium</t>
  </si>
  <si>
    <t>Energy Performance Contracts</t>
  </si>
  <si>
    <t>Interest, Dividends, Rents, and Other Investment Income</t>
  </si>
  <si>
    <t>Income From Security Lending Transactions</t>
  </si>
  <si>
    <t>Expenses For Security Lending Transactions</t>
  </si>
  <si>
    <t xml:space="preserve">Total Nonoperating Revenues (Expenses) </t>
  </si>
  <si>
    <t>Income (Loss) Before Contributions and Transfers</t>
  </si>
  <si>
    <t>Capital Contributions</t>
  </si>
  <si>
    <t xml:space="preserve">CHECK FIGURES </t>
  </si>
  <si>
    <t>Cash Flows from Operating Activities:</t>
  </si>
  <si>
    <t>Receipts for Sales and Services</t>
  </si>
  <si>
    <t>Internal Activity-Receipts from Other Funds</t>
  </si>
  <si>
    <t>Internal Activity-Payments to Other Funds</t>
  </si>
  <si>
    <t>Payments to Suppliers for Goods and Services</t>
  </si>
  <si>
    <t>Payments to Employees</t>
  </si>
  <si>
    <t>Payments for Claims and Loss Control</t>
  </si>
  <si>
    <t xml:space="preserve">Accretion of Principal </t>
  </si>
  <si>
    <t>Securities Lending Cash Equivalent (linked)</t>
  </si>
  <si>
    <t>Informational Totals</t>
  </si>
  <si>
    <t>Explain any discrepancies in the yellow box below and briefly describe the useful life methodology that has been developed.  Ensure this addresses how the methodology was developed.</t>
  </si>
  <si>
    <t>Cash Equivalents with the Treasurer - Other</t>
  </si>
  <si>
    <t>Behavioral Health &amp; Developmental Services Local Funds</t>
  </si>
  <si>
    <t>Increase (Decrease) in Claims Payable - due greater than one year</t>
  </si>
  <si>
    <t>Increase (Decrease) in Claims Payable - due within one year</t>
  </si>
  <si>
    <t>Increase (Decrease) in Other Liabilities - due within one year</t>
  </si>
  <si>
    <t>Increase (Decrease) in Other Liabilities - due greater than one year</t>
  </si>
  <si>
    <t>Increase (Decrease) in Long-term Liabilities - due within one year</t>
  </si>
  <si>
    <t>Increase (Decrease) in Long-term Liabilities - due greater than one year</t>
  </si>
  <si>
    <t>Computer Software</t>
  </si>
  <si>
    <t>Total Cash Equivalents and Investments Not with the Treasurer</t>
  </si>
  <si>
    <t>Securities Lending Investments</t>
  </si>
  <si>
    <t>Total Receivables, Net</t>
  </si>
  <si>
    <t>Part 2.1)</t>
  </si>
  <si>
    <t>Part 2.2)</t>
  </si>
  <si>
    <t>Nonnegotiable Certificates of Deposit (not held with the Treasurer of VA)</t>
  </si>
  <si>
    <t>Payments for Lottery Prizes</t>
  </si>
  <si>
    <t>Payments for Prizes, Claims, and Loss Control</t>
  </si>
  <si>
    <t>Total Other Operating Revenue</t>
  </si>
  <si>
    <t>Non-operating Gain (loss) on Sale/Disposal/Impairment of Capital Asset (b)</t>
  </si>
  <si>
    <t>Gain (Loss) on Sale/Disposal/Impairment of Capital Asset</t>
  </si>
  <si>
    <t>Total Other Operating Expense</t>
  </si>
  <si>
    <t>Net Cash Provided by (Used for) Operating Activities</t>
  </si>
  <si>
    <t>Cash Flows from Noncapital Financing Activities:</t>
  </si>
  <si>
    <t>Transfers In From Other Funds</t>
  </si>
  <si>
    <t>Transfers Out to Other Funds</t>
  </si>
  <si>
    <t>Advances/Contributions from the Commonwealth</t>
  </si>
  <si>
    <t>Differences (provide explanations)</t>
  </si>
  <si>
    <t>Prior Year's Ending Balance (linked)</t>
  </si>
  <si>
    <t>Other Noncapital Financing Receipt Activities</t>
  </si>
  <si>
    <t>Other Noncapital Financing Disbursement Activities</t>
  </si>
  <si>
    <t>Net Cash Provided by (Used for) Noncapital Financing Activities</t>
  </si>
  <si>
    <t>Cash Flows from Capital and Related Financing Activities:</t>
  </si>
  <si>
    <t>Acquisition of Capital  Assets</t>
  </si>
  <si>
    <t>Proceeds from Sale of Bonds and Notes</t>
  </si>
  <si>
    <t>Proceeds from Sale of Capital  Assets</t>
  </si>
  <si>
    <t>Total Other Capital and Related Financing Receipt Activities</t>
  </si>
  <si>
    <t>Total Other Capital and Related Financing Disbursement Activities</t>
  </si>
  <si>
    <t>Net Cash Provided by (Used for) Capital and Related Financing Activities</t>
  </si>
  <si>
    <t>Cash Flows from Investing Activities:</t>
  </si>
  <si>
    <t>Purchase of Investments</t>
  </si>
  <si>
    <t>Proceeds from Sales or Maturities of Investments</t>
  </si>
  <si>
    <t>Investment Income on Cash, Cash Equivalents, and Investments</t>
  </si>
  <si>
    <t>Net Cash Provided by (Used for) Investing Activities</t>
  </si>
  <si>
    <t>Check Figure</t>
  </si>
  <si>
    <t>Net Increase (Decrease) in Cash and Cash Equivalents</t>
  </si>
  <si>
    <t xml:space="preserve">Reconciliation of Operating Income (Loss) to Net </t>
  </si>
  <si>
    <t>Cash Provided (Used) by Operating Activities:</t>
  </si>
  <si>
    <t>Adjustments to Reconcile Operating Income to</t>
  </si>
  <si>
    <t xml:space="preserve">Net Cash Provided (Used) by Operating Activities: </t>
  </si>
  <si>
    <t>Miscellaneous Nonoperating Income</t>
  </si>
  <si>
    <t>Change in Assets and Liabilities:</t>
  </si>
  <si>
    <t>(Increase) Decrease in Due From Other Funds</t>
  </si>
  <si>
    <t>Increase (Decrease) in Accounts Payable</t>
  </si>
  <si>
    <t>Increase (Decrease) in Due to Other Funds</t>
  </si>
  <si>
    <t>Long-term Liabilities Due Within One Year - Total</t>
  </si>
  <si>
    <t>Short-term Investments - Total</t>
  </si>
  <si>
    <t>Long-term Liabilities Due in More Than One Year - Total</t>
  </si>
  <si>
    <t>Increase (Decrease) in Accrued Interest Payable</t>
  </si>
  <si>
    <t>Increase (Decrease) in Compensated Absences</t>
  </si>
  <si>
    <t>Increase (Decrease) in Other Liabilities</t>
  </si>
  <si>
    <t>Increase (Decrease) in Deposits Pending Distribution</t>
  </si>
  <si>
    <t>Increase (Decrease) in Lottery Prizes Payable</t>
  </si>
  <si>
    <t>Asset-Backed Securities</t>
  </si>
  <si>
    <t>Mutual and Money-Market Funds</t>
  </si>
  <si>
    <t>Amount</t>
  </si>
  <si>
    <t>Type of Investment</t>
  </si>
  <si>
    <t>Nonparticipating contracts</t>
  </si>
  <si>
    <t>Amortized Cost</t>
  </si>
  <si>
    <t>Part 1:  Schedule of Changes in Long-term Liabilities:</t>
  </si>
  <si>
    <t>Other Long-term Liabilities</t>
  </si>
  <si>
    <t>Tab 5:  Long-term Liabilities</t>
  </si>
  <si>
    <t xml:space="preserve">  Other Long-term Liabilities, list below:</t>
  </si>
  <si>
    <t>Increase (Decrease) in Other Long-term Liabilities</t>
  </si>
  <si>
    <t>Increase (Decrease) in Long-term Liabilities: due greater than one year</t>
  </si>
  <si>
    <t>TAB 1A-Part 1</t>
  </si>
  <si>
    <t>TAB 1D</t>
  </si>
  <si>
    <t>TAB 2</t>
  </si>
  <si>
    <t>TAB 7</t>
  </si>
  <si>
    <t>TAB 3</t>
  </si>
  <si>
    <t>TAB 4</t>
  </si>
  <si>
    <t>TAB 5-Part 1</t>
  </si>
  <si>
    <t>TAB 5-Part 1, Part 3</t>
  </si>
  <si>
    <t>TAB 5-Part 1, Part 2</t>
  </si>
  <si>
    <t>TAB 5-Part 1, Part 4</t>
  </si>
  <si>
    <t>TAB 8</t>
  </si>
  <si>
    <t xml:space="preserve">Part 1)  </t>
  </si>
  <si>
    <t xml:space="preserve">Part 2)  </t>
  </si>
  <si>
    <t>Cash not held by the Treasurer of Virginia:</t>
  </si>
  <si>
    <t>a)  Reported amount</t>
  </si>
  <si>
    <t xml:space="preserve">Part 3)  </t>
  </si>
  <si>
    <t>Operating Income (Loss)  (Linked)</t>
  </si>
  <si>
    <t>Depreciation and Amortization (Linked)</t>
  </si>
  <si>
    <t>Tab 2:  Receivables</t>
  </si>
  <si>
    <t>Tab 6:  Commitments</t>
  </si>
  <si>
    <t>Increase (Decrease) in Installment Purchase Obligation</t>
  </si>
  <si>
    <t>Increase (Decrease) in Bonds Payable</t>
  </si>
  <si>
    <t>Reconciliation of Cash and Cash Equivalents:</t>
  </si>
  <si>
    <t>Cash and Cash Equivalents (linked)</t>
  </si>
  <si>
    <t>Cash and Travel Advances (linked)</t>
  </si>
  <si>
    <t>Cash and Cash Equivalents per Statement of Cash Flows</t>
  </si>
  <si>
    <t>Notes</t>
  </si>
  <si>
    <t xml:space="preserve">       report the amount and bank balance for all of the applicable options below: </t>
  </si>
  <si>
    <t xml:space="preserve">1) The enterprise fund is compelled to take remediation action because pollution creates an imminent endangerment to public health or welfare or the environment, leaving it little or no discretion to avoid remediation action.  </t>
  </si>
  <si>
    <t>2) The enterprise fund is in violation of a pollution prevention-related permit or license, such as a Resource Conservation and Recovery Act permit or similar permits under state law.</t>
  </si>
  <si>
    <t>Other Non-operating Revenues (Expenses) - Total</t>
  </si>
  <si>
    <t>Cash Flows from Non-capital Financing Activities:</t>
  </si>
  <si>
    <t>Other Non-capital Financing Receipts - Description:</t>
  </si>
  <si>
    <t>Other Non-capital Financing Receipt Activities</t>
  </si>
  <si>
    <t>Other Non-capital Financing Disbursements - Description:</t>
  </si>
  <si>
    <t>Other Non-capital Financing Disbursement Activities</t>
  </si>
  <si>
    <t>Net Cash Provided by (Used for) Non-capital Financing Activities</t>
  </si>
  <si>
    <t>Miscellaneous Non-operating Income</t>
  </si>
  <si>
    <t>Non-cash Investing, Capital, and Financing Activities:</t>
  </si>
  <si>
    <t>Total Non-cash, Investing, Capital, and Financing Activities</t>
  </si>
  <si>
    <t>Cash Equivalents with the Treasurer (Securities Lending from DOA)</t>
  </si>
  <si>
    <t>Local Government Investment Pool (LGIP)</t>
  </si>
  <si>
    <t>Investments with the Treasurer  (Securities Lending from DOA)</t>
  </si>
  <si>
    <t>TAB 13</t>
  </si>
  <si>
    <t>Trade-ins of Used Capital Assets on New Capital Assets</t>
  </si>
  <si>
    <t>Amortized Cost - provided that fair value is not significantly affected by the impairment of the credit standing of the issuer or by other factors</t>
  </si>
  <si>
    <t>Due from Other State Agencies</t>
  </si>
  <si>
    <t>Which option does this enterprise fund follow?  (Enter an X in the appropriate box)</t>
  </si>
  <si>
    <t>10-75</t>
  </si>
  <si>
    <t>2-50</t>
  </si>
  <si>
    <t xml:space="preserve">Does the enterprise fund have any nonexchange transactions that are not recognizable because they are not measurable?   </t>
  </si>
  <si>
    <t>Construction-in-Progress</t>
  </si>
  <si>
    <t>Increase (Decrease) in Other Liabilities: due within one year</t>
  </si>
  <si>
    <t>Increase (Decrease) in Long-term Liabilities: due within one year</t>
  </si>
  <si>
    <t>Noncash Investing, Capital, and Financing Activities:</t>
  </si>
  <si>
    <t>Installment Purchases Used to Finance Capital Assets</t>
  </si>
  <si>
    <t>Trade-ins of Used Equipment on New Equipment</t>
  </si>
  <si>
    <t>Fixed Asset Addition Included in Accounts Payable</t>
  </si>
  <si>
    <t>Total Noncash, Investing, Capital, and Financing Activities</t>
  </si>
  <si>
    <t>Due from Other State Agencies, Net</t>
  </si>
  <si>
    <t xml:space="preserve">            iii)  Collateralized with securities held by the pledging financial institution's trust department or agent but not in the depositor-government's name</t>
  </si>
  <si>
    <r>
      <t xml:space="preserve">If </t>
    </r>
    <r>
      <rPr>
        <b/>
        <sz val="10"/>
        <rFont val="Times New Roman"/>
        <family val="1"/>
      </rPr>
      <t>yes</t>
    </r>
    <r>
      <rPr>
        <sz val="10"/>
        <rFont val="Times New Roman"/>
        <family val="1"/>
      </rPr>
      <t xml:space="preserve">, provide disclosure information below. If </t>
    </r>
    <r>
      <rPr>
        <b/>
        <sz val="10"/>
        <rFont val="Times New Roman"/>
        <family val="1"/>
      </rPr>
      <t>no</t>
    </r>
    <r>
      <rPr>
        <sz val="10"/>
        <rFont val="Times New Roman"/>
        <family val="1"/>
      </rPr>
      <t xml:space="preserve"> or </t>
    </r>
    <r>
      <rPr>
        <b/>
        <sz val="10"/>
        <rFont val="Times New Roman"/>
        <family val="1"/>
      </rPr>
      <t>n/a</t>
    </r>
    <r>
      <rPr>
        <sz val="10"/>
        <rFont val="Times New Roman"/>
        <family val="1"/>
      </rPr>
      <t>, leave the yellow box blank.</t>
    </r>
  </si>
  <si>
    <t xml:space="preserve">Taxes Receivable, Net </t>
  </si>
  <si>
    <t xml:space="preserve">Other Receivables, Net </t>
  </si>
  <si>
    <t>as Due From Other State Agencies.</t>
  </si>
  <si>
    <t>Cash Held with the Treasurer (GLA 101)</t>
  </si>
  <si>
    <t>Unearned Revenue</t>
  </si>
  <si>
    <t>Increase (Decrease) in Unearned Revenue</t>
  </si>
  <si>
    <t>Cash Equivalents not with the Treasurer</t>
  </si>
  <si>
    <t>Investments not with the Treasurer</t>
  </si>
  <si>
    <t>Agency Name:</t>
  </si>
  <si>
    <t>Nondepreciable Capital Assets</t>
  </si>
  <si>
    <t>ASSETS</t>
  </si>
  <si>
    <t>Due to Program Participants, Escrows, and Providers</t>
  </si>
  <si>
    <t>Lottery Jackpot Prizes Payable</t>
  </si>
  <si>
    <t>Other Long-Term Liabilities</t>
  </si>
  <si>
    <t>Restricted for Unemployment Insurance</t>
  </si>
  <si>
    <t>Restricted for Construction by Bond Resolutions</t>
  </si>
  <si>
    <t>Restricted for Capital Acquisitions</t>
  </si>
  <si>
    <t>Fines, Forfeitures, Court Fees, Penalties, and Escheats</t>
  </si>
  <si>
    <t>Taxes</t>
  </si>
  <si>
    <t>Grants and Distributions to Localities</t>
  </si>
  <si>
    <t>Gain (Loss) on Sale of Capital Assets</t>
  </si>
  <si>
    <t>Reed Act Receipts (Unemployment Compensation only)</t>
  </si>
  <si>
    <t>Special Items (include description)</t>
  </si>
  <si>
    <t>Extraordinary Items (include description)</t>
  </si>
  <si>
    <t>Receipts from Investments</t>
  </si>
  <si>
    <t>Payments to Providers for Non-recurring Cost Estimates (Wireless E-911)</t>
  </si>
  <si>
    <t>Payments for Interest</t>
  </si>
  <si>
    <t>Payments for Contractual Services</t>
  </si>
  <si>
    <t>Reed Act Receipts ( Unemployment Compensation)</t>
  </si>
  <si>
    <t>Receipts from Taxes</t>
  </si>
  <si>
    <t>Repayments of Advances/Contributions from the Commonwealth</t>
  </si>
  <si>
    <t>Accounts Receivable</t>
  </si>
  <si>
    <t>Loans Receivable</t>
  </si>
  <si>
    <t>Restricted for:</t>
  </si>
  <si>
    <t>(Increase) Decrease in Inventories</t>
  </si>
  <si>
    <t>(Increase) Decrease in Prepaid Items</t>
  </si>
  <si>
    <t>(Increase) Decrease in Receivables, Net</t>
  </si>
  <si>
    <t>Increase (Decrease) in Amounts Due to Other Governments</t>
  </si>
  <si>
    <t>Increase (Decrease) in Due to Other State Agencies</t>
  </si>
  <si>
    <t>Due to Other State Agencies</t>
  </si>
  <si>
    <t>Other Operating Expense - Description:</t>
  </si>
  <si>
    <t>Other Operating Revenue - Description:</t>
  </si>
  <si>
    <t>Fund Name:</t>
  </si>
  <si>
    <t>Short-Term Investments - Total</t>
  </si>
  <si>
    <t>Cash and Cash Equivalents - Total</t>
  </si>
  <si>
    <t>Receivables, Net - Total</t>
  </si>
  <si>
    <t>Investments - Total</t>
  </si>
  <si>
    <t>Other Assets - Total</t>
  </si>
  <si>
    <t>Other Liabilities - Total</t>
  </si>
  <si>
    <t>Long-Term Liabilities Due Within One Year - Total</t>
  </si>
  <si>
    <t xml:space="preserve"> Total Noncurrent Liabilities</t>
  </si>
  <si>
    <t>Long-Term Liabilities Due in More Than One Year - Total</t>
  </si>
  <si>
    <t>Other Assets Total</t>
  </si>
  <si>
    <t>Prizes and Claims Expense - Total</t>
  </si>
  <si>
    <t>Depreciation and Amortization - Total</t>
  </si>
  <si>
    <t>Other Operating Expenses - Total</t>
  </si>
  <si>
    <t>Interest, Dividends, Rents, and Other Investment Income - Total</t>
  </si>
  <si>
    <t>Other Nonoperating Revenues (Expenses) - Total</t>
  </si>
  <si>
    <t>The following transactions occurred prior to the Statement of Net Assets date:</t>
  </si>
  <si>
    <t>Balance</t>
  </si>
  <si>
    <t>Increases</t>
  </si>
  <si>
    <t>Decreases</t>
  </si>
  <si>
    <t>Nondepreciable Capital Assets:</t>
  </si>
  <si>
    <t>Land</t>
  </si>
  <si>
    <t>$</t>
  </si>
  <si>
    <t xml:space="preserve">    Total Nondepreciable Capital Assets</t>
  </si>
  <si>
    <t>Buildings</t>
  </si>
  <si>
    <t>Equipment</t>
  </si>
  <si>
    <t>Infrastructure</t>
  </si>
  <si>
    <t>Less Accumulated Depreciation for:</t>
  </si>
  <si>
    <t xml:space="preserve">    Buildings</t>
  </si>
  <si>
    <t xml:space="preserve">    Equipment</t>
  </si>
  <si>
    <t xml:space="preserve">    Infrastructure</t>
  </si>
  <si>
    <t xml:space="preserve">       Total Accumulated Depreciation</t>
  </si>
  <si>
    <t xml:space="preserve">   </t>
  </si>
  <si>
    <t xml:space="preserve">   Total Capital Assets, Net</t>
  </si>
  <si>
    <t xml:space="preserve">      Total Receivables, Gross</t>
  </si>
  <si>
    <t>Gross Amounts:</t>
  </si>
  <si>
    <t xml:space="preserve">Taxes Receivables </t>
  </si>
  <si>
    <t>Prior Year</t>
  </si>
  <si>
    <t xml:space="preserve">Other Receivables </t>
  </si>
  <si>
    <t xml:space="preserve">Due from Other State Agencies   </t>
  </si>
  <si>
    <t xml:space="preserve">       Total Receivables, Net</t>
  </si>
  <si>
    <t>Current Assets (converted to cash within one year):</t>
  </si>
  <si>
    <t>Noncurrent Assets (converted to cash in greater than one year):</t>
  </si>
  <si>
    <t>Current Liabilities (due within one year):</t>
  </si>
  <si>
    <t>Noncurrent Liabilities (due greater than one year):</t>
  </si>
  <si>
    <t>$ Amount</t>
  </si>
  <si>
    <t>YES</t>
  </si>
  <si>
    <t>NO</t>
  </si>
  <si>
    <t>Agency Number:</t>
  </si>
  <si>
    <t>amounts have been restated.</t>
  </si>
  <si>
    <t>Beginning Cash and Cash Equivalents Restatement:</t>
  </si>
  <si>
    <t>Tab 7: Miscellaneous</t>
  </si>
  <si>
    <t>Tab 8:  Restatements</t>
  </si>
  <si>
    <t>Total Cash and Cash Equivalents Balance-Beginning</t>
  </si>
  <si>
    <t>Total Cash and Cash Equivalents Balance-Ending</t>
  </si>
  <si>
    <t>Cash Equivalents with the Treasurer (Securities Lending from Treasury)</t>
  </si>
  <si>
    <t>Cash Equivalents with the Treasurer -Other</t>
  </si>
  <si>
    <t>Ending Cash and Cash Equivalents Balance per Prior Year's Financial Statements</t>
  </si>
  <si>
    <t>Statement of Cash Flows- Part 2</t>
  </si>
  <si>
    <t>Change in Fair Value of Investments (Required by GASBS No. 31)</t>
  </si>
  <si>
    <t>Statement of Cash Flows-Part 1</t>
  </si>
  <si>
    <t>Total</t>
  </si>
  <si>
    <t>Principal</t>
  </si>
  <si>
    <t>Maturity Fiscal Year Ended June 30:</t>
  </si>
  <si>
    <t>Interest</t>
  </si>
  <si>
    <t>Less: Unamortized Discount (negative amount)</t>
  </si>
  <si>
    <t>Less: Discount Unaccreted Capital Appreciation Bonds (negative amount)</t>
  </si>
  <si>
    <t>Issuances and Other Increases</t>
  </si>
  <si>
    <t>Due Within One Year</t>
  </si>
  <si>
    <t>Retirements and Other Decreases (negative $)</t>
  </si>
  <si>
    <t xml:space="preserve">    Total</t>
  </si>
  <si>
    <t>(positive $)</t>
  </si>
  <si>
    <t>(negative $)</t>
  </si>
  <si>
    <t>Part 2:  Installment Purchase Obligations:</t>
  </si>
  <si>
    <t>Enterprise Funds - Conversion to Government-wide Statement of Activities</t>
  </si>
  <si>
    <t xml:space="preserve"> Identifiable Segment</t>
  </si>
  <si>
    <t>Expenses</t>
  </si>
  <si>
    <t>Template</t>
  </si>
  <si>
    <t>Due to External Parties (Fiduciary Funds)</t>
  </si>
  <si>
    <t>Row</t>
  </si>
  <si>
    <t>Operating Grants and Contracts</t>
  </si>
  <si>
    <t>Capital Grants and Contracts</t>
  </si>
  <si>
    <t>Securities Lending Transactions</t>
  </si>
  <si>
    <t xml:space="preserve">Total </t>
  </si>
  <si>
    <t>Insurance Recoveries</t>
  </si>
  <si>
    <t>Taxes:</t>
  </si>
  <si>
    <t>Dollar Amount:</t>
  </si>
  <si>
    <t>Grants, Entitlements, and Contributions Not Restricted to Specific Programs</t>
  </si>
  <si>
    <t>Miscellaneous</t>
  </si>
  <si>
    <t>Special Items</t>
  </si>
  <si>
    <t>Extraordinary Items</t>
  </si>
  <si>
    <t>Payments from the Commonwealth</t>
  </si>
  <si>
    <r>
      <t>GASBS No. 20</t>
    </r>
    <r>
      <rPr>
        <sz val="12"/>
        <rFont val="Times New Roman"/>
        <family val="1"/>
      </rPr>
      <t xml:space="preserve">, </t>
    </r>
    <r>
      <rPr>
        <i/>
        <sz val="12"/>
        <rFont val="Times New Roman"/>
        <family val="1"/>
      </rPr>
      <t>Accounting and Financial Reporting for Proprietary Funds and Other Governmental Entities That Use Proprietary Fund Accounting</t>
    </r>
  </si>
  <si>
    <t>Option</t>
  </si>
  <si>
    <t>Tab 13: Cash Flow Analysis</t>
  </si>
  <si>
    <t>Tab 4-Due to Other Agy or Funds</t>
  </si>
  <si>
    <t>Other Noncapital Financing Receipts - Description:</t>
  </si>
  <si>
    <t>Other Noncapital Financing Disbursements - Description:</t>
  </si>
  <si>
    <t>Other Capital &amp; Related Financing Receipts - Description:</t>
  </si>
  <si>
    <t>Other Capital &amp; Related Financing Disbursements - Description:</t>
  </si>
  <si>
    <t>Other - Description:</t>
  </si>
  <si>
    <t>TAB 8 &amp; 14</t>
  </si>
  <si>
    <t>Agency Mortgage Backed Securities</t>
  </si>
  <si>
    <t>Agency Unsecured Bonds and Notes</t>
  </si>
  <si>
    <t>TAB 10 &amp; 14</t>
  </si>
  <si>
    <t>Tab 13-Cash Flow Analysis</t>
  </si>
  <si>
    <t>Tab 14-Fund Conversion</t>
  </si>
  <si>
    <t>L</t>
  </si>
  <si>
    <t>M</t>
  </si>
  <si>
    <t>O</t>
  </si>
  <si>
    <t>P</t>
  </si>
  <si>
    <t>Q</t>
  </si>
  <si>
    <t>R</t>
  </si>
  <si>
    <t>S</t>
  </si>
  <si>
    <t>T</t>
  </si>
  <si>
    <t>U</t>
  </si>
  <si>
    <t>V</t>
  </si>
  <si>
    <t>W</t>
  </si>
  <si>
    <t>X</t>
  </si>
  <si>
    <t>Y</t>
  </si>
  <si>
    <t>Z</t>
  </si>
  <si>
    <t>N</t>
  </si>
  <si>
    <t>Other Intangibles</t>
  </si>
  <si>
    <t>Computer Software (including websites)</t>
  </si>
  <si>
    <t>SNAP not with the Treasurer</t>
  </si>
  <si>
    <t>Date:</t>
  </si>
  <si>
    <t>Other Debt Securities</t>
  </si>
  <si>
    <r>
      <t xml:space="preserve">See </t>
    </r>
    <r>
      <rPr>
        <b/>
        <u/>
        <sz val="8"/>
        <color indexed="10"/>
        <rFont val="Times New Roman"/>
        <family val="1"/>
      </rPr>
      <t>Note A</t>
    </r>
    <r>
      <rPr>
        <b/>
        <sz val="8"/>
        <color indexed="10"/>
        <rFont val="Times New Roman"/>
        <family val="1"/>
      </rPr>
      <t>, below</t>
    </r>
  </si>
  <si>
    <r>
      <t xml:space="preserve">See </t>
    </r>
    <r>
      <rPr>
        <b/>
        <u/>
        <sz val="8"/>
        <color indexed="10"/>
        <rFont val="Times New Roman"/>
        <family val="1"/>
      </rPr>
      <t>Note B</t>
    </r>
    <r>
      <rPr>
        <b/>
        <sz val="8"/>
        <color indexed="10"/>
        <rFont val="Times New Roman"/>
        <family val="1"/>
      </rPr>
      <t>, below</t>
    </r>
  </si>
  <si>
    <t>Other Liabilities Due Within One Year - Total</t>
  </si>
  <si>
    <t>Prepared by:</t>
  </si>
  <si>
    <t>Name</t>
  </si>
  <si>
    <t>Title</t>
  </si>
  <si>
    <t>Reviewed by:</t>
  </si>
  <si>
    <t>Provide an explanation if the reported amount is negative</t>
  </si>
  <si>
    <t>Part 11)</t>
  </si>
  <si>
    <t>Description</t>
  </si>
  <si>
    <t>Cash Flow Statement</t>
  </si>
  <si>
    <t xml:space="preserve">Acquisition of Capital Assets (Cash Flows from Capital and Related Financing Activities) </t>
  </si>
  <si>
    <t>Linked</t>
  </si>
  <si>
    <t xml:space="preserve">Installment Purchases Used to Finance Capital Assets </t>
  </si>
  <si>
    <t xml:space="preserve">Trade-ins of Used Capital Asset on New Capital Asset </t>
  </si>
  <si>
    <t>Capital Asset Footnote</t>
  </si>
  <si>
    <r>
      <t xml:space="preserve">B) </t>
    </r>
    <r>
      <rPr>
        <b/>
        <sz val="8"/>
        <rFont val="Times New Roman"/>
        <family val="1"/>
      </rPr>
      <t>Impairment Test</t>
    </r>
    <r>
      <rPr>
        <sz val="8"/>
        <rFont val="Times New Roman"/>
        <family val="1"/>
      </rPr>
      <t xml:space="preserve">:  If </t>
    </r>
    <r>
      <rPr>
        <b/>
        <sz val="8"/>
        <rFont val="Times New Roman"/>
        <family val="1"/>
      </rPr>
      <t>yes</t>
    </r>
    <r>
      <rPr>
        <sz val="8"/>
        <rFont val="Times New Roman"/>
        <family val="1"/>
      </rPr>
      <t xml:space="preserve"> to A, are the following two factors present:</t>
    </r>
  </si>
  <si>
    <r>
      <t xml:space="preserve">         If </t>
    </r>
    <r>
      <rPr>
        <b/>
        <sz val="8"/>
        <rFont val="Times New Roman"/>
        <family val="1"/>
      </rPr>
      <t>yes</t>
    </r>
    <r>
      <rPr>
        <sz val="8"/>
        <rFont val="Times New Roman"/>
        <family val="1"/>
      </rPr>
      <t xml:space="preserve">, go to C.  If </t>
    </r>
    <r>
      <rPr>
        <b/>
        <sz val="8"/>
        <rFont val="Times New Roman"/>
        <family val="1"/>
      </rPr>
      <t>no</t>
    </r>
    <r>
      <rPr>
        <sz val="8"/>
        <rFont val="Times New Roman"/>
        <family val="1"/>
      </rPr>
      <t>, proceed to next financial statement template footnote tab.</t>
    </r>
  </si>
  <si>
    <t>Increase (Decrease) in Due to External Parties (Fiduciary Funds)</t>
  </si>
  <si>
    <r>
      <t xml:space="preserve">C) </t>
    </r>
    <r>
      <rPr>
        <b/>
        <sz val="8"/>
        <rFont val="Times New Roman"/>
        <family val="1"/>
      </rPr>
      <t>Permanent Impairment</t>
    </r>
    <r>
      <rPr>
        <sz val="8"/>
        <rFont val="Times New Roman"/>
        <family val="1"/>
      </rPr>
      <t xml:space="preserve">:  If </t>
    </r>
    <r>
      <rPr>
        <b/>
        <sz val="8"/>
        <rFont val="Times New Roman"/>
        <family val="1"/>
      </rPr>
      <t xml:space="preserve">yes </t>
    </r>
    <r>
      <rPr>
        <sz val="8"/>
        <rFont val="Times New Roman"/>
        <family val="1"/>
      </rPr>
      <t>to A and B, is this considered a permanent impairment?</t>
    </r>
  </si>
  <si>
    <r>
      <t xml:space="preserve">        If </t>
    </r>
    <r>
      <rPr>
        <b/>
        <sz val="8"/>
        <rFont val="Times New Roman"/>
        <family val="1"/>
      </rPr>
      <t>yes</t>
    </r>
    <r>
      <rPr>
        <sz val="8"/>
        <rFont val="Times New Roman"/>
        <family val="1"/>
      </rPr>
      <t xml:space="preserve">, go to D.  If </t>
    </r>
    <r>
      <rPr>
        <b/>
        <sz val="8"/>
        <rFont val="Times New Roman"/>
        <family val="1"/>
      </rPr>
      <t>no</t>
    </r>
    <r>
      <rPr>
        <sz val="8"/>
        <rFont val="Times New Roman"/>
        <family val="1"/>
      </rPr>
      <t>, go to Part 3.2.</t>
    </r>
  </si>
  <si>
    <r>
      <t xml:space="preserve">D) </t>
    </r>
    <r>
      <rPr>
        <b/>
        <sz val="8"/>
        <rFont val="Times New Roman"/>
        <family val="1"/>
      </rPr>
      <t>Financial Statement Template (FST) Reporting &amp; Footnote Disclosure</t>
    </r>
    <r>
      <rPr>
        <sz val="8"/>
        <rFont val="Times New Roman"/>
        <family val="1"/>
      </rPr>
      <t xml:space="preserve">:  If </t>
    </r>
    <r>
      <rPr>
        <b/>
        <sz val="8"/>
        <rFont val="Times New Roman"/>
        <family val="1"/>
      </rPr>
      <t>yes</t>
    </r>
    <r>
      <rPr>
        <sz val="8"/>
        <rFont val="Times New Roman"/>
        <family val="1"/>
      </rPr>
      <t xml:space="preserve"> to A, B, and C, has the impairment loss</t>
    </r>
  </si>
  <si>
    <r>
      <t xml:space="preserve">If </t>
    </r>
    <r>
      <rPr>
        <b/>
        <sz val="8"/>
        <rFont val="Times New Roman"/>
        <family val="1"/>
      </rPr>
      <t>no</t>
    </r>
    <r>
      <rPr>
        <sz val="8"/>
        <rFont val="Times New Roman"/>
        <family val="1"/>
      </rPr>
      <t xml:space="preserve">, provide explanation and then go to Part 3.2.  </t>
    </r>
  </si>
  <si>
    <r>
      <t xml:space="preserve">If </t>
    </r>
    <r>
      <rPr>
        <b/>
        <sz val="8"/>
        <rFont val="Times New Roman"/>
        <family val="1"/>
      </rPr>
      <t>yes,</t>
    </r>
    <r>
      <rPr>
        <sz val="8"/>
        <rFont val="Times New Roman"/>
        <family val="1"/>
      </rPr>
      <t xml:space="preserve"> provide the carrying amount of capital assets that are idle at year-end.</t>
    </r>
  </si>
  <si>
    <t>payments are funded with U.S. Treasury STRIPS purchased by the Virginia Lottery. For-Life prizes payable represent estimated prizes</t>
  </si>
  <si>
    <t>Long-term Liability Footnote</t>
  </si>
  <si>
    <t>Agency 149 - Health Insurance Fund</t>
  </si>
  <si>
    <t xml:space="preserve">  Noncurrent:</t>
  </si>
  <si>
    <t>Total Due to Other Funds-Noncurrent</t>
  </si>
  <si>
    <t>Note *: If not legally restricted for a specific program.</t>
  </si>
  <si>
    <t>Agency 711 - VA Correctional Enterprises</t>
  </si>
  <si>
    <t>Agency 194 - Fleet Mgmt</t>
  </si>
  <si>
    <t>Agency 194 - Property Mgmt</t>
  </si>
  <si>
    <t>Agency 194 - General Services</t>
  </si>
  <si>
    <t>Other Equity Securities</t>
  </si>
  <si>
    <t>DEBT</t>
  </si>
  <si>
    <t>EQUITY</t>
  </si>
  <si>
    <t>TAB 1A-Part 4</t>
  </si>
  <si>
    <t>TAB 1A-Part 5</t>
  </si>
  <si>
    <t>Per Statement of Cash Flow (Linked)</t>
  </si>
  <si>
    <t>Difference</t>
  </si>
  <si>
    <t>Explanation for Difference</t>
  </si>
  <si>
    <t>Increase (Decrease) in Other Long-Term Liabilities</t>
  </si>
  <si>
    <t>(Increase) Decrease in Interfund Receivable</t>
  </si>
  <si>
    <t>Average Cost</t>
  </si>
  <si>
    <t>Cost</t>
  </si>
  <si>
    <t>Current Market Cost</t>
  </si>
  <si>
    <t>Method used to determine value</t>
  </si>
  <si>
    <t>Virginia Employment Commission</t>
  </si>
  <si>
    <t>General description of inventory on hand</t>
  </si>
  <si>
    <t>Cost used to determine value</t>
  </si>
  <si>
    <t>Lower of Cost or Market</t>
  </si>
  <si>
    <t>Inventory</t>
  </si>
  <si>
    <t>Enterprise</t>
  </si>
  <si>
    <t>Internal Service</t>
  </si>
  <si>
    <t xml:space="preserve">List the fair value of those investments reported as cash equivalents and investments NOT with the Treasurer of </t>
  </si>
  <si>
    <t>For Life</t>
  </si>
  <si>
    <t>Due within one year</t>
  </si>
  <si>
    <t>Due in subsequent years</t>
  </si>
  <si>
    <t>Total (present value)</t>
  </si>
  <si>
    <t>Add: Interest to Maturity</t>
  </si>
  <si>
    <t>Lottery Prizes Payable at Maturity</t>
  </si>
  <si>
    <t>Local Government Investment Pool</t>
  </si>
  <si>
    <t>Historical Treasures</t>
  </si>
  <si>
    <t>Intangible Assets with Indefinite Useful Life (GASBS 51)</t>
  </si>
  <si>
    <t>Provide useful life range</t>
  </si>
  <si>
    <t>12e</t>
  </si>
  <si>
    <t>Patents / Trademarks / Copyrights</t>
  </si>
  <si>
    <t>Water Rights and/or Easements</t>
  </si>
  <si>
    <t>Other Intangibles - provide description</t>
  </si>
  <si>
    <t>Local Government Investment Pool (DOA LGIP Investment AJE)</t>
  </si>
  <si>
    <t>Less:</t>
  </si>
  <si>
    <t>Securities Lending Cash Equivalent</t>
  </si>
  <si>
    <t>Cash and Cash Equivalents per the Statement of Cash Flows</t>
  </si>
  <si>
    <t>Salary/Wages Payable</t>
  </si>
  <si>
    <t>Total Accounts Payable</t>
  </si>
  <si>
    <t>Interest Receivable</t>
  </si>
  <si>
    <t>Part 1)  Schedule of Changes in Capital Assets</t>
  </si>
  <si>
    <t>Part 1a)  Comparison of Beginning Balances to Prior Year's Ending Balances</t>
  </si>
  <si>
    <t>Part 2) Capital Asset Capitalization Policy</t>
  </si>
  <si>
    <t>(linked)</t>
  </si>
  <si>
    <t xml:space="preserve">Prior </t>
  </si>
  <si>
    <t>Year's Ending</t>
  </si>
  <si>
    <t>Differences</t>
  </si>
  <si>
    <t>For differences, provide explanation for the restatement.</t>
  </si>
  <si>
    <t>(provide explanations below)</t>
  </si>
  <si>
    <t>Lottery prizes are paid in 20, 25, 26, or 30 installments. The first installment is paid on the day the prize is claimed. The subsequent annual</t>
  </si>
  <si>
    <t>payable monthly, quarterly or annually for the life of the winner based on life expectancy tables from the Virginia Bureau of Insurance, and</t>
  </si>
  <si>
    <t xml:space="preserve">funded with a pool of U.S. Treasury STRIPS. </t>
  </si>
  <si>
    <t>CHECK FIGURE</t>
  </si>
  <si>
    <t>TAB 5-Part 1, Part 5</t>
  </si>
  <si>
    <t>TAB 11</t>
  </si>
  <si>
    <t>Lottery</t>
  </si>
  <si>
    <r>
      <t>Allowance for Doubtful Accounts</t>
    </r>
    <r>
      <rPr>
        <sz val="8"/>
        <rFont val="Times New Roman"/>
        <family val="1"/>
      </rPr>
      <t xml:space="preserve"> (Enter as a negative):</t>
    </r>
  </si>
  <si>
    <t>Step 4</t>
  </si>
  <si>
    <t>Step 3</t>
  </si>
  <si>
    <t>Agency Contact Name:</t>
  </si>
  <si>
    <t>Agency Contact Phone Number:</t>
  </si>
  <si>
    <t>Date Completed:</t>
  </si>
  <si>
    <t>Vendor Payments Payable</t>
  </si>
  <si>
    <t>Retainage Payable</t>
  </si>
  <si>
    <t>Other Payables</t>
  </si>
  <si>
    <t>Are the following statements correct?</t>
  </si>
  <si>
    <t>Yes</t>
  </si>
  <si>
    <t>No</t>
  </si>
  <si>
    <t>N/A</t>
  </si>
  <si>
    <t>Step 1</t>
  </si>
  <si>
    <t>Other Receivables, Net - Description:</t>
  </si>
  <si>
    <t>Other Assets - Description:</t>
  </si>
  <si>
    <t>Other Payables - Description:</t>
  </si>
  <si>
    <t>Other Liabilities - Description:</t>
  </si>
  <si>
    <t>Other Long-term Liabilities - Description:</t>
  </si>
  <si>
    <t>3) The enterprise fund is named, or evidence indicates that it will be named, by a regulator as a responsible party or potentially responsible party for remediation, or as an enterprise responsible for sharing costs.</t>
  </si>
  <si>
    <t>4) The enterprise fund is named, or evidence indicates that it will be named, in a lawsuit to compel your enterprise fund to participate in remediation.</t>
  </si>
  <si>
    <t xml:space="preserve">5) The enterprise fund commences, or legally obligates itself to commence, cleanup activities or monitoring or operation and maintenance of the remediation effort.  If these activities are voluntarily commenced and none of the other obligating events have occurred relative to the entire site, the amount recognized should be based on the portion of the remediation project that your enterprise fund has initiated and is legally required to complete. </t>
  </si>
  <si>
    <t xml:space="preserve">and investments of state and local governments.”  With this in mind, please provide a description of any other type of risk to cash, cash equivalents, </t>
  </si>
  <si>
    <t>Financial Statement Template Revisions</t>
  </si>
  <si>
    <t>Total Due from Other State Agencies</t>
  </si>
  <si>
    <t>Total Due from Other Funds</t>
  </si>
  <si>
    <t>FIFO</t>
  </si>
  <si>
    <t>LIFO</t>
  </si>
  <si>
    <t>Weighted Average</t>
  </si>
  <si>
    <t>Enterprise Template</t>
  </si>
  <si>
    <t>Tab 2-Receivables</t>
  </si>
  <si>
    <t>Tab 1D-GASB 31</t>
  </si>
  <si>
    <t>Tab 3-Capital Assets</t>
  </si>
  <si>
    <t>Tab 5-LT Liabilities</t>
  </si>
  <si>
    <t>Tab 6-Commitments</t>
  </si>
  <si>
    <t xml:space="preserve">at amortized cost.  A "no" answer to these questions would indicate that these types of investments are reported </t>
  </si>
  <si>
    <r>
      <t xml:space="preserve">If </t>
    </r>
    <r>
      <rPr>
        <b/>
        <sz val="8"/>
        <rFont val="Times New Roman"/>
        <family val="1"/>
      </rPr>
      <t>no</t>
    </r>
    <r>
      <rPr>
        <sz val="8"/>
        <rFont val="Times New Roman"/>
        <family val="1"/>
      </rPr>
      <t xml:space="preserve">, explain the discrepancies in the yellow box below. </t>
    </r>
  </si>
  <si>
    <t>Tab 7-Miscellaneous</t>
  </si>
  <si>
    <t>Tab 8-Restatements</t>
  </si>
  <si>
    <t>Step 2</t>
  </si>
  <si>
    <t>Total Beginning Cash and Cash Equivalents Balance per the Current Year's Financial Statement Template</t>
  </si>
  <si>
    <t>Revision Date</t>
  </si>
  <si>
    <t>Tab Name</t>
  </si>
  <si>
    <t>Other Liabilities Due in More Than One Year - Total</t>
  </si>
  <si>
    <t>Long-term debt line item possibly related to capital assets</t>
  </si>
  <si>
    <t>Explanation of the Difference</t>
  </si>
  <si>
    <t>Per F/S Template (Linked)</t>
  </si>
  <si>
    <t>#</t>
  </si>
  <si>
    <t xml:space="preserve">Reported as </t>
  </si>
  <si>
    <t>1a)</t>
  </si>
  <si>
    <t xml:space="preserve">Increase (Decrease) in Unearned Revenue </t>
  </si>
  <si>
    <t>Impairment loss $  (before netting with insurance recovery)</t>
  </si>
  <si>
    <t>Is the method and cost used to determine value consistent with that used in the previous fiscal year?</t>
  </si>
  <si>
    <t>1a</t>
  </si>
  <si>
    <t>1b</t>
  </si>
  <si>
    <t>If the option chosen is not consistent with the prior year, provide disclosure information related to the restatement in box below.</t>
  </si>
  <si>
    <t>Nonoperating Revenue - Insurance Recoveries</t>
  </si>
  <si>
    <t xml:space="preserve">Tab 9:  Unearned Revenue </t>
  </si>
  <si>
    <t>Investment Earnings*</t>
  </si>
  <si>
    <r>
      <t>Intangible Assets (</t>
    </r>
    <r>
      <rPr>
        <b/>
        <u/>
        <sz val="8"/>
        <rFont val="Times New Roman"/>
        <family val="1"/>
      </rPr>
      <t>GASBS No. 51</t>
    </r>
    <r>
      <rPr>
        <sz val="8"/>
        <rFont val="Times New Roman"/>
        <family val="1"/>
      </rPr>
      <t>)</t>
    </r>
  </si>
  <si>
    <r>
      <t>Note a</t>
    </r>
    <r>
      <rPr>
        <sz val="8"/>
        <rFont val="Times New Roman"/>
        <family val="1"/>
      </rPr>
      <t xml:space="preserve">:  Per </t>
    </r>
    <r>
      <rPr>
        <b/>
        <u/>
        <sz val="8"/>
        <rFont val="Times New Roman"/>
        <family val="1"/>
      </rPr>
      <t>GASBS No. 42</t>
    </r>
    <r>
      <rPr>
        <sz val="8"/>
        <rFont val="Times New Roman"/>
        <family val="1"/>
      </rPr>
      <t xml:space="preserve"> paragraph 21, if insurance recoveries are in the same year as the impairment loss, the impairment loss should </t>
    </r>
  </si>
  <si>
    <r>
      <t>Note b</t>
    </r>
    <r>
      <rPr>
        <sz val="8"/>
        <rFont val="Times New Roman"/>
        <family val="1"/>
      </rPr>
      <t xml:space="preserve">:  Per </t>
    </r>
    <r>
      <rPr>
        <b/>
        <u/>
        <sz val="8"/>
        <rFont val="Times New Roman"/>
        <family val="1"/>
      </rPr>
      <t>GASBS No. 42</t>
    </r>
    <r>
      <rPr>
        <sz val="8"/>
        <rFont val="Times New Roman"/>
        <family val="1"/>
      </rPr>
      <t xml:space="preserve"> paragraph 17-footnote 6, reporting impairment losses applies to insured impairments that result in an accounting gain.</t>
    </r>
  </si>
  <si>
    <t>Was donated inventory received during the fiscal year?</t>
  </si>
  <si>
    <t>Cost-based measure - provided that the fair value is not significantly affected by the impairment of the credit standing of the issuer or other factors</t>
  </si>
  <si>
    <t>1b)</t>
  </si>
  <si>
    <t>Amortized Cost - provided that the fair value is not significantly affected by the impairment of the credit standing of the issuer or by other factors</t>
  </si>
  <si>
    <t>1c)</t>
  </si>
  <si>
    <t>Participating interest-earning investment contracts with a remaining maturity at the time of purchase of one year or less</t>
  </si>
  <si>
    <t>1d)</t>
  </si>
  <si>
    <t>1e)</t>
  </si>
  <si>
    <t>1f)</t>
  </si>
  <si>
    <t>1g)</t>
  </si>
  <si>
    <t>All other investments</t>
  </si>
  <si>
    <t>Fair Value</t>
  </si>
  <si>
    <t>* N/A -  Not applicable because the institution does not have this type of investment.</t>
  </si>
  <si>
    <t xml:space="preserve">at fair value rather than amortized cost. </t>
  </si>
  <si>
    <t>Per This Tab (Linked)</t>
  </si>
  <si>
    <t xml:space="preserve">  Other Long-term Liabilities</t>
  </si>
  <si>
    <t>Row Number</t>
  </si>
  <si>
    <t>Column Letter</t>
  </si>
  <si>
    <t>Previous Information</t>
  </si>
  <si>
    <t>Revised Information</t>
  </si>
  <si>
    <t>Yes or No</t>
  </si>
  <si>
    <r>
      <t xml:space="preserve">         Is the decline in service utility of the capital asset significant </t>
    </r>
    <r>
      <rPr>
        <b/>
        <sz val="8"/>
        <rFont val="Times New Roman"/>
        <family val="1"/>
      </rPr>
      <t>and</t>
    </r>
    <r>
      <rPr>
        <sz val="8"/>
        <rFont val="Times New Roman"/>
        <family val="1"/>
      </rPr>
      <t xml:space="preserve"> unexpected?</t>
    </r>
  </si>
  <si>
    <t>Program Revenues and Expenses:</t>
  </si>
  <si>
    <t>General Revenues:</t>
  </si>
  <si>
    <t>Transfers and Other Items:</t>
  </si>
  <si>
    <t>Financial Statement Template line item:</t>
  </si>
  <si>
    <t>Special Item</t>
  </si>
  <si>
    <t>Extraordinary Item</t>
  </si>
  <si>
    <t xml:space="preserve">be reported net of the associated insurance recovery.  </t>
  </si>
  <si>
    <t>Part 3.2) Idle Capital Assets - Temporarily or Permanently Impaired</t>
  </si>
  <si>
    <t>Check Figures</t>
  </si>
  <si>
    <t>A)  Footnote Disclosure:  Does this fund have any idle capital assets at year-end that are temporarily or permanently impaired?</t>
  </si>
  <si>
    <t>Permanently Impaired Capital Assets</t>
  </si>
  <si>
    <t>Temporarily Impaired Capital Assets</t>
  </si>
  <si>
    <t>Program Revenue - Operating Grants and Contributions</t>
  </si>
  <si>
    <t>Program Revenue - Capital Grants and Contributions</t>
  </si>
  <si>
    <t>drop-down list</t>
  </si>
  <si>
    <t>Description of insurance recoveries:</t>
  </si>
  <si>
    <t>Financial Statement Template line items:</t>
  </si>
  <si>
    <t xml:space="preserve"> $ Amount</t>
  </si>
  <si>
    <t>Conversion to Government-wide Statement of Activities line items:</t>
  </si>
  <si>
    <t>Statement of Revenues, Expenses and Changes in Fund Net Assets</t>
  </si>
  <si>
    <t>B</t>
  </si>
  <si>
    <t>C</t>
  </si>
  <si>
    <t>D</t>
  </si>
  <si>
    <t>E</t>
  </si>
  <si>
    <t>F</t>
  </si>
  <si>
    <t>G</t>
  </si>
  <si>
    <t>H</t>
  </si>
  <si>
    <t>I</t>
  </si>
  <si>
    <t>J</t>
  </si>
  <si>
    <t>Non-recurring Cost Estimate Payments to Providers (Wireless E-911)</t>
  </si>
  <si>
    <t>A</t>
  </si>
  <si>
    <t>Transfers In</t>
  </si>
  <si>
    <t xml:space="preserve">Transfers Out </t>
  </si>
  <si>
    <t>Total Receivables
as shown on the 
F/S Template</t>
  </si>
  <si>
    <t>Are there any contingent liabilities that should be disclosed?</t>
  </si>
  <si>
    <t>Other Disclosures:  Contingent Liabilities</t>
  </si>
  <si>
    <t>Department for the Blind and Vision Impaired</t>
  </si>
  <si>
    <t>Unemployment Compensation</t>
  </si>
  <si>
    <t>Tab 1B-CE &amp; Inv Not W Tr</t>
  </si>
  <si>
    <t>Other Disclosures:  Subsequent Events</t>
  </si>
  <si>
    <t>Investments with the Treasurer  (Securities Lending from Treasury)</t>
  </si>
  <si>
    <t>Investments with the Treasurer - Other</t>
  </si>
  <si>
    <t>Advances (nonexchange transactions)</t>
  </si>
  <si>
    <t xml:space="preserve"> The estimated lives of capital assets are as follows:</t>
  </si>
  <si>
    <t>5-50</t>
  </si>
  <si>
    <t>Years</t>
  </si>
  <si>
    <t>Cash Not with the Treasurer</t>
  </si>
  <si>
    <t>Due from Other Funds</t>
  </si>
  <si>
    <t>Total Due to Other State Agencies</t>
  </si>
  <si>
    <t>it should be reported as Due to State Agencies.</t>
  </si>
  <si>
    <t xml:space="preserve">  Current:</t>
  </si>
  <si>
    <t xml:space="preserve">            i)    Uncollateralized</t>
  </si>
  <si>
    <t xml:space="preserve">            ii)   Collateralized with securities held by the pledging financial institution</t>
  </si>
  <si>
    <r>
      <t>Note</t>
    </r>
    <r>
      <rPr>
        <b/>
        <sz val="8"/>
        <rFont val="Times New Roman"/>
        <family val="1"/>
      </rPr>
      <t>:</t>
    </r>
    <r>
      <rPr>
        <sz val="8"/>
        <rFont val="Times New Roman"/>
        <family val="1"/>
      </rPr>
      <t xml:space="preserve">  Provide amounts by fund below. If the amount represents a due to another agency </t>
    </r>
  </si>
  <si>
    <t>Total Due to Other Funds-Current</t>
  </si>
  <si>
    <t>Total Transfers In</t>
  </si>
  <si>
    <t>Total Transfers Out</t>
  </si>
  <si>
    <t>Tab 11-Transfers</t>
  </si>
  <si>
    <t>Interfund Receivable</t>
  </si>
  <si>
    <t>Inventories</t>
  </si>
  <si>
    <t>Prepaid Items</t>
  </si>
  <si>
    <t>Cash and Travel Advances</t>
  </si>
  <si>
    <t>Other Assets</t>
  </si>
  <si>
    <t>Unamortized Bond Issuance Expense</t>
  </si>
  <si>
    <t>Total Current Assets</t>
  </si>
  <si>
    <t>Total Noncurrent Assets</t>
  </si>
  <si>
    <t>TOTAL ASSETS</t>
  </si>
  <si>
    <t>LIABILITIES</t>
  </si>
  <si>
    <t>Amounts Due to Other Governments</t>
  </si>
  <si>
    <t>Due to Other Funds</t>
  </si>
  <si>
    <t>Interfund Payable</t>
  </si>
  <si>
    <t>Obligations Under Securities Lending Program</t>
  </si>
  <si>
    <t>Accrued Interest Payable</t>
  </si>
  <si>
    <t>K</t>
  </si>
  <si>
    <t>Reference to Tabs that must be completed</t>
  </si>
  <si>
    <t>Virginia College Savings Plan</t>
  </si>
  <si>
    <t>Total Capital Assets</t>
  </si>
  <si>
    <t xml:space="preserve">  Installment Purchase Obligations</t>
  </si>
  <si>
    <t xml:space="preserve">  Bonds Payable</t>
  </si>
  <si>
    <t>Department of Alcoholic Beverage Control</t>
  </si>
  <si>
    <t>Risk Management</t>
  </si>
  <si>
    <t>Provide an explanation of the unearned revenue balance.</t>
  </si>
  <si>
    <t>Tab 9-Unearned Revenue</t>
  </si>
  <si>
    <t>Local Choice Health Care</t>
  </si>
  <si>
    <t>Virginia Industries for the Blind</t>
  </si>
  <si>
    <t>eVA Procurement System</t>
  </si>
  <si>
    <t>Department of Environmental Quality - Title V</t>
  </si>
  <si>
    <t>Wireless E-911 Service Board</t>
  </si>
  <si>
    <t>Virginia Museum of Fine Arts</t>
  </si>
  <si>
    <t>Science Museum of Virginia</t>
  </si>
  <si>
    <t>Alcoholic Beverage</t>
  </si>
  <si>
    <t>Gift Shop</t>
  </si>
  <si>
    <t>DGS - Consolidated Laboratory</t>
  </si>
  <si>
    <t>Consolidated Laboratory</t>
  </si>
  <si>
    <t>DGS - eVA Procurement System</t>
  </si>
  <si>
    <t>Total Liabilities</t>
  </si>
  <si>
    <t>Tab 3 - Capital Assets Information</t>
  </si>
  <si>
    <t>TAB 1A-Part 2 &amp; 3</t>
  </si>
  <si>
    <t>Expendable Equipment / Improvements</t>
  </si>
  <si>
    <t>Advances / Contributions from the Commonwealth</t>
  </si>
  <si>
    <t>Repayments of Advances / Contributions from the Commonwealth</t>
  </si>
  <si>
    <t>Acquisition of Capital Assets</t>
  </si>
  <si>
    <t>Due in Greater Than One Year</t>
  </si>
  <si>
    <t>Program Revenues - Identifiable Segments</t>
  </si>
  <si>
    <t>ABC</t>
  </si>
  <si>
    <t>Local Choice</t>
  </si>
  <si>
    <t>Unemployment</t>
  </si>
  <si>
    <t>VCSP</t>
  </si>
  <si>
    <t>Total Taxes</t>
  </si>
  <si>
    <t>Total General Revenues</t>
  </si>
  <si>
    <t>Total Transfers and Other Items</t>
  </si>
  <si>
    <t>c)  Provide an explanation if the reported amount is negative</t>
  </si>
  <si>
    <t>Behavioral Health Local Funds</t>
  </si>
  <si>
    <t>Department of Environmental Quality Title V</t>
  </si>
  <si>
    <t>Wireless E-911</t>
  </si>
  <si>
    <t>Museum Gift Shops</t>
  </si>
  <si>
    <t>Behavioral Health Canteen and Work Activity</t>
  </si>
  <si>
    <t>Tab 4:  Due to Other Agencies / Funds</t>
  </si>
  <si>
    <t>Increase (Decrease) in Other Liabilities-due within one year</t>
  </si>
  <si>
    <t>Increase (Decrease) in Other Liabilities: due greater than one year</t>
  </si>
  <si>
    <t>Increase (Decrease) in Claims Payable-due within one year</t>
  </si>
  <si>
    <t>Increase (Decrease) in Claims Payable: due greater than one year</t>
  </si>
  <si>
    <t xml:space="preserve">       </t>
  </si>
  <si>
    <t xml:space="preserve">  </t>
  </si>
  <si>
    <t>Total:</t>
  </si>
  <si>
    <t>Is any of the inventory pledged or have a lien against it?</t>
  </si>
  <si>
    <t>Increase (Decrease) in Pension Liability (DOA will complete)</t>
  </si>
  <si>
    <t xml:space="preserve">     </t>
  </si>
  <si>
    <t>and investments not covered elsewhere on this attachment.</t>
  </si>
  <si>
    <t>U. S. Treasury and Agency Securities</t>
  </si>
  <si>
    <t>Livestock</t>
  </si>
  <si>
    <t>Improvements Other Than Buildings</t>
  </si>
  <si>
    <t>Depreciable Works of Art/Historical Treasures</t>
  </si>
  <si>
    <t>Long-term debt related to capital assets (enter negative numbers):</t>
  </si>
  <si>
    <t xml:space="preserve">Part 4)  </t>
  </si>
  <si>
    <t>Part 5)</t>
  </si>
  <si>
    <t>Part 6)</t>
  </si>
  <si>
    <t>Part 7)</t>
  </si>
  <si>
    <t>Part 8)</t>
  </si>
  <si>
    <t>Part 9)</t>
  </si>
  <si>
    <t>Part 2:  Acquisition of Capital Assets Reconciliation</t>
  </si>
  <si>
    <t>Capital Assets Addition Included in Accounts Payable</t>
  </si>
  <si>
    <t>If difference above, please provide explanation.</t>
  </si>
  <si>
    <t>Part 3:  Payment of Principal and Interest Reconciliation</t>
  </si>
  <si>
    <t>Part 10)</t>
  </si>
  <si>
    <t>Bank Balance Amount</t>
  </si>
  <si>
    <t xml:space="preserve">b)  Bank balance as of June 30  </t>
  </si>
  <si>
    <t xml:space="preserve"> d) Provide an explanation if the amount reported in Part 3a) is greater than $250,000.</t>
  </si>
  <si>
    <t>Air Pollution Permit Fund</t>
  </si>
  <si>
    <t>Canteen and Local Activity Fund</t>
  </si>
  <si>
    <t>Total General Revenues and Other Items</t>
  </si>
  <si>
    <t>List all SNAP accounts reported on this template.</t>
  </si>
  <si>
    <t>Transfers to</t>
  </si>
  <si>
    <t>Transfers from</t>
  </si>
  <si>
    <t>Commercial Paper</t>
  </si>
  <si>
    <t>Banker's Acceptance</t>
  </si>
  <si>
    <t>Does the enterprise fund have any activity related to the Energy Leasing Program?  (See Attachment 10 - Instructions.)</t>
  </si>
  <si>
    <t>Negotiable Certificates of Deposit</t>
  </si>
  <si>
    <t>Reverse Repurchase Agreements</t>
  </si>
  <si>
    <t>Repurchase Agreements</t>
  </si>
  <si>
    <t>Municipal Securities</t>
  </si>
  <si>
    <t>Asset Backed Securities</t>
  </si>
  <si>
    <t>Agency Mortgage Backed</t>
  </si>
  <si>
    <t>Mutual and Money Market Funds (Include SNAP)</t>
  </si>
  <si>
    <t>Mutual and Money Market Funds</t>
  </si>
  <si>
    <t xml:space="preserve"> </t>
  </si>
  <si>
    <t>1)  Nature and source of pollution remediation obligations</t>
  </si>
  <si>
    <t>2) Estimated pollution remediation liability $</t>
  </si>
  <si>
    <t>4)  Estimated net pollution remediation liability $ - recognized amount (2 less 3)</t>
  </si>
  <si>
    <t>6) Methods and assumptions used for the above estimate</t>
  </si>
  <si>
    <t>7) Describe the potential for changes (i.e. price increases or reductions, technology, applicable laws or regulations, etc.)</t>
  </si>
  <si>
    <t>11a</t>
  </si>
  <si>
    <t>11b</t>
  </si>
  <si>
    <t>11c</t>
  </si>
  <si>
    <t>Guaranteed Investment Contracts</t>
  </si>
  <si>
    <t>Fixed Income and Commingled Funds</t>
  </si>
  <si>
    <t>Deposits with the U.S. Treasury for Unemployment Compensation</t>
  </si>
  <si>
    <t>Common and Preferred Stocks</t>
  </si>
  <si>
    <t>Foreign Currencies</t>
  </si>
  <si>
    <t>Equity Index and Pooled Funds</t>
  </si>
  <si>
    <t>Real Estate</t>
  </si>
  <si>
    <t>Deposits</t>
  </si>
  <si>
    <t>Total Fair Value of Foreign Currency</t>
  </si>
  <si>
    <t xml:space="preserve">Australian Dollar </t>
  </si>
  <si>
    <t xml:space="preserve">Canadian Dollar </t>
  </si>
  <si>
    <t xml:space="preserve">Colombian Peso </t>
  </si>
  <si>
    <t xml:space="preserve">Czech Koruna </t>
  </si>
  <si>
    <t xml:space="preserve">Danish Krone </t>
  </si>
  <si>
    <t xml:space="preserve">Egyptian Pound </t>
  </si>
  <si>
    <t xml:space="preserve">Euro Currency Unit </t>
  </si>
  <si>
    <t xml:space="preserve">Hong Kong Dollar </t>
  </si>
  <si>
    <t xml:space="preserve">Hungarian Forint </t>
  </si>
  <si>
    <t xml:space="preserve">Indian Rupee </t>
  </si>
  <si>
    <t xml:space="preserve">Israeli Shekel </t>
  </si>
  <si>
    <t xml:space="preserve">Japanese Yen </t>
  </si>
  <si>
    <t xml:space="preserve">Malaysian Ringgit </t>
  </si>
  <si>
    <t xml:space="preserve">New Taiwan Dollar </t>
  </si>
  <si>
    <t xml:space="preserve">New Zealand Dollar </t>
  </si>
  <si>
    <t xml:space="preserve">Norwegian Krone </t>
  </si>
  <si>
    <t xml:space="preserve">Philippines Peso </t>
  </si>
  <si>
    <t xml:space="preserve">Polish Zloty </t>
  </si>
  <si>
    <t xml:space="preserve">Singapore Dollar </t>
  </si>
  <si>
    <t xml:space="preserve">South Korean Won </t>
  </si>
  <si>
    <t xml:space="preserve">Sri Lanka Rupee </t>
  </si>
  <si>
    <t xml:space="preserve">Swedish Krona </t>
  </si>
  <si>
    <t xml:space="preserve">Swiss Franc </t>
  </si>
  <si>
    <t xml:space="preserve">Thailand Baht </t>
  </si>
  <si>
    <t xml:space="preserve">Turkish Lira </t>
  </si>
  <si>
    <t>Other (Please list)</t>
  </si>
  <si>
    <t>Tab 1A-GASB 3-40</t>
  </si>
  <si>
    <t>Tab 1C-Foreign Currency Inv</t>
  </si>
  <si>
    <t>TAB 12</t>
  </si>
  <si>
    <t>Department of Treasury -Risk Management</t>
  </si>
  <si>
    <t>Dept of Human Resource Mgt-Local Choice</t>
  </si>
  <si>
    <t>Compensated Absences</t>
  </si>
  <si>
    <t>Other Liabilities</t>
  </si>
  <si>
    <t>Deposits Pending Distribution</t>
  </si>
  <si>
    <t>Claims Payable</t>
  </si>
  <si>
    <t>Comments:</t>
  </si>
  <si>
    <t>Installment Purchase Obligations</t>
  </si>
  <si>
    <t>Bonds Payable</t>
  </si>
  <si>
    <t>Total Current Liabilities</t>
  </si>
  <si>
    <t>TOTAL LIABILITIES</t>
  </si>
  <si>
    <t>%</t>
  </si>
  <si>
    <t xml:space="preserve">Are any of the agency's cash equivalents or investments in debt securities not with the Treasurer of VA highly sensitive to </t>
  </si>
  <si>
    <t>DOA Adjustments made for Enterprise Fund:</t>
  </si>
  <si>
    <t>10b</t>
  </si>
  <si>
    <t>10c</t>
  </si>
  <si>
    <t>10d</t>
  </si>
  <si>
    <t>10e</t>
  </si>
  <si>
    <t>10f</t>
  </si>
  <si>
    <t>10g</t>
  </si>
  <si>
    <t>10h</t>
  </si>
  <si>
    <t>10i</t>
  </si>
  <si>
    <t xml:space="preserve">Deferred Outflows of Resources (linked to template) </t>
  </si>
  <si>
    <t>If yes, provide amount</t>
  </si>
  <si>
    <t>Overall Category - Description of Deferred Outflows of Resources</t>
  </si>
  <si>
    <t xml:space="preserve">Deferred Inflows of Resources (linked to template) </t>
  </si>
  <si>
    <t>Overall Category - Description of Deferred Inflows of Resources</t>
  </si>
  <si>
    <t>Statement of Net Position</t>
  </si>
  <si>
    <t>DEFERRED OUTFLOWS OF RESOURCES</t>
  </si>
  <si>
    <t>TOTAL ASSETS &amp; DEFERRED OUTFLOWS</t>
  </si>
  <si>
    <t>DEFERRED INFLOWS OF RESOURCES</t>
  </si>
  <si>
    <t>TOTAL LIABILITIES &amp; DEFERRED INFLOWS</t>
  </si>
  <si>
    <t>TOTAL NET POSITION</t>
  </si>
  <si>
    <t>NET POSITION</t>
  </si>
  <si>
    <t xml:space="preserve">Total Net Position-Ending </t>
  </si>
  <si>
    <t>Total Net Position-Beginning</t>
  </si>
  <si>
    <t>Tab 10:  Deficit Net Position</t>
  </si>
  <si>
    <t>Net Investment in Capital Assets</t>
  </si>
  <si>
    <t>ASSETS AND DEFERRED OUTFLOWS OF RESOURCES</t>
  </si>
  <si>
    <t>LIABILITIES AND DEFERRED INFLOWS OF RESOURCES</t>
  </si>
  <si>
    <t>Change in Net Position</t>
  </si>
  <si>
    <t>The following transactions occurred prior to the Statement of Net Position date:</t>
  </si>
  <si>
    <r>
      <t>Note</t>
    </r>
    <r>
      <rPr>
        <b/>
        <sz val="8"/>
        <rFont val="Times New Roman"/>
        <family val="1"/>
      </rPr>
      <t>:  Insurance recoveries related to assets that were impaired in prior years are reported on the Miscellaneous tab, question 5.</t>
    </r>
  </si>
  <si>
    <t>Does the enterprise fund report prepaid items on the Statement of Net Position?</t>
  </si>
  <si>
    <t>5) Provide the line item that the above estimated net pollution remediation liability - recognized $ amount is reported</t>
  </si>
  <si>
    <t>Ending Net Position Balance per Prior Year's Financial Statement Template</t>
  </si>
  <si>
    <t>Beginning Net Position Restatement:</t>
  </si>
  <si>
    <t>Total Beginning Net Position Balance per Current Year's Financial Statement Template</t>
  </si>
  <si>
    <t xml:space="preserve">Provide an explanation for the negative ending net position.  </t>
  </si>
  <si>
    <t>Per Statement of Net Position Flux (Linked)</t>
  </si>
  <si>
    <t>Statement of Revenues, Expenses, and Changes in Fund Net Position</t>
  </si>
  <si>
    <t>Net (Expense) Revenue and Changes in Net Position</t>
  </si>
  <si>
    <t>Net Position - Beginning</t>
  </si>
  <si>
    <t>Net Position - Ending</t>
  </si>
  <si>
    <t>Department of Transportation - Route 460 Funding Corporation</t>
  </si>
  <si>
    <t>Tab 10-Deficit Net Position</t>
  </si>
  <si>
    <t>Capital Disbursements</t>
  </si>
  <si>
    <t>Capitalized Interest Accrued</t>
  </si>
  <si>
    <t>$ Fluctuation</t>
  </si>
  <si>
    <t>% Fluctuation</t>
  </si>
  <si>
    <t>Enterprise Template Line Item</t>
  </si>
  <si>
    <t>SNP, SA, or CF</t>
  </si>
  <si>
    <t>Current Assets:</t>
  </si>
  <si>
    <t>Materiality Scope</t>
  </si>
  <si>
    <t>Assets or Revenues</t>
  </si>
  <si>
    <t>Largest of Total Assets &amp; Deferred Outflows or Total Revenues</t>
  </si>
  <si>
    <t>Error</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</si>
  <si>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</si>
  <si>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</si>
  <si>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</si>
  <si>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</si>
  <si>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3)</t>
  </si>
  <si>
    <t>4)</t>
  </si>
  <si>
    <r>
      <t>Descriptions</t>
    </r>
    <r>
      <rPr>
        <sz val="10"/>
        <rFont val="Times New Roman"/>
        <family val="1"/>
      </rPr>
      <t>:  For any extraordinary or special items, has a description been provided?  See descriptions below to determine if appropriate.</t>
    </r>
  </si>
  <si>
    <r>
      <t>Extraordinary items</t>
    </r>
    <r>
      <rPr>
        <sz val="10"/>
        <rFont val="Times New Roman"/>
        <family val="1"/>
      </rPr>
      <t xml:space="preserve"> are defined as transactions/events that are both unusual in nature and infrequent in occurrence.  </t>
    </r>
  </si>
  <si>
    <r>
      <t>Special items</t>
    </r>
    <r>
      <rPr>
        <sz val="10"/>
        <rFont val="Times New Roman"/>
        <family val="1"/>
      </rPr>
      <t xml:space="preserve"> are defined as significant transactions/events within the control of management that are either unusual in nature or infrequent in occurrence.</t>
    </r>
  </si>
  <si>
    <t>5)</t>
  </si>
  <si>
    <t>6)</t>
  </si>
  <si>
    <r>
      <rPr>
        <b/>
        <sz val="10"/>
        <rFont val="Times New Roman"/>
        <family val="1"/>
      </rPr>
      <t>Lag Pay</t>
    </r>
    <r>
      <rPr>
        <sz val="10"/>
        <rFont val="Times New Roman"/>
        <family val="1"/>
      </rPr>
      <t>:  Has lag pay been calculated and reported properly?  Please see attachment instructions for guidance.</t>
    </r>
  </si>
  <si>
    <t>I certify that the above questions have been completed and reviewed.</t>
  </si>
  <si>
    <t xml:space="preserve">Non-recurring Cost Estimate Payments to Providers </t>
  </si>
  <si>
    <t xml:space="preserve">Change in Fair Value of Investments </t>
  </si>
  <si>
    <t xml:space="preserve">ARRA - UI Modernization Incentive Funds </t>
  </si>
  <si>
    <t>Payments to Providers for Non-recurring Cost Estimates</t>
  </si>
  <si>
    <t>SNP</t>
  </si>
  <si>
    <t>SA</t>
  </si>
  <si>
    <t>CF</t>
  </si>
  <si>
    <t>Overall Derivative Instrument Categories:</t>
  </si>
  <si>
    <t>-Hedging derivative instrument - effective hedge</t>
  </si>
  <si>
    <t>-Investment derivative instrument - ineffective hedge</t>
  </si>
  <si>
    <t>-Fully benefit-responsive synthetic guaranteed investment contracts (SGICs)</t>
  </si>
  <si>
    <t>-Fully benefit-responsive synthetic guaranteed investment contracts</t>
  </si>
  <si>
    <t>Notional $</t>
  </si>
  <si>
    <t>Description of the hedging item</t>
  </si>
  <si>
    <t>-Hedging derivative instrument - effective hedge (If yes, complete 12c - Parts 2 &amp; 3)</t>
  </si>
  <si>
    <t>13h</t>
  </si>
  <si>
    <t>13i</t>
  </si>
  <si>
    <t>13j</t>
  </si>
  <si>
    <t>13k</t>
  </si>
  <si>
    <t>13l</t>
  </si>
  <si>
    <t>If yes to 13g, is the fund (operator) compensated directly from the users of the facility?  The users in this context is anyone outside of state government.</t>
  </si>
  <si>
    <t>If yes to 13i, is the transferor entitled to significant residual interest in the service utility of the facility at the end of the arrangement?</t>
  </si>
  <si>
    <t>#) Overall Category - Description of Expenses</t>
  </si>
  <si>
    <t>#) Overall Category - Description of Revenue</t>
  </si>
  <si>
    <t>Tab 12:  Net Investment in Capital Assets</t>
  </si>
  <si>
    <t>yes</t>
  </si>
  <si>
    <t>no</t>
  </si>
  <si>
    <t>Include short-term debt that is related to capital assets (enter as a negative)</t>
  </si>
  <si>
    <t>Accounts &amp; Retainage Payable to be paid with unspent proceeds on debt related to capital assets (enter as a negative)</t>
  </si>
  <si>
    <t>Deferred inflows of resources attributable to the acquisition, construction, or improvement of capital assets or debt related to capital assets  - provide description (enter as a negative):</t>
  </si>
  <si>
    <t>Other -  Provide descriptions (enter as a positive or negative):</t>
  </si>
  <si>
    <t>Answer Required</t>
  </si>
  <si>
    <t>There should be no "Error" messages or cells with "Answer Required".  Have you reviewed the submission and removed all Error messages and answered all questions?  If not, investigate and make corrections as deemed necessary.</t>
  </si>
  <si>
    <t>b) Significant fluctuations on the attachment between prior year and current year amounts may be an indication of amounts being reported on the incorrect line item.</t>
  </si>
  <si>
    <t>12a</t>
  </si>
  <si>
    <t>12b</t>
  </si>
  <si>
    <t>12c</t>
  </si>
  <si>
    <t>12d</t>
  </si>
  <si>
    <t>14a</t>
  </si>
  <si>
    <t>The total must agree with what is reported on the template</t>
  </si>
  <si>
    <t>14b</t>
  </si>
  <si>
    <t>14c</t>
  </si>
  <si>
    <t>15a</t>
  </si>
  <si>
    <t>15b</t>
  </si>
  <si>
    <t>15c</t>
  </si>
  <si>
    <t>Please provide explanations for all line items that meet the materiality scope AND exceed or are equal to 10%</t>
  </si>
  <si>
    <t xml:space="preserve">Explanation </t>
  </si>
  <si>
    <t>Template Flux</t>
  </si>
  <si>
    <t>Does the enterprise fund anticipate significant revisions to the current financial statement template?</t>
  </si>
  <si>
    <t>Agency - Fund Name:</t>
  </si>
  <si>
    <t>Other  - Description:</t>
  </si>
  <si>
    <t>Type (i.e. interest rate swap, interest rate lock, etc.)</t>
  </si>
  <si>
    <t>Does the fund as an operator have more than one contract that qualifies as a Service Concession Arrangement?</t>
  </si>
  <si>
    <r>
      <t>GASBS No. 33</t>
    </r>
    <r>
      <rPr>
        <sz val="11"/>
        <rFont val="Times New Roman"/>
        <family val="1"/>
      </rPr>
      <t xml:space="preserve">, </t>
    </r>
    <r>
      <rPr>
        <i/>
        <sz val="11"/>
        <rFont val="Times New Roman"/>
        <family val="1"/>
      </rPr>
      <t>Accounting and Financial Reporting for Nonexchange Transactions</t>
    </r>
  </si>
  <si>
    <r>
      <t xml:space="preserve">If </t>
    </r>
    <r>
      <rPr>
        <b/>
        <sz val="11"/>
        <rFont val="Times New Roman"/>
        <family val="1"/>
      </rPr>
      <t>yes</t>
    </r>
    <r>
      <rPr>
        <sz val="11"/>
        <rFont val="Times New Roman"/>
        <family val="1"/>
      </rPr>
      <t xml:space="preserve">, provide disclosure information below. If </t>
    </r>
    <r>
      <rPr>
        <b/>
        <sz val="11"/>
        <rFont val="Times New Roman"/>
        <family val="1"/>
      </rPr>
      <t>no</t>
    </r>
    <r>
      <rPr>
        <sz val="11"/>
        <rFont val="Times New Roman"/>
        <family val="1"/>
      </rPr>
      <t>, leave the yellow box blank.</t>
    </r>
  </si>
  <si>
    <r>
      <t xml:space="preserve">If </t>
    </r>
    <r>
      <rPr>
        <b/>
        <sz val="11"/>
        <rFont val="Times New Roman"/>
        <family val="1"/>
      </rPr>
      <t>yes</t>
    </r>
    <r>
      <rPr>
        <sz val="11"/>
        <rFont val="Times New Roman"/>
        <family val="1"/>
      </rPr>
      <t xml:space="preserve">, provide description of donated inventory/commodities received below including date of receipt. If </t>
    </r>
    <r>
      <rPr>
        <b/>
        <sz val="11"/>
        <rFont val="Times New Roman"/>
        <family val="1"/>
      </rPr>
      <t>no</t>
    </r>
    <r>
      <rPr>
        <sz val="11"/>
        <rFont val="Times New Roman"/>
        <family val="1"/>
      </rPr>
      <t>, leave the yellow box blank.</t>
    </r>
  </si>
  <si>
    <r>
      <t>GASBS No. 38</t>
    </r>
    <r>
      <rPr>
        <sz val="11"/>
        <rFont val="Times New Roman"/>
        <family val="1"/>
      </rPr>
      <t xml:space="preserve">, </t>
    </r>
    <r>
      <rPr>
        <i/>
        <sz val="11"/>
        <rFont val="Times New Roman"/>
        <family val="1"/>
      </rPr>
      <t>Certain Financial Statement Note Disclosures</t>
    </r>
  </si>
  <si>
    <r>
      <t>GASBS No. 38</t>
    </r>
    <r>
      <rPr>
        <sz val="11"/>
        <rFont val="Times New Roman"/>
        <family val="1"/>
      </rPr>
      <t xml:space="preserve">, </t>
    </r>
    <r>
      <rPr>
        <i/>
        <sz val="11"/>
        <rFont val="Times New Roman"/>
        <family val="1"/>
      </rPr>
      <t>Certain Financial Statement Note Disclosures,</t>
    </r>
    <r>
      <rPr>
        <sz val="11"/>
        <rFont val="Times New Roman"/>
        <family val="1"/>
      </rPr>
      <t xml:space="preserve"> requires disclosure of any significant violations of finance-related legal or contractual provisions.  Does the enterprise fund have any significant violations of finance-related legal or contractual provisions that need to be disclosed?</t>
    </r>
  </si>
  <si>
    <r>
      <t>GASBS No. 42</t>
    </r>
    <r>
      <rPr>
        <b/>
        <sz val="11"/>
        <rFont val="Times New Roman"/>
        <family val="1"/>
      </rPr>
      <t>,</t>
    </r>
    <r>
      <rPr>
        <i/>
        <sz val="11"/>
        <rFont val="Times New Roman"/>
        <family val="1"/>
      </rPr>
      <t xml:space="preserve"> Accounting and Financial Reporting for Impairment of Capital Assets and for Insurance Recoveries</t>
    </r>
  </si>
  <si>
    <r>
      <t xml:space="preserve">If </t>
    </r>
    <r>
      <rPr>
        <b/>
        <sz val="11"/>
        <rFont val="Times New Roman"/>
        <family val="1"/>
      </rPr>
      <t>yes</t>
    </r>
    <r>
      <rPr>
        <sz val="11"/>
        <rFont val="Times New Roman"/>
        <family val="1"/>
      </rPr>
      <t xml:space="preserve">, provide the description, line item, and amount of insurance recoveries.  Per </t>
    </r>
    <r>
      <rPr>
        <b/>
        <u/>
        <sz val="11"/>
        <rFont val="Times New Roman"/>
        <family val="1"/>
      </rPr>
      <t>GASBS No. 42</t>
    </r>
    <r>
      <rPr>
        <sz val="11"/>
        <rFont val="Times New Roman"/>
        <family val="1"/>
      </rPr>
      <t xml:space="preserve">, insurance recoveries must be reported on the proprietary fund statements as nonoperating revenue or extraordinary items.  On the conversion to the government-wide statement of activities, they must be reported as program revenue or extraordinary items.  If </t>
    </r>
    <r>
      <rPr>
        <b/>
        <sz val="11"/>
        <rFont val="Times New Roman"/>
        <family val="1"/>
      </rPr>
      <t>no</t>
    </r>
    <r>
      <rPr>
        <sz val="11"/>
        <rFont val="Times New Roman"/>
        <family val="1"/>
      </rPr>
      <t>, go to question 6.</t>
    </r>
  </si>
  <si>
    <r>
      <t>GASBS No. 47</t>
    </r>
    <r>
      <rPr>
        <sz val="11"/>
        <rFont val="Times New Roman"/>
        <family val="1"/>
      </rPr>
      <t xml:space="preserve">, </t>
    </r>
    <r>
      <rPr>
        <i/>
        <sz val="11"/>
        <rFont val="Times New Roman"/>
        <family val="1"/>
      </rPr>
      <t>Accounting for Termination Benefits</t>
    </r>
  </si>
  <si>
    <r>
      <t xml:space="preserve">If </t>
    </r>
    <r>
      <rPr>
        <b/>
        <sz val="11"/>
        <rFont val="Times New Roman"/>
        <family val="1"/>
      </rPr>
      <t>yes</t>
    </r>
    <r>
      <rPr>
        <sz val="11"/>
        <rFont val="Times New Roman"/>
        <family val="1"/>
      </rPr>
      <t>, has activity related to the Energy Leasing Program been appropriately recorded on the financial statement template based on the guidance given in this attachment's instructions?
If Energy Leasing Program activity has not been recorded in accordance with attachment instructions, please explain below.</t>
    </r>
  </si>
  <si>
    <r>
      <t xml:space="preserve">If </t>
    </r>
    <r>
      <rPr>
        <b/>
        <sz val="11"/>
        <rFont val="Times New Roman"/>
        <family val="1"/>
      </rPr>
      <t>yes</t>
    </r>
    <r>
      <rPr>
        <sz val="11"/>
        <rFont val="Times New Roman"/>
        <family val="1"/>
      </rPr>
      <t xml:space="preserve">, explain below.
If </t>
    </r>
    <r>
      <rPr>
        <b/>
        <sz val="11"/>
        <rFont val="Times New Roman"/>
        <family val="1"/>
      </rPr>
      <t>no</t>
    </r>
    <r>
      <rPr>
        <sz val="11"/>
        <rFont val="Times New Roman"/>
        <family val="1"/>
      </rPr>
      <t>, leave the yellow boxes blank.</t>
    </r>
  </si>
  <si>
    <r>
      <t xml:space="preserve">If </t>
    </r>
    <r>
      <rPr>
        <b/>
        <sz val="11"/>
        <rFont val="Times New Roman"/>
        <family val="1"/>
      </rPr>
      <t>yes</t>
    </r>
    <r>
      <rPr>
        <sz val="11"/>
        <rFont val="Times New Roman"/>
        <family val="1"/>
      </rPr>
      <t xml:space="preserve">, explain below.
If </t>
    </r>
    <r>
      <rPr>
        <b/>
        <sz val="11"/>
        <rFont val="Times New Roman"/>
        <family val="1"/>
      </rPr>
      <t>no</t>
    </r>
    <r>
      <rPr>
        <sz val="11"/>
        <rFont val="Times New Roman"/>
        <family val="1"/>
      </rPr>
      <t>, leave the yellow box blank.</t>
    </r>
  </si>
  <si>
    <r>
      <t>GASBS No. 49</t>
    </r>
    <r>
      <rPr>
        <b/>
        <sz val="11"/>
        <rFont val="Times New Roman"/>
        <family val="1"/>
      </rPr>
      <t xml:space="preserve">, </t>
    </r>
    <r>
      <rPr>
        <i/>
        <sz val="11"/>
        <rFont val="Times New Roman"/>
        <family val="1"/>
      </rPr>
      <t>Accounting and Financial Reporting for Pollution Remediation Obligations</t>
    </r>
  </si>
  <si>
    <r>
      <t>Answer the following questions.  (</t>
    </r>
    <r>
      <rPr>
        <b/>
        <u/>
        <sz val="11"/>
        <rFont val="Times New Roman"/>
        <family val="1"/>
      </rPr>
      <t>Note</t>
    </r>
    <r>
      <rPr>
        <sz val="11"/>
        <rFont val="Times New Roman"/>
        <family val="1"/>
      </rPr>
      <t>:  DOA may request additional information based on the answers provided.)</t>
    </r>
  </si>
  <si>
    <r>
      <t xml:space="preserve">*Per </t>
    </r>
    <r>
      <rPr>
        <b/>
        <u/>
        <sz val="11"/>
        <rFont val="Times New Roman"/>
        <family val="1"/>
      </rPr>
      <t>GASBS No. 49</t>
    </r>
    <r>
      <rPr>
        <sz val="11"/>
        <rFont val="Times New Roman"/>
        <family val="1"/>
      </rPr>
      <t xml:space="preserve">, paragraph 11, an obligating event is when any of the following events occurs (refer to </t>
    </r>
    <r>
      <rPr>
        <b/>
        <u/>
        <sz val="11"/>
        <rFont val="Times New Roman"/>
        <family val="1"/>
      </rPr>
      <t>GASBS No. 49</t>
    </r>
    <r>
      <rPr>
        <sz val="11"/>
        <rFont val="Times New Roman"/>
        <family val="1"/>
      </rPr>
      <t xml:space="preserve"> for guidance):  </t>
    </r>
  </si>
  <si>
    <r>
      <t>GASBS No. 51</t>
    </r>
    <r>
      <rPr>
        <sz val="11"/>
        <rFont val="Times New Roman"/>
        <family val="1"/>
      </rPr>
      <t xml:space="preserve">, </t>
    </r>
    <r>
      <rPr>
        <i/>
        <sz val="11"/>
        <rFont val="Times New Roman"/>
        <family val="1"/>
      </rPr>
      <t>Accounting and Financial Reporting for Intangible Assets</t>
    </r>
  </si>
  <si>
    <r>
      <rPr>
        <b/>
        <sz val="11"/>
        <rFont val="Times New Roman"/>
        <family val="1"/>
      </rPr>
      <t xml:space="preserve">Intangible assets as of June 30, 2014: </t>
    </r>
    <r>
      <rPr>
        <sz val="11"/>
        <rFont val="Times New Roman"/>
        <family val="1"/>
      </rPr>
      <t xml:space="preserve"> Did the enterprise fund have any of the following types of intangible assets as of June 30, 2014?  If yes, provide a description and indicate if the intangible assets had been reported on the prior year's financial statement template as a capital asset.</t>
    </r>
  </si>
  <si>
    <r>
      <t>Reporting</t>
    </r>
    <r>
      <rPr>
        <sz val="11"/>
        <rFont val="Times New Roman"/>
        <family val="1"/>
      </rPr>
      <t xml:space="preserve">:  Were intangible assets properly reported on the financial statement template in accordance with </t>
    </r>
    <r>
      <rPr>
        <b/>
        <u/>
        <sz val="11"/>
        <rFont val="Times New Roman"/>
        <family val="1"/>
      </rPr>
      <t>GASBS No. 51</t>
    </r>
    <r>
      <rPr>
        <sz val="11"/>
        <rFont val="Times New Roman"/>
        <family val="1"/>
      </rPr>
      <t xml:space="preserve">?  If </t>
    </r>
    <r>
      <rPr>
        <b/>
        <sz val="11"/>
        <rFont val="Times New Roman"/>
        <family val="1"/>
      </rPr>
      <t>no</t>
    </r>
    <r>
      <rPr>
        <sz val="11"/>
        <rFont val="Times New Roman"/>
        <family val="1"/>
      </rPr>
      <t>, explain.</t>
    </r>
  </si>
  <si>
    <r>
      <t>Restatements</t>
    </r>
    <r>
      <rPr>
        <sz val="11"/>
        <rFont val="Times New Roman"/>
        <family val="1"/>
      </rPr>
      <t xml:space="preserve">:  If applicable, were beginning net asset restatements properly reported on the financial statement template in accordance with </t>
    </r>
    <r>
      <rPr>
        <b/>
        <u/>
        <sz val="11"/>
        <rFont val="Times New Roman"/>
        <family val="1"/>
      </rPr>
      <t>GASBS No. 51</t>
    </r>
    <r>
      <rPr>
        <sz val="11"/>
        <rFont val="Times New Roman"/>
        <family val="1"/>
      </rPr>
      <t xml:space="preserve">?  If </t>
    </r>
    <r>
      <rPr>
        <b/>
        <sz val="11"/>
        <rFont val="Times New Roman"/>
        <family val="1"/>
      </rPr>
      <t>yes,</t>
    </r>
    <r>
      <rPr>
        <sz val="11"/>
        <rFont val="Times New Roman"/>
        <family val="1"/>
      </rPr>
      <t xml:space="preserve"> provide the types of intangible assets resulting in restatements and the restatement amounts. If </t>
    </r>
    <r>
      <rPr>
        <b/>
        <sz val="11"/>
        <rFont val="Times New Roman"/>
        <family val="1"/>
      </rPr>
      <t>no</t>
    </r>
    <r>
      <rPr>
        <sz val="11"/>
        <rFont val="Times New Roman"/>
        <family val="1"/>
      </rPr>
      <t>, explain.</t>
    </r>
  </si>
  <si>
    <r>
      <rPr>
        <b/>
        <u/>
        <sz val="11"/>
        <rFont val="Times New Roman"/>
        <family val="1"/>
      </rPr>
      <t>GASBS No. 53</t>
    </r>
    <r>
      <rPr>
        <b/>
        <sz val="11"/>
        <rFont val="Times New Roman"/>
        <family val="1"/>
      </rPr>
      <t>,</t>
    </r>
    <r>
      <rPr>
        <sz val="11"/>
        <rFont val="Times New Roman"/>
        <family val="1"/>
      </rPr>
      <t xml:space="preserve"> </t>
    </r>
    <r>
      <rPr>
        <i/>
        <sz val="11"/>
        <rFont val="Times New Roman"/>
        <family val="1"/>
      </rPr>
      <t>Accounting and Financial Reporting for Derivative Instruments</t>
    </r>
    <r>
      <rPr>
        <sz val="11"/>
        <rFont val="Times New Roman"/>
        <family val="1"/>
      </rPr>
      <t xml:space="preserve">: </t>
    </r>
  </si>
  <si>
    <r>
      <t xml:space="preserve">GASBS No. 63, </t>
    </r>
    <r>
      <rPr>
        <i/>
        <sz val="11"/>
        <rFont val="Times New Roman"/>
        <family val="1"/>
      </rPr>
      <t>Financial Reporting of Deferred Outflows of Resources, Deferred Inflows of Resources, and Net Position</t>
    </r>
  </si>
  <si>
    <r>
      <t xml:space="preserve">2) </t>
    </r>
    <r>
      <rPr>
        <b/>
        <sz val="11"/>
        <rFont val="Times New Roman"/>
        <family val="1"/>
      </rPr>
      <t>Refundings of Debt</t>
    </r>
    <r>
      <rPr>
        <sz val="11"/>
        <rFont val="Times New Roman"/>
        <family val="1"/>
      </rPr>
      <t xml:space="preserve"> - Deferral on debt defeasance - loss:  For current refundings and advance refundings resulting in debt defeasance and the reacquisition price exceeds the net carrying amount of the old debt  (</t>
    </r>
    <r>
      <rPr>
        <b/>
        <u/>
        <sz val="11"/>
        <rFont val="Times New Roman"/>
        <family val="1"/>
      </rPr>
      <t>GASBS No. 65</t>
    </r>
    <r>
      <rPr>
        <sz val="11"/>
        <rFont val="Times New Roman"/>
        <family val="1"/>
      </rPr>
      <t xml:space="preserve"> paragraphs 5 &amp;  6)</t>
    </r>
  </si>
  <si>
    <r>
      <t xml:space="preserve">4) </t>
    </r>
    <r>
      <rPr>
        <b/>
        <sz val="11"/>
        <rFont val="Times New Roman"/>
        <family val="1"/>
      </rPr>
      <t>Government-Mandated &amp; Voluntary Nonexchange Transactions</t>
    </r>
    <r>
      <rPr>
        <sz val="11"/>
        <rFont val="Times New Roman"/>
        <family val="1"/>
      </rPr>
      <t>:   Resources providers transmit to recipients before time requirements are met, but after the other eligibility requirements have been met  (</t>
    </r>
    <r>
      <rPr>
        <b/>
        <u/>
        <sz val="11"/>
        <rFont val="Times New Roman"/>
        <family val="1"/>
      </rPr>
      <t>GASBS No. 65</t>
    </r>
    <r>
      <rPr>
        <sz val="11"/>
        <rFont val="Times New Roman"/>
        <family val="1"/>
      </rPr>
      <t xml:space="preserve"> paragraphs 8 &amp; 10)</t>
    </r>
  </si>
  <si>
    <r>
      <t xml:space="preserve">5) </t>
    </r>
    <r>
      <rPr>
        <b/>
        <sz val="11"/>
        <rFont val="Times New Roman"/>
        <family val="1"/>
      </rPr>
      <t>Intra-Entity Transfers of Future Revenues</t>
    </r>
    <r>
      <rPr>
        <sz val="11"/>
        <rFont val="Times New Roman"/>
        <family val="1"/>
      </rPr>
      <t xml:space="preserve"> - Amount  the transferee government paid to the transferor government in an intra-entity sale of future revenues (</t>
    </r>
    <r>
      <rPr>
        <b/>
        <u/>
        <sz val="11"/>
        <rFont val="Times New Roman"/>
        <family val="1"/>
      </rPr>
      <t>GASBS No. 65</t>
    </r>
    <r>
      <rPr>
        <sz val="11"/>
        <rFont val="Times New Roman"/>
        <family val="1"/>
      </rPr>
      <t xml:space="preserve"> paragraphs 11 &amp;  13)</t>
    </r>
  </si>
  <si>
    <r>
      <t xml:space="preserve">7) </t>
    </r>
    <r>
      <rPr>
        <b/>
        <sz val="11"/>
        <rFont val="Times New Roman"/>
        <family val="1"/>
      </rPr>
      <t>Mortgage Banking Activities</t>
    </r>
    <r>
      <rPr>
        <sz val="11"/>
        <rFont val="Times New Roman"/>
        <family val="1"/>
      </rPr>
      <t xml:space="preserve"> -  Direct loan origination costs of loans held for sale until loan is sold   (</t>
    </r>
    <r>
      <rPr>
        <b/>
        <u/>
        <sz val="11"/>
        <rFont val="Times New Roman"/>
        <family val="1"/>
      </rPr>
      <t>GASBS No. 65</t>
    </r>
    <r>
      <rPr>
        <sz val="11"/>
        <rFont val="Times New Roman"/>
        <family val="1"/>
      </rPr>
      <t xml:space="preserve"> paragraphs 25 &amp; 26)
</t>
    </r>
  </si>
  <si>
    <r>
      <t xml:space="preserve">8) </t>
    </r>
    <r>
      <rPr>
        <b/>
        <sz val="11"/>
        <rFont val="Times New Roman"/>
        <family val="1"/>
      </rPr>
      <t xml:space="preserve">Mortgage Banking Activities </t>
    </r>
    <r>
      <rPr>
        <sz val="11"/>
        <rFont val="Times New Roman"/>
        <family val="1"/>
      </rPr>
      <t>- Fees paid to permanent investors  prior to the sale of the loans (</t>
    </r>
    <r>
      <rPr>
        <b/>
        <u/>
        <sz val="11"/>
        <rFont val="Times New Roman"/>
        <family val="1"/>
      </rPr>
      <t>GASBS No. 65</t>
    </r>
    <r>
      <rPr>
        <sz val="11"/>
        <rFont val="Times New Roman"/>
        <family val="1"/>
      </rPr>
      <t xml:space="preserve"> paragraphs 25 &amp; 27)</t>
    </r>
  </si>
  <si>
    <r>
      <t>GASBS No. 33</t>
    </r>
    <r>
      <rPr>
        <sz val="11"/>
        <rFont val="Times New Roman"/>
        <family val="1"/>
      </rPr>
      <t>, applies to non-exchange transactions involving capital or financial resources.  The fair value of donated commodities should be recognized as revenue in the period when all eligibility requirements are met (typically, the period when the commodities are received).</t>
    </r>
  </si>
  <si>
    <r>
      <t>Purpose</t>
    </r>
    <r>
      <rPr>
        <sz val="9"/>
        <rFont val="Times New Roman"/>
        <family val="1"/>
      </rPr>
      <t>:  This tab is to help ensure completeness of this attachment.  After the attachment is completed please answer the following questions.</t>
    </r>
  </si>
  <si>
    <t>Check figure</t>
  </si>
  <si>
    <t>Tab 12-Net Inv in Cap Assets</t>
  </si>
  <si>
    <r>
      <t xml:space="preserve">                  If </t>
    </r>
    <r>
      <rPr>
        <b/>
        <sz val="10"/>
        <rFont val="Times New Roman"/>
        <family val="1"/>
      </rPr>
      <t>yes</t>
    </r>
    <r>
      <rPr>
        <sz val="10"/>
        <rFont val="Times New Roman"/>
        <family val="1"/>
      </rPr>
      <t xml:space="preserve">, complete b below.  If </t>
    </r>
    <r>
      <rPr>
        <b/>
        <sz val="10"/>
        <rFont val="Times New Roman"/>
        <family val="1"/>
      </rPr>
      <t>no</t>
    </r>
    <r>
      <rPr>
        <sz val="10"/>
        <rFont val="Times New Roman"/>
        <family val="1"/>
      </rPr>
      <t>, proceed to Part 3.</t>
    </r>
  </si>
  <si>
    <r>
      <t>Part 2 a):</t>
    </r>
    <r>
      <rPr>
        <sz val="10"/>
        <rFont val="Times New Roman"/>
        <family val="1"/>
      </rPr>
      <t xml:space="preserve">  Does the fund have any activity related to the Energy Leasing Program?  (See Attachment 10 Instructions).</t>
    </r>
  </si>
  <si>
    <r>
      <t>Part 2 b)</t>
    </r>
    <r>
      <rPr>
        <sz val="10"/>
        <rFont val="Times New Roman"/>
        <family val="1"/>
      </rPr>
      <t xml:space="preserve">:  Is the Installment Purchase Obligation related to the Energy Leasing Program included above? </t>
    </r>
  </si>
  <si>
    <r>
      <t xml:space="preserve">                  If </t>
    </r>
    <r>
      <rPr>
        <b/>
        <sz val="10"/>
        <rFont val="Times New Roman"/>
        <family val="1"/>
      </rPr>
      <t>no</t>
    </r>
    <r>
      <rPr>
        <sz val="10"/>
        <rFont val="Times New Roman"/>
        <family val="1"/>
      </rPr>
      <t xml:space="preserve">, provide explanation below. If </t>
    </r>
    <r>
      <rPr>
        <b/>
        <sz val="10"/>
        <rFont val="Times New Roman"/>
        <family val="1"/>
      </rPr>
      <t>yes</t>
    </r>
    <r>
      <rPr>
        <sz val="10"/>
        <rFont val="Times New Roman"/>
        <family val="1"/>
      </rPr>
      <t>, leave the yellow space blank.</t>
    </r>
  </si>
  <si>
    <t>If yes to 13h, does the transferor determine or have the ability to modify or approve what services the fund (operator) provides, to whom the fund (operator) provides the services, and the rates charged for the services?</t>
  </si>
  <si>
    <t>Corporate Bonds and Notes</t>
  </si>
  <si>
    <t>Virginia Lottery</t>
  </si>
  <si>
    <t xml:space="preserve">Other </t>
  </si>
  <si>
    <t>Statement of Revenues, Expenses and Changes in Fund Net Position</t>
  </si>
  <si>
    <t>External Party/Fiduciary Fund Receiving Payment</t>
  </si>
  <si>
    <t>Total Due to External Parties (Fiduciary Funds)</t>
  </si>
  <si>
    <t>Due from Other Funds - Total</t>
  </si>
  <si>
    <t>Due to Other Funds - Total</t>
  </si>
  <si>
    <t>Certification</t>
  </si>
  <si>
    <r>
      <t xml:space="preserve">If </t>
    </r>
    <r>
      <rPr>
        <b/>
        <sz val="11"/>
        <rFont val="Times New Roman"/>
        <family val="1"/>
      </rPr>
      <t>yes</t>
    </r>
    <r>
      <rPr>
        <sz val="11"/>
        <rFont val="Times New Roman"/>
        <family val="1"/>
      </rPr>
      <t>, answer the following.</t>
    </r>
  </si>
  <si>
    <t>Overall description</t>
  </si>
  <si>
    <t>Number of employees affected</t>
  </si>
  <si>
    <t>Time period that benefits will be provided</t>
  </si>
  <si>
    <t>Where are these amounts reported on the template?</t>
  </si>
  <si>
    <t>Significant methods and assumptions used to determine the termination benefit liabilities</t>
  </si>
  <si>
    <r>
      <t xml:space="preserve">1) </t>
    </r>
    <r>
      <rPr>
        <b/>
        <sz val="11"/>
        <rFont val="Times New Roman"/>
        <family val="1"/>
      </rPr>
      <t>Hedging Derivative Instruments</t>
    </r>
    <r>
      <rPr>
        <sz val="11"/>
        <rFont val="Times New Roman"/>
        <family val="1"/>
      </rPr>
      <t xml:space="preserve"> - Accumulated decrease in fair value of hedging derivative instruments (</t>
    </r>
    <r>
      <rPr>
        <b/>
        <u/>
        <sz val="11"/>
        <rFont val="Times New Roman"/>
        <family val="1"/>
      </rPr>
      <t>GASBS No. 53</t>
    </r>
    <r>
      <rPr>
        <sz val="11"/>
        <rFont val="Times New Roman"/>
        <family val="1"/>
      </rPr>
      <t xml:space="preserve">  paragraph 20)</t>
    </r>
  </si>
  <si>
    <r>
      <t xml:space="preserve">1)  </t>
    </r>
    <r>
      <rPr>
        <b/>
        <sz val="11"/>
        <rFont val="Times New Roman"/>
        <family val="1"/>
      </rPr>
      <t>Hedging Derivative Instruments</t>
    </r>
    <r>
      <rPr>
        <sz val="11"/>
        <rFont val="Times New Roman"/>
        <family val="1"/>
      </rPr>
      <t xml:space="preserve"> - Accumulated increase in fair value of hedging derivative instruments (</t>
    </r>
    <r>
      <rPr>
        <b/>
        <u/>
        <sz val="11"/>
        <rFont val="Times New Roman"/>
        <family val="1"/>
      </rPr>
      <t>GASBS No. 53</t>
    </r>
    <r>
      <rPr>
        <sz val="11"/>
        <rFont val="Times New Roman"/>
        <family val="1"/>
      </rPr>
      <t xml:space="preserve"> paragraph 20)</t>
    </r>
  </si>
  <si>
    <t>I certify that the above questions have been completed and are</t>
  </si>
  <si>
    <t>accurate.</t>
  </si>
  <si>
    <t xml:space="preserve">I certify that the above questions have been completed and are </t>
  </si>
  <si>
    <r>
      <t xml:space="preserve">Deferred outflows of resources attributable to the acquisition, construction, or improvement of capital assets or debt related to capital assets </t>
    </r>
    <r>
      <rPr>
        <b/>
        <sz val="10"/>
        <rFont val="Times New Roman"/>
        <family val="1"/>
      </rPr>
      <t xml:space="preserve"> - </t>
    </r>
    <r>
      <rPr>
        <sz val="10"/>
        <rFont val="Times New Roman"/>
        <family val="1"/>
      </rPr>
      <t>provide description (enter as a positive)</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</si>
  <si>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</si>
  <si>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t>Acronyms:   SNP - Statement of Net Position, SA - Statement of Activities, CF - Statement of Cash Flows</t>
  </si>
  <si>
    <t>Yes/No/N/A*</t>
  </si>
  <si>
    <t>Money market investments with a remaining maturity at the time of purchase of one year or less</t>
  </si>
  <si>
    <t>Patents/Trademarks/Copyrights</t>
  </si>
  <si>
    <t>Interest Expense (Nonoperating)</t>
  </si>
  <si>
    <r>
      <rPr>
        <b/>
        <u/>
        <sz val="9"/>
        <rFont val="Times New Roman"/>
        <family val="1"/>
      </rPr>
      <t>Note</t>
    </r>
    <r>
      <rPr>
        <b/>
        <sz val="9"/>
        <rFont val="Times New Roman"/>
        <family val="1"/>
      </rPr>
      <t xml:space="preserve">: </t>
    </r>
    <r>
      <rPr>
        <sz val="9"/>
        <rFont val="Times New Roman"/>
        <family val="1"/>
      </rPr>
      <t xml:space="preserve"> If you discover an "Error" message on any tab that cannot be corrected because of a formula error or you cannot determine why there is an "Error" message, contact DOA.</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</si>
  <si>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</si>
  <si>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Depreciable Works of Art / Historical Treasures</t>
  </si>
  <si>
    <t>Water Rights and / or Easements</t>
  </si>
  <si>
    <r>
      <t>Note</t>
    </r>
    <r>
      <rPr>
        <sz val="9"/>
        <rFont val="Times New Roman"/>
        <family val="1"/>
      </rPr>
      <t>:  Only complete this spreadsheet if beginning net position and / or beginning net cash and cash equivalent</t>
    </r>
  </si>
  <si>
    <t>Tab 11:  Transfers in / out</t>
  </si>
  <si>
    <t>Part 2.1)  Capitalized Interest</t>
  </si>
  <si>
    <t>Total Interest Cost Incurred</t>
  </si>
  <si>
    <t>Interest Cost Capitalized</t>
  </si>
  <si>
    <t>Other (Please provide a description)</t>
  </si>
  <si>
    <t>Internal Service Fund (Use drop-down list)</t>
  </si>
  <si>
    <t>Agency 129 - Risk Mgmt (DHRM)</t>
  </si>
  <si>
    <t>Agency 136 - Va Information Technology Agency</t>
  </si>
  <si>
    <t>Agency 151 - DOA (Enterprise Applications)</t>
  </si>
  <si>
    <t>Agency 151 - DOA (Payroll Service Bureau)</t>
  </si>
  <si>
    <t>Agency 152 - Risk Mgmt (Treasury)</t>
  </si>
  <si>
    <r>
      <t xml:space="preserve">Insurance Recovery $ included in the net impairment loss / gain calculation (see </t>
    </r>
    <r>
      <rPr>
        <b/>
        <u val="singleAccounting"/>
        <sz val="8"/>
        <rFont val="Times New Roman"/>
        <family val="1"/>
      </rPr>
      <t>Note a</t>
    </r>
    <r>
      <rPr>
        <sz val="8"/>
        <rFont val="Times New Roman"/>
        <family val="1"/>
      </rPr>
      <t>)</t>
    </r>
  </si>
  <si>
    <r>
      <t xml:space="preserve">If </t>
    </r>
    <r>
      <rPr>
        <b/>
        <sz val="8"/>
        <rFont val="Times New Roman"/>
        <family val="1"/>
      </rPr>
      <t>yes</t>
    </r>
    <r>
      <rPr>
        <sz val="8"/>
        <rFont val="Times New Roman"/>
        <family val="1"/>
      </rPr>
      <t xml:space="preserve">, provide a description of the event or change in circumstances, month / year it took place, the possible impaired capital assets, and then go to B.
If </t>
    </r>
    <r>
      <rPr>
        <b/>
        <sz val="8"/>
        <rFont val="Times New Roman"/>
        <family val="1"/>
      </rPr>
      <t>no</t>
    </r>
    <r>
      <rPr>
        <sz val="8"/>
        <rFont val="Times New Roman"/>
        <family val="1"/>
      </rPr>
      <t>, proceed to next financial statement template footnote tab.</t>
    </r>
  </si>
  <si>
    <t>Does the enterprise fund have any subsequent events that need to be reported and / or disclosed?</t>
  </si>
  <si>
    <t>Charges for Goods / Services</t>
  </si>
  <si>
    <t>Net Pension Liability</t>
  </si>
  <si>
    <t xml:space="preserve">Net Pension Liability </t>
  </si>
  <si>
    <t>Increase (Decrease) in Net Pension Liability</t>
  </si>
  <si>
    <t xml:space="preserve">Increase (Decrease) in Net Pension Liability </t>
  </si>
  <si>
    <t>Deferred Outflows of Resources</t>
  </si>
  <si>
    <t>Total Assets and Def. Outflows</t>
  </si>
  <si>
    <t>Deferred Inflows of Resources</t>
  </si>
  <si>
    <t>Total Liabilities and Def. Inflows of Resources</t>
  </si>
  <si>
    <t>(Increase) Decrease in Deferred Outflows of Resources</t>
  </si>
  <si>
    <t>Increase (Decrease) in Deferred Inflows of Resources</t>
  </si>
  <si>
    <t>Change in Deferred Outflows of Resources and Deferred Inflows of Resources:</t>
  </si>
  <si>
    <t>Business Unit</t>
  </si>
  <si>
    <t>Investment Type</t>
  </si>
  <si>
    <t>Fair Value at June 30</t>
  </si>
  <si>
    <t>-Investment derivative instrument - a) held primarily for the purpose of income or profit, and b) has a present service capacity based solely on its ability to generate cash</t>
  </si>
  <si>
    <t>1h)</t>
  </si>
  <si>
    <t>Note C</t>
  </si>
  <si>
    <t>Significant other observable inputs
(Level 2)</t>
  </si>
  <si>
    <t>Significant unobservable inputs
(Level 3)</t>
  </si>
  <si>
    <t>Total Fair Value        $ Amount</t>
  </si>
  <si>
    <t>General description and valuation technique used for items reported at fair value</t>
  </si>
  <si>
    <t>Quoted Prices in Active Markets for Identical Assets (Level 1)</t>
  </si>
  <si>
    <t>Significant Unobservable Inputs (Level 3)</t>
  </si>
  <si>
    <t>Significant Other Observable Inputs  (Level 2)</t>
  </si>
  <si>
    <t>a)  Reported amount included in:</t>
  </si>
  <si>
    <t xml:space="preserve">            Total Nonnegotiable Certificates of Deposit (not held with the Treasurer of VA)</t>
  </si>
  <si>
    <r>
      <t>Note A</t>
    </r>
    <r>
      <rPr>
        <sz val="8"/>
        <rFont val="Times New Roman"/>
        <family val="1"/>
      </rPr>
      <t xml:space="preserve">:  Provide amounts by fund below. If the amount represents a receivable from </t>
    </r>
    <r>
      <rPr>
        <b/>
        <sz val="8"/>
        <rFont val="Times New Roman"/>
        <family val="1"/>
      </rPr>
      <t>within the same business unit</t>
    </r>
  </si>
  <si>
    <t>it should be reported as Due from Other Funds.  Amounts receivable from a different business unit should be reported</t>
  </si>
  <si>
    <r>
      <t>Note B</t>
    </r>
    <r>
      <rPr>
        <sz val="8"/>
        <rFont val="Times New Roman"/>
        <family val="1"/>
      </rPr>
      <t xml:space="preserve">:  Provide amounts by business unit below. </t>
    </r>
  </si>
  <si>
    <t>Part 2 c): Reconcile Total Future Payments to MELP Listing</t>
  </si>
  <si>
    <t>Total Future Principal Payments</t>
  </si>
  <si>
    <t>Agency Total Shown on MELP listing</t>
  </si>
  <si>
    <t>Variance</t>
  </si>
  <si>
    <r>
      <t xml:space="preserve">Explanation needed if MELP listing exceeds this attachment?  If </t>
    </r>
    <r>
      <rPr>
        <b/>
        <sz val="10"/>
        <color indexed="10"/>
        <rFont val="Times New Roman"/>
        <family val="1"/>
      </rPr>
      <t>YES</t>
    </r>
    <r>
      <rPr>
        <sz val="10"/>
        <color indexed="8"/>
        <rFont val="Times New Roman"/>
        <family val="1"/>
      </rPr>
      <t>, give explanation in space provided below.</t>
    </r>
  </si>
  <si>
    <t>Explanation of material variances:</t>
  </si>
  <si>
    <r>
      <t xml:space="preserve">9) </t>
    </r>
    <r>
      <rPr>
        <b/>
        <sz val="11"/>
        <rFont val="Times New Roman"/>
        <family val="1"/>
      </rPr>
      <t>Pension-Related</t>
    </r>
    <r>
      <rPr>
        <sz val="11"/>
        <rFont val="Times New Roman"/>
        <family val="1"/>
      </rPr>
      <t xml:space="preserve"> - VRS defined benefit pension plans</t>
    </r>
    <r>
      <rPr>
        <b/>
        <u/>
        <sz val="11"/>
        <rFont val="Times New Roman"/>
        <family val="1"/>
      </rPr>
      <t xml:space="preserve"> (GASBS No. 68</t>
    </r>
    <r>
      <rPr>
        <sz val="11"/>
        <rFont val="Times New Roman"/>
        <family val="1"/>
      </rPr>
      <t xml:space="preserve">, as amended by </t>
    </r>
    <r>
      <rPr>
        <b/>
        <u/>
        <sz val="11"/>
        <rFont val="Times New Roman"/>
        <family val="1"/>
      </rPr>
      <t>GASBS No. 73)</t>
    </r>
  </si>
  <si>
    <t>6a</t>
  </si>
  <si>
    <r>
      <rPr>
        <b/>
        <sz val="10"/>
        <rFont val="Times New Roman"/>
        <family val="1"/>
      </rPr>
      <t>Are there any enhanced retirement benefits being reported that are not from a plan listed below? If yes, please provide a brief description including the name of the plan.</t>
    </r>
    <r>
      <rPr>
        <sz val="10"/>
        <rFont val="Times New Roman"/>
        <family val="1"/>
      </rPr>
      <t xml:space="preserve">  
</t>
    </r>
    <r>
      <rPr>
        <b/>
        <sz val="10"/>
        <rFont val="Times New Roman"/>
        <family val="1"/>
      </rPr>
      <t>1) the defined benefit pension plan,</t>
    </r>
    <r>
      <rPr>
        <sz val="10"/>
        <rFont val="Times New Roman"/>
        <family val="1"/>
      </rPr>
      <t xml:space="preserve"> 
</t>
    </r>
    <r>
      <rPr>
        <b/>
        <sz val="10"/>
        <rFont val="Times New Roman"/>
        <family val="1"/>
      </rPr>
      <t>2) the Commonwealth's Health Insurance Credit (HIC) program</t>
    </r>
    <r>
      <rPr>
        <sz val="10"/>
        <rFont val="Times New Roman"/>
        <family val="1"/>
      </rPr>
      <t xml:space="preserve"> where benefits are provided to retired employees based on years of service credit or towards their monthly health insurance premiums, 
</t>
    </r>
    <r>
      <rPr>
        <b/>
        <sz val="10"/>
        <rFont val="Times New Roman"/>
        <family val="1"/>
      </rPr>
      <t xml:space="preserve">3) the Commonwealth's Pre-Medicare Retiree Healthcare program </t>
    </r>
    <r>
      <rPr>
        <sz val="10"/>
        <rFont val="Times New Roman"/>
        <family val="1"/>
      </rPr>
      <t xml:space="preserve">where the Commonwealth provides a group healthcare plan to retired employees who are not yet eligible to participate in Medicare, 
</t>
    </r>
    <r>
      <rPr>
        <b/>
        <sz val="10"/>
        <rFont val="Times New Roman"/>
        <family val="1"/>
      </rPr>
      <t>4) the Commonwealth's Group Life Insurance Program</t>
    </r>
    <r>
      <rPr>
        <sz val="10"/>
        <rFont val="Times New Roman"/>
        <family val="1"/>
      </rPr>
      <t xml:space="preserve"> where the Commonwealth provides postemployment group life insurance benefits to eligible retired employees, or 
</t>
    </r>
    <r>
      <rPr>
        <b/>
        <sz val="10"/>
        <rFont val="Times New Roman"/>
        <family val="1"/>
      </rPr>
      <t>5) the Commonwealth's Disability Insurance Trust Fund program</t>
    </r>
    <r>
      <rPr>
        <sz val="10"/>
        <rFont val="Times New Roman"/>
        <family val="1"/>
      </rPr>
      <t xml:space="preserve"> where the Commonwealth provides disability insurance benefits to eligible retired state employees.</t>
    </r>
  </si>
  <si>
    <t xml:space="preserve">     Cash Equivalents not held with the Treasurer of VA</t>
  </si>
  <si>
    <t xml:space="preserve">     Investments not held with the Treasurer of VA</t>
  </si>
  <si>
    <t>Note A:  Please ensure this amount is appropriately revised to consider any Capital Assets purchased with bond proceeds that were subsequently permanently impaired.</t>
  </si>
  <si>
    <t>Note A</t>
  </si>
  <si>
    <t>Note B</t>
  </si>
  <si>
    <t>Total fair value amount</t>
  </si>
  <si>
    <t>(Linked)</t>
  </si>
  <si>
    <t>Total fair value amount using net asset value per share (or its equivalent)</t>
  </si>
  <si>
    <t>Fund</t>
  </si>
  <si>
    <t>Account</t>
  </si>
  <si>
    <t>Fund for the entity that is recording the transfer in</t>
  </si>
  <si>
    <t>Fund for the entity that is recording the transfer out</t>
  </si>
  <si>
    <t>Business Unit name transferred in from</t>
  </si>
  <si>
    <t>Business Unit # transferred in from</t>
  </si>
  <si>
    <t>Business Unit name transferred out to</t>
  </si>
  <si>
    <t>Business Unit # transferred out to</t>
  </si>
  <si>
    <t>Fund (Text)</t>
  </si>
  <si>
    <t>Fund (numeric)</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</si>
  <si>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</si>
  <si>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</si>
  <si>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</si>
  <si>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</si>
  <si>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</si>
  <si>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</si>
  <si>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</si>
  <si>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</si>
  <si>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</si>
  <si>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</si>
  <si>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</si>
  <si>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</si>
  <si>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</si>
  <si>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</si>
  <si>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</si>
  <si>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</si>
  <si>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</si>
  <si>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</si>
  <si>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</si>
  <si>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</si>
  <si>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</si>
  <si>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</si>
  <si>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</si>
  <si>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</si>
  <si>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</si>
  <si>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</si>
  <si>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</si>
  <si>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</si>
  <si>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</si>
  <si>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</si>
  <si>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</si>
  <si>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</si>
  <si>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</si>
  <si>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</si>
  <si>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</si>
  <si>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</si>
  <si>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</si>
  <si>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</si>
  <si>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</si>
  <si>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</si>
  <si>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</si>
  <si>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</si>
  <si>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</si>
  <si>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</si>
  <si>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</si>
  <si>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</si>
  <si>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</si>
  <si>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</si>
  <si>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</si>
  <si>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</si>
  <si>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</si>
  <si>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</si>
  <si>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</si>
  <si>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</si>
  <si>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</si>
  <si>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</si>
  <si>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</si>
  <si>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</si>
  <si>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</si>
  <si>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</si>
  <si>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</si>
  <si>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</si>
  <si>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</si>
  <si>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</si>
  <si>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</si>
  <si>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</si>
  <si>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</si>
  <si>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</si>
  <si>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</si>
  <si>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</si>
  <si>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</si>
  <si>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</si>
  <si>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</si>
  <si>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</si>
  <si>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</si>
  <si>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</si>
  <si>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</si>
  <si>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</si>
  <si>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</si>
  <si>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</si>
  <si>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</si>
  <si>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</si>
  <si>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</si>
  <si>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</si>
  <si>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</si>
  <si>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</si>
  <si>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</si>
  <si>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</si>
  <si>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</si>
  <si>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</si>
  <si>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</si>
  <si>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</si>
  <si>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</si>
  <si>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</si>
  <si>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</si>
  <si>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</si>
  <si>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</si>
  <si>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</si>
  <si>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</si>
  <si>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</si>
  <si>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</si>
  <si>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</si>
  <si>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</si>
  <si>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</si>
  <si>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</si>
  <si>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</si>
  <si>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</si>
  <si>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</si>
  <si>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</si>
  <si>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</si>
  <si>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</si>
  <si>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</si>
  <si>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</si>
  <si>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</si>
  <si>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</si>
  <si>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</si>
  <si>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</si>
  <si>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</si>
  <si>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</si>
  <si>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</si>
  <si>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</si>
  <si>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</si>
  <si>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</si>
  <si>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</si>
  <si>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</si>
  <si>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</si>
  <si>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</si>
  <si>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</si>
  <si>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</si>
  <si>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</si>
  <si>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</si>
  <si>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</si>
  <si>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</si>
  <si>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</si>
  <si>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</si>
  <si>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</si>
  <si>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</si>
  <si>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</si>
  <si>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</si>
  <si>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</si>
  <si>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</si>
  <si>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</si>
  <si>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</si>
  <si>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</si>
  <si>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</si>
  <si>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</si>
  <si>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</si>
  <si>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</si>
  <si>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</si>
  <si>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</si>
  <si>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</si>
  <si>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</si>
  <si>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</si>
  <si>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</si>
  <si>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</si>
  <si>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</si>
  <si>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</si>
  <si>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</si>
  <si>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</si>
  <si>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</si>
  <si>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</si>
  <si>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</si>
  <si>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</si>
  <si>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</si>
  <si>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</si>
  <si>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</si>
  <si>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</si>
  <si>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</si>
  <si>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</si>
  <si>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</si>
  <si>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</si>
  <si>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</si>
  <si>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</si>
  <si>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</si>
  <si>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</si>
  <si>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</si>
  <si>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</si>
  <si>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</si>
  <si>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</si>
  <si>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</si>
  <si>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</si>
  <si>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</si>
  <si>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</si>
  <si>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</si>
  <si>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</si>
  <si>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</si>
  <si>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</si>
  <si>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</si>
  <si>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</si>
  <si>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</si>
  <si>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</si>
  <si>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</si>
  <si>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</si>
  <si>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</si>
  <si>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</si>
  <si>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</si>
  <si>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</si>
  <si>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</si>
  <si>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</si>
  <si>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</si>
  <si>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</si>
  <si>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</si>
  <si>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</si>
  <si>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</si>
  <si>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</si>
  <si>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</si>
  <si>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</si>
  <si>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</si>
  <si>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</si>
  <si>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</si>
  <si>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</si>
  <si>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</si>
  <si>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</si>
  <si>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</si>
  <si>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</si>
  <si>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</si>
  <si>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</si>
  <si>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</si>
  <si>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</si>
  <si>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</si>
  <si>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</si>
  <si>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</si>
  <si>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</si>
  <si>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</si>
  <si>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</si>
  <si>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</si>
  <si>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</si>
  <si>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</si>
  <si>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</si>
  <si>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</si>
  <si>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</si>
  <si>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</si>
  <si>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</si>
  <si>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</si>
  <si>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</si>
  <si>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</si>
  <si>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</si>
  <si>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</si>
  <si>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</si>
  <si>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</si>
  <si>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</si>
  <si>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</si>
  <si>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</si>
  <si>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</si>
  <si>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</si>
  <si>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</si>
  <si>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</si>
  <si>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</si>
  <si>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</si>
  <si>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</si>
  <si>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</si>
  <si>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</si>
  <si>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</si>
  <si>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</si>
  <si>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</si>
  <si>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</si>
  <si>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</si>
  <si>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</si>
  <si>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</si>
  <si>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</si>
  <si>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</si>
  <si>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</si>
  <si>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</si>
  <si>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</si>
  <si>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</si>
  <si>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</si>
  <si>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</si>
  <si>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</si>
  <si>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</si>
  <si>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</si>
  <si>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</si>
  <si>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</si>
  <si>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</si>
  <si>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</si>
  <si>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</si>
  <si>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</si>
  <si>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</si>
  <si>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</si>
  <si>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</si>
  <si>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</si>
  <si>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</si>
  <si>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</si>
  <si>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</si>
  <si>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</si>
  <si>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</si>
  <si>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</si>
  <si>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</si>
  <si>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</si>
  <si>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</si>
  <si>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</si>
  <si>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</si>
  <si>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</si>
  <si>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</si>
  <si>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</si>
  <si>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</si>
  <si>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</si>
  <si>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</si>
  <si>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</si>
  <si>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</si>
  <si>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</si>
  <si>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</si>
  <si>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</si>
  <si>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</si>
  <si>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</si>
  <si>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</si>
  <si>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</si>
  <si>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</si>
  <si>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</si>
  <si>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</si>
  <si>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</si>
  <si>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</si>
  <si>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</si>
  <si>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</si>
  <si>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</si>
  <si>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</si>
  <si>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</si>
  <si>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</si>
  <si>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</si>
  <si>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</si>
  <si>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</si>
  <si>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</si>
  <si>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</si>
  <si>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</si>
  <si>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</si>
  <si>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</si>
  <si>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</si>
  <si>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</si>
  <si>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</si>
  <si>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</si>
  <si>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</si>
  <si>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</si>
  <si>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</si>
  <si>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</si>
  <si>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</si>
  <si>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</si>
  <si>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</si>
  <si>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</si>
  <si>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</si>
  <si>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</si>
  <si>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</si>
  <si>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</si>
  <si>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</si>
  <si>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</si>
  <si>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</si>
  <si>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</si>
  <si>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</si>
  <si>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</si>
  <si>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</si>
  <si>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</si>
  <si>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</si>
  <si>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</si>
  <si>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</si>
  <si>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</si>
  <si>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</si>
  <si>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</si>
  <si>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</si>
  <si>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</si>
  <si>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</si>
  <si>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</si>
  <si>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</si>
  <si>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</si>
  <si>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</si>
  <si>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</si>
  <si>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</si>
  <si>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</si>
  <si>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</si>
  <si>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</si>
  <si>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</si>
  <si>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</si>
  <si>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</si>
  <si>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</si>
  <si>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</si>
  <si>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</si>
  <si>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</si>
  <si>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</si>
  <si>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</si>
  <si>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</si>
  <si>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</si>
  <si>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</si>
  <si>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</si>
  <si>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</si>
  <si>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</si>
  <si>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</si>
  <si>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</si>
  <si>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</si>
  <si>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</si>
  <si>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</si>
  <si>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</si>
  <si>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</si>
  <si>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</si>
  <si>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</si>
  <si>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</si>
  <si>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</si>
  <si>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</si>
  <si>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</si>
  <si>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</si>
  <si>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</si>
  <si>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</si>
  <si>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</si>
  <si>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</si>
  <si>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</si>
  <si>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</si>
  <si>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</si>
  <si>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</si>
  <si>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</si>
  <si>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</si>
  <si>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</si>
  <si>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</si>
  <si>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</si>
  <si>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</si>
  <si>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</si>
  <si>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</si>
  <si>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</si>
  <si>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</si>
  <si>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</si>
  <si>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</si>
  <si>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</si>
  <si>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</si>
  <si>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</si>
  <si>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</si>
  <si>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</si>
  <si>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</si>
  <si>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</si>
  <si>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</si>
  <si>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</si>
  <si>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</si>
  <si>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</si>
  <si>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</si>
  <si>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</si>
  <si>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</si>
  <si>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</si>
  <si>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</si>
  <si>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</si>
  <si>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</si>
  <si>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</si>
  <si>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</si>
  <si>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</si>
  <si>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</si>
  <si>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</si>
  <si>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</si>
  <si>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</si>
  <si>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</si>
  <si>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</si>
  <si>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</si>
  <si>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</si>
  <si>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</si>
  <si>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</si>
  <si>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</si>
  <si>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</si>
  <si>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</si>
  <si>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</si>
  <si>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</si>
  <si>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</si>
  <si>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</si>
  <si>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</si>
  <si>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</si>
  <si>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</si>
  <si>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</si>
  <si>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</si>
  <si>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</si>
  <si>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</si>
  <si>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</si>
  <si>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</si>
  <si>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</si>
  <si>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</si>
  <si>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</si>
  <si>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</si>
  <si>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</si>
  <si>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</si>
  <si>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</si>
  <si>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</si>
  <si>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</si>
  <si>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</si>
  <si>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</si>
  <si>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</si>
  <si>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</si>
  <si>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</si>
  <si>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</si>
  <si>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</si>
  <si>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</si>
  <si>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</si>
  <si>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</si>
  <si>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</si>
  <si>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</si>
  <si>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</si>
  <si>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</si>
  <si>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</si>
  <si>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</si>
  <si>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</si>
  <si>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</si>
  <si>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</si>
  <si>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</si>
  <si>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</si>
  <si>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</si>
  <si>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</si>
  <si>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</si>
  <si>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</si>
  <si>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</si>
  <si>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</si>
  <si>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</si>
  <si>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</si>
  <si>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</si>
  <si>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</si>
  <si>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</si>
  <si>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</si>
  <si>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</si>
  <si>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</si>
  <si>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</si>
  <si>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</si>
  <si>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</si>
  <si>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</si>
  <si>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</si>
  <si>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</si>
  <si>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</si>
  <si>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</si>
  <si>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</si>
  <si>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</si>
  <si>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</si>
  <si>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</si>
  <si>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</si>
  <si>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</si>
  <si>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</si>
  <si>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</si>
  <si>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</si>
  <si>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</si>
  <si>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</si>
  <si>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</si>
  <si>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</si>
  <si>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</si>
  <si>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</si>
  <si>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</si>
  <si>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</si>
  <si>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</si>
  <si>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</si>
  <si>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</si>
  <si>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</si>
  <si>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</si>
  <si>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</si>
  <si>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</si>
  <si>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</si>
  <si>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</si>
  <si>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</si>
  <si>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</si>
  <si>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</si>
  <si>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</si>
  <si>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</si>
  <si>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</si>
  <si>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</si>
  <si>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</si>
  <si>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</si>
  <si>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</si>
  <si>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</si>
  <si>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</si>
  <si>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</si>
  <si>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</si>
  <si>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</si>
  <si>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</si>
  <si>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</si>
  <si>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</si>
  <si>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</si>
  <si>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</si>
  <si>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</si>
  <si>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</si>
  <si>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</si>
  <si>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</si>
  <si>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</si>
  <si>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</si>
  <si>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</si>
  <si>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</si>
  <si>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</si>
  <si>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</si>
  <si>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</si>
  <si>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</si>
  <si>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</si>
  <si>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</si>
  <si>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</si>
  <si>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</si>
  <si>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</si>
  <si>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</si>
  <si>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</si>
  <si>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</si>
  <si>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</si>
  <si>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</si>
  <si>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</si>
  <si>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</si>
  <si>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</si>
  <si>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</si>
  <si>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</si>
  <si>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</si>
  <si>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</si>
  <si>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</si>
  <si>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</si>
  <si>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</si>
  <si>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</si>
  <si>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</si>
  <si>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</si>
  <si>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</si>
  <si>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</si>
  <si>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</si>
  <si>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</si>
  <si>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</si>
  <si>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</si>
  <si>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</si>
  <si>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</si>
  <si>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</si>
  <si>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</si>
  <si>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</si>
  <si>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</si>
  <si>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</si>
  <si>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</si>
  <si>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</si>
  <si>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</si>
  <si>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</si>
  <si>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</si>
  <si>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</si>
  <si>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</si>
  <si>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</si>
  <si>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</si>
  <si>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</si>
  <si>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</si>
  <si>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</si>
  <si>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</si>
  <si>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</si>
  <si>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</si>
  <si>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</si>
  <si>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</si>
  <si>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</si>
  <si>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</si>
  <si>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</si>
  <si>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</si>
  <si>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</si>
  <si>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</si>
  <si>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</si>
  <si>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</si>
  <si>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</si>
  <si>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</si>
  <si>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</si>
  <si>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</si>
  <si>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</si>
  <si>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</si>
  <si>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</si>
  <si>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</si>
  <si>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</si>
  <si>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</si>
  <si>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</si>
  <si>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</si>
  <si>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</si>
  <si>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</si>
  <si>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</si>
  <si>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</si>
  <si>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</si>
  <si>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</si>
  <si>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</si>
  <si>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</si>
  <si>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</si>
  <si>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</si>
  <si>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</si>
  <si>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</si>
  <si>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</si>
  <si>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</si>
  <si>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</si>
  <si>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</si>
  <si>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</si>
  <si>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</si>
  <si>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</si>
  <si>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</si>
  <si>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</si>
  <si>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</si>
  <si>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</si>
  <si>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</si>
  <si>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</si>
  <si>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</si>
  <si>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</si>
  <si>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</si>
  <si>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</si>
  <si>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</si>
  <si>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</si>
  <si>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</si>
  <si>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</si>
  <si>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</si>
  <si>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</si>
  <si>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</si>
  <si>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</si>
  <si>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</si>
  <si>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</si>
  <si>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</si>
  <si>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</si>
  <si>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</si>
  <si>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</si>
  <si>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</si>
  <si>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</si>
  <si>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</si>
  <si>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</si>
  <si>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</si>
  <si>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</si>
  <si>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</si>
  <si>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</si>
  <si>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</si>
  <si>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</si>
  <si>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</si>
  <si>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</si>
  <si>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</si>
  <si>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</si>
  <si>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</si>
  <si>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</si>
  <si>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</si>
  <si>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</si>
  <si>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</si>
  <si>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</si>
  <si>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</si>
  <si>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</si>
  <si>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</si>
  <si>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</si>
  <si>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</si>
  <si>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</si>
  <si>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</si>
  <si>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</si>
  <si>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</si>
  <si>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</si>
  <si>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</si>
  <si>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</si>
  <si>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</si>
  <si>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</si>
  <si>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</si>
  <si>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</si>
  <si>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</si>
  <si>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</si>
  <si>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</si>
  <si>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</si>
  <si>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</si>
  <si>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</si>
  <si>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</si>
  <si>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</si>
  <si>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</si>
  <si>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</si>
  <si>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</si>
  <si>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</si>
  <si>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</si>
  <si>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</si>
  <si>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</si>
  <si>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</si>
  <si>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</si>
  <si>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</si>
  <si>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</si>
  <si>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</si>
  <si>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</si>
  <si>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</si>
  <si>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</si>
  <si>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</si>
  <si>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</si>
  <si>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</si>
  <si>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</si>
  <si>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</si>
  <si>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</si>
  <si>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</si>
  <si>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</si>
  <si>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</si>
  <si>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</si>
  <si>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</si>
  <si>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</si>
  <si>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</si>
  <si>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</si>
  <si>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</si>
  <si>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</si>
  <si>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</si>
  <si>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</si>
  <si>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</si>
  <si>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</si>
  <si>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</si>
  <si>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</si>
  <si>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</si>
  <si>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</si>
  <si>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</si>
  <si>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</si>
  <si>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</si>
  <si>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</si>
  <si>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</si>
  <si>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</si>
  <si>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</si>
  <si>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</si>
  <si>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</si>
  <si>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</si>
  <si>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</si>
  <si>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</si>
  <si>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</si>
  <si>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</si>
  <si>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</si>
  <si>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</si>
  <si>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</si>
  <si>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</si>
  <si>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</si>
  <si>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</si>
  <si>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</si>
  <si>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</si>
  <si>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</si>
  <si>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</si>
  <si>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</si>
  <si>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</si>
  <si>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</si>
  <si>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</si>
  <si>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</si>
  <si>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</si>
  <si>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</si>
  <si>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</si>
  <si>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</si>
  <si>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</si>
  <si>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</si>
  <si>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</si>
  <si>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</si>
  <si>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</si>
  <si>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</si>
  <si>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</si>
  <si>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</si>
  <si>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</si>
  <si>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</si>
  <si>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</si>
  <si>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</si>
  <si>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</si>
  <si>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</si>
  <si>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</si>
  <si>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</si>
  <si>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</si>
  <si>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</si>
  <si>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</si>
  <si>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</si>
  <si>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</si>
  <si>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</si>
  <si>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</si>
  <si>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</si>
  <si>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</si>
  <si>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</si>
  <si>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</si>
  <si>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</si>
  <si>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</si>
  <si>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</si>
  <si>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</si>
  <si>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</si>
  <si>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</si>
  <si>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</si>
  <si>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</si>
  <si>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</si>
  <si>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</si>
  <si>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</si>
  <si>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</si>
  <si>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</si>
  <si>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</si>
  <si>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</si>
  <si>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</si>
  <si>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</si>
  <si>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</si>
  <si>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</si>
  <si>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</si>
  <si>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</si>
  <si>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</si>
  <si>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</si>
  <si>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</si>
  <si>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</si>
  <si>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</si>
  <si>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</si>
  <si>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</si>
  <si>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</si>
  <si>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</si>
  <si>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</si>
  <si>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</si>
  <si>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</si>
  <si>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</si>
  <si>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</si>
  <si>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</si>
  <si>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</si>
  <si>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</si>
  <si>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</si>
  <si>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</si>
  <si>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</si>
  <si>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</si>
  <si>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</si>
  <si>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</si>
  <si>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</si>
  <si>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</si>
  <si>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</si>
  <si>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</si>
  <si>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</si>
  <si>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</si>
  <si>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</si>
  <si>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</si>
  <si>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</si>
  <si>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</si>
  <si>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</si>
  <si>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</si>
  <si>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</si>
  <si>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</si>
  <si>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</si>
  <si>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</si>
  <si>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</si>
  <si>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</si>
  <si>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</si>
  <si>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</si>
  <si>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</si>
  <si>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</si>
  <si>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</si>
  <si>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</si>
  <si>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</si>
  <si>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</si>
  <si>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</si>
  <si>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</si>
  <si>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</si>
  <si>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</si>
  <si>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</si>
  <si>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</si>
  <si>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</si>
  <si>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</si>
  <si>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</si>
  <si>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</si>
  <si>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</si>
  <si>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</si>
  <si>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</si>
  <si>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</si>
  <si>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</si>
  <si>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</si>
  <si>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</si>
  <si>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</si>
  <si>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</si>
  <si>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</si>
  <si>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</si>
  <si>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</si>
  <si>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</si>
  <si>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</si>
  <si>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</si>
  <si>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</si>
  <si>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</si>
  <si>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</si>
  <si>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</si>
  <si>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</si>
  <si>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</si>
  <si>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</si>
  <si>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</si>
  <si>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</si>
  <si>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</si>
  <si>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</si>
  <si>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</si>
  <si>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</si>
  <si>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</si>
  <si>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</si>
  <si>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</si>
  <si>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</si>
  <si>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</si>
  <si>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</si>
  <si>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</si>
  <si>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</si>
  <si>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</si>
  <si>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</si>
  <si>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</si>
  <si>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</si>
  <si>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</si>
  <si>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</si>
  <si>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</si>
  <si>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</si>
  <si>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</si>
  <si>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</si>
  <si>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</si>
  <si>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</si>
  <si>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</si>
  <si>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</si>
  <si>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</si>
  <si>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</si>
  <si>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</si>
  <si>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</si>
  <si>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</si>
  <si>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</si>
  <si>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</si>
  <si>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</si>
  <si>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</si>
  <si>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</si>
  <si>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</si>
  <si>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</si>
  <si>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</si>
  <si>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</si>
  <si>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</si>
  <si>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</si>
  <si>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</si>
  <si>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</si>
  <si>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</si>
  <si>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</si>
  <si>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</si>
  <si>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</si>
  <si>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</si>
  <si>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</si>
  <si>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</si>
  <si>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</si>
  <si>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</si>
  <si>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</si>
  <si>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</si>
  <si>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</si>
  <si>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</si>
  <si>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</si>
  <si>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</si>
  <si>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</si>
  <si>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</si>
  <si>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</si>
  <si>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</si>
  <si>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</si>
  <si>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</si>
  <si>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</si>
  <si>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</si>
  <si>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</si>
  <si>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</si>
  <si>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</si>
  <si>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</si>
  <si>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</si>
  <si>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</si>
  <si>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</si>
  <si>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</si>
  <si>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</si>
  <si>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</si>
  <si>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</si>
  <si>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</si>
  <si>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</si>
  <si>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</si>
  <si>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</si>
  <si>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</si>
  <si>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</si>
  <si>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</si>
  <si>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</si>
  <si>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</si>
  <si>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</si>
  <si>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</si>
  <si>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</si>
  <si>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</si>
  <si>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</si>
  <si>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</si>
  <si>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</si>
  <si>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</si>
  <si>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</si>
  <si>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</si>
  <si>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</si>
  <si>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</si>
  <si>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</si>
  <si>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</si>
  <si>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</si>
  <si>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</si>
  <si>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</si>
  <si>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</si>
  <si>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</si>
  <si>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</si>
  <si>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</si>
  <si>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</si>
  <si>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</si>
  <si>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</si>
  <si>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</si>
  <si>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</si>
  <si>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</si>
  <si>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</si>
  <si>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</si>
  <si>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</si>
  <si>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</si>
  <si>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</si>
  <si>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</si>
  <si>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</si>
  <si>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</si>
  <si>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</si>
  <si>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</si>
  <si>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</si>
  <si>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</si>
  <si>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</si>
  <si>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</si>
  <si>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</si>
  <si>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</si>
  <si>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</si>
  <si>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</si>
  <si>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</si>
  <si>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</si>
  <si>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</si>
  <si>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</si>
  <si>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</si>
  <si>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</si>
  <si>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</si>
  <si>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</si>
  <si>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</si>
  <si>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</si>
  <si>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</si>
  <si>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</si>
  <si>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</si>
  <si>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</si>
  <si>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</si>
  <si>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</si>
  <si>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</si>
  <si>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</si>
  <si>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</si>
  <si>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</si>
  <si>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</si>
  <si>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</si>
  <si>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</si>
  <si>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</si>
  <si>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</si>
  <si>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</si>
  <si>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</si>
  <si>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</si>
  <si>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</si>
  <si>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</si>
  <si>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</si>
  <si>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</si>
  <si>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</si>
  <si>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</si>
  <si>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</si>
  <si>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</si>
  <si>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</si>
  <si>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</si>
  <si>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</si>
  <si>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</si>
  <si>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</si>
  <si>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</si>
  <si>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</si>
  <si>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</si>
  <si>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</si>
  <si>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</si>
  <si>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</si>
  <si>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</si>
  <si>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</si>
  <si>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</si>
  <si>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</si>
  <si>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</si>
  <si>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</si>
  <si>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</si>
  <si>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</si>
  <si>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</si>
  <si>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</si>
  <si>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</si>
  <si>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</si>
  <si>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</si>
  <si>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</si>
  <si>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</si>
  <si>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</si>
  <si>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</si>
  <si>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</si>
  <si>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</si>
  <si>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</si>
  <si>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</si>
  <si>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</si>
  <si>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</si>
  <si>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</si>
  <si>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</si>
  <si>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</si>
  <si>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</si>
  <si>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</si>
  <si>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</si>
  <si>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</si>
  <si>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</si>
  <si>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</si>
  <si>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</si>
  <si>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</si>
  <si>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</si>
  <si>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</si>
  <si>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</si>
  <si>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</si>
  <si>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</si>
  <si>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</si>
  <si>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</si>
  <si>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</si>
  <si>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</si>
  <si>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</si>
  <si>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</si>
  <si>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</si>
  <si>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</si>
  <si>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</si>
  <si>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</si>
  <si>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</si>
  <si>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</si>
  <si>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</si>
  <si>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</si>
  <si>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</si>
  <si>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</si>
  <si>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</si>
  <si>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</si>
  <si>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</si>
  <si>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</si>
  <si>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</si>
  <si>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</si>
  <si>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</si>
  <si>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</si>
  <si>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</si>
  <si>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</si>
  <si>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</si>
  <si>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</si>
  <si>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</si>
  <si>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</si>
  <si>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</si>
  <si>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</si>
  <si>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</si>
  <si>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</si>
  <si>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</si>
  <si>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</si>
  <si>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</si>
  <si>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</si>
  <si>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</si>
  <si>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</si>
  <si>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</si>
  <si>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</si>
  <si>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</si>
  <si>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</si>
  <si>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</si>
  <si>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</si>
  <si>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</si>
  <si>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</si>
  <si>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</si>
  <si>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</si>
  <si>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</si>
  <si>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</si>
  <si>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</si>
  <si>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</si>
  <si>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</si>
  <si>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</si>
  <si>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</si>
  <si>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</si>
  <si>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</si>
  <si>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</si>
  <si>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</si>
  <si>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</si>
  <si>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</si>
  <si>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</si>
  <si>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</si>
  <si>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</si>
  <si>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</si>
  <si>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</si>
  <si>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</si>
  <si>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</si>
  <si>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</si>
  <si>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</si>
  <si>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</si>
  <si>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</si>
  <si>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</si>
  <si>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</si>
  <si>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</si>
  <si>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</si>
  <si>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</si>
  <si>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</si>
  <si>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</si>
  <si>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</si>
  <si>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</si>
  <si>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</si>
  <si>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</si>
  <si>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</si>
  <si>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</si>
  <si>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</si>
  <si>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</si>
  <si>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</si>
  <si>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</si>
  <si>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</si>
  <si>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</si>
  <si>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</si>
  <si>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</si>
  <si>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</si>
  <si>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</si>
  <si>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</si>
  <si>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</si>
  <si>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</si>
  <si>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</si>
  <si>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</si>
  <si>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</si>
  <si>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</si>
  <si>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</si>
  <si>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</si>
  <si>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</si>
  <si>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</si>
  <si>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</si>
  <si>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</si>
  <si>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</si>
  <si>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</si>
  <si>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</si>
  <si>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</si>
  <si>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</si>
  <si>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</si>
  <si>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</si>
  <si>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</si>
  <si>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</si>
  <si>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</si>
  <si>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</si>
  <si>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</si>
  <si>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</si>
  <si>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</si>
  <si>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</si>
  <si>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</si>
  <si>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</si>
  <si>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</si>
  <si>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</si>
  <si>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</si>
  <si>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</si>
  <si>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</si>
  <si>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</si>
  <si>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</si>
  <si>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</si>
  <si>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</si>
  <si>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</si>
  <si>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</si>
  <si>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</si>
  <si>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</si>
  <si>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</si>
  <si>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</si>
  <si>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</si>
  <si>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</si>
  <si>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</si>
  <si>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</si>
  <si>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</si>
  <si>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</si>
  <si>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</si>
  <si>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</si>
  <si>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</si>
  <si>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</si>
  <si>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</si>
  <si>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</si>
  <si>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</si>
  <si>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</si>
  <si>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</si>
  <si>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</si>
  <si>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</si>
  <si>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</si>
  <si>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</si>
  <si>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</si>
  <si>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</si>
  <si>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</si>
  <si>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</si>
  <si>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</si>
  <si>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</si>
  <si>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</si>
  <si>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</si>
  <si>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</si>
  <si>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</si>
  <si>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</si>
  <si>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</si>
  <si>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</si>
  <si>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</si>
  <si>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</si>
  <si>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</si>
  <si>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</si>
  <si>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</si>
  <si>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</si>
  <si>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</si>
  <si>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</si>
  <si>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</si>
  <si>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</si>
  <si>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</si>
  <si>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</si>
  <si>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</si>
  <si>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</si>
  <si>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</si>
  <si>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</si>
  <si>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</si>
  <si>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</si>
  <si>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</si>
  <si>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</si>
  <si>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</si>
  <si>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</si>
  <si>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</si>
  <si>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</si>
  <si>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</si>
  <si>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</si>
  <si>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</si>
  <si>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</si>
  <si>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</si>
  <si>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</si>
  <si>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</si>
  <si>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</si>
  <si>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</si>
  <si>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</si>
  <si>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</si>
  <si>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</si>
  <si>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</si>
  <si>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</si>
  <si>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</si>
  <si>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</si>
  <si>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</si>
  <si>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</si>
  <si>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</si>
  <si>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</si>
  <si>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</si>
  <si>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</si>
  <si>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</si>
  <si>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</si>
  <si>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</si>
  <si>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</si>
  <si>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</si>
  <si>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</si>
  <si>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</si>
  <si>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</si>
  <si>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</si>
  <si>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</si>
  <si>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</si>
  <si>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</si>
  <si>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</si>
  <si>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</si>
  <si>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</si>
  <si>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</si>
  <si>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</si>
  <si>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</si>
  <si>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</si>
  <si>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</si>
  <si>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</si>
  <si>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</si>
  <si>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</si>
  <si>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</si>
  <si>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</si>
  <si>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</si>
  <si>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</si>
  <si>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</si>
  <si>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</si>
  <si>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</si>
  <si>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</si>
  <si>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</si>
  <si>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</si>
  <si>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</si>
  <si>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</si>
  <si>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</si>
  <si>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</si>
  <si>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</si>
  <si>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</si>
  <si>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</si>
  <si>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</si>
  <si>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</si>
  <si>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</si>
  <si>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</si>
  <si>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</si>
  <si>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</si>
  <si>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</si>
  <si>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</si>
  <si>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</si>
  <si>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</si>
  <si>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</si>
  <si>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</si>
  <si>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</si>
  <si>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</si>
  <si>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</si>
  <si>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</si>
  <si>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</si>
  <si>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</si>
  <si>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</si>
  <si>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</si>
  <si>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</si>
  <si>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</si>
  <si>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</si>
  <si>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</si>
  <si>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</si>
  <si>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</si>
  <si>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</si>
  <si>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</si>
  <si>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</si>
  <si>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</si>
  <si>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</si>
  <si>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</si>
  <si>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</si>
  <si>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</si>
  <si>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</si>
  <si>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</si>
  <si>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</si>
  <si>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</si>
  <si>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</si>
  <si>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</si>
  <si>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</si>
  <si>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</si>
  <si>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</si>
  <si>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</si>
  <si>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</si>
  <si>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</si>
  <si>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</si>
  <si>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</si>
  <si>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</si>
  <si>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</si>
  <si>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</si>
  <si>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</si>
  <si>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</si>
  <si>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</si>
  <si>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</si>
  <si>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</si>
  <si>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</si>
  <si>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</si>
  <si>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</si>
  <si>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</si>
  <si>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</si>
  <si>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</si>
  <si>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</si>
  <si>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</si>
  <si>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</si>
  <si>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</si>
  <si>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</si>
  <si>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</si>
  <si>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</si>
  <si>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</si>
  <si>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</si>
  <si>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</si>
  <si>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</si>
  <si>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</si>
  <si>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</si>
  <si>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</si>
  <si>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</si>
  <si>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</si>
  <si>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</si>
  <si>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</si>
  <si>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</si>
  <si>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</si>
  <si>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</si>
  <si>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</si>
  <si>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</si>
  <si>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</si>
  <si>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</si>
  <si>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</si>
  <si>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</si>
  <si>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</si>
  <si>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</si>
  <si>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</si>
  <si>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</si>
  <si>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</si>
  <si>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</si>
  <si>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</si>
  <si>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</si>
  <si>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</si>
  <si>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</si>
  <si>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</si>
  <si>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</si>
  <si>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</si>
  <si>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</si>
  <si>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</si>
  <si>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</si>
  <si>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</si>
  <si>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</si>
  <si>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</si>
  <si>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</si>
  <si>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</si>
  <si>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</si>
  <si>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</si>
  <si>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</si>
  <si>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</si>
  <si>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</si>
  <si>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</si>
  <si>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</si>
  <si>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</si>
  <si>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</si>
  <si>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</si>
  <si>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</si>
  <si>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</si>
  <si>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</si>
  <si>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</si>
  <si>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</si>
  <si>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</si>
  <si>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</si>
  <si>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</si>
  <si>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</si>
  <si>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</si>
  <si>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</si>
  <si>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</si>
  <si>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</si>
  <si>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</si>
  <si>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</si>
  <si>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</si>
  <si>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</si>
  <si>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</si>
  <si>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</si>
  <si>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</si>
  <si>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</si>
  <si>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</si>
  <si>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</si>
  <si>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</si>
  <si>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</si>
  <si>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</si>
  <si>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</si>
  <si>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</si>
  <si>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</si>
  <si>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</si>
  <si>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</si>
  <si>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</si>
  <si>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</si>
  <si>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</si>
  <si>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</si>
  <si>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</si>
  <si>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</si>
  <si>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</si>
  <si>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</si>
  <si>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</si>
  <si>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</si>
  <si>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</si>
  <si>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</si>
  <si>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</si>
  <si>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</si>
  <si>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</si>
  <si>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</si>
  <si>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</si>
  <si>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</si>
  <si>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</si>
  <si>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</si>
  <si>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</si>
  <si>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</si>
  <si>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</si>
  <si>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</si>
  <si>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</si>
  <si>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</si>
  <si>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</si>
  <si>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</si>
  <si>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</si>
  <si>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</si>
  <si>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</si>
  <si>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</si>
  <si>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</si>
  <si>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</si>
  <si>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</si>
  <si>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</si>
  <si>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</si>
  <si>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</si>
  <si>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</si>
  <si>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10000</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</si>
  <si>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</si>
  <si>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</si>
  <si>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</si>
  <si>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</si>
  <si>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</si>
  <si>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</si>
  <si>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</si>
  <si>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</si>
  <si>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</si>
  <si>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</si>
  <si>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</si>
  <si>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</si>
  <si>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</si>
  <si>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</si>
  <si>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</si>
  <si>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</si>
  <si>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</si>
  <si>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</si>
  <si>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</si>
  <si>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</si>
  <si>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</si>
  <si>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</si>
  <si>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</si>
  <si>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</si>
  <si>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</si>
  <si>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</si>
  <si>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</si>
  <si>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</si>
  <si>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</si>
  <si>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</si>
  <si>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</si>
  <si>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</si>
  <si>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10900</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</si>
  <si>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</si>
  <si>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</si>
  <si>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</si>
  <si>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</si>
  <si>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</si>
  <si>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</si>
  <si>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</si>
  <si>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</si>
  <si>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</si>
  <si>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</si>
  <si>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</si>
  <si>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</si>
  <si>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</si>
  <si>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</si>
  <si>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</si>
  <si>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</si>
  <si>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12900</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</si>
  <si>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</si>
  <si>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</si>
  <si>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</si>
  <si>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</si>
  <si>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</si>
  <si>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</si>
  <si>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</si>
  <si>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</si>
  <si>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</si>
  <si>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</si>
  <si>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</si>
  <si>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</si>
  <si>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</si>
  <si>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</si>
  <si>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</si>
  <si>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</si>
  <si>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</si>
  <si>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</si>
  <si>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</si>
  <si>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r>
      <t xml:space="preserve">If </t>
    </r>
    <r>
      <rPr>
        <b/>
        <sz val="11"/>
        <rFont val="Times New Roman"/>
        <family val="1"/>
      </rPr>
      <t>no</t>
    </r>
    <r>
      <rPr>
        <sz val="11"/>
        <rFont val="Times New Roman"/>
        <family val="1"/>
      </rPr>
      <t>, then provide the reason(s) for the nonrecurring fair value measurements below.</t>
    </r>
  </si>
  <si>
    <r>
      <t xml:space="preserve">If </t>
    </r>
    <r>
      <rPr>
        <b/>
        <sz val="11"/>
        <rFont val="Times New Roman"/>
        <family val="1"/>
      </rPr>
      <t>yes</t>
    </r>
    <r>
      <rPr>
        <sz val="11"/>
        <rFont val="Times New Roman"/>
        <family val="1"/>
      </rPr>
      <t>, then provide the change and reason(s) for making the change below.</t>
    </r>
  </si>
  <si>
    <r>
      <t xml:space="preserve">If </t>
    </r>
    <r>
      <rPr>
        <b/>
        <sz val="11"/>
        <rFont val="Times New Roman"/>
        <family val="1"/>
      </rPr>
      <t>yes</t>
    </r>
    <r>
      <rPr>
        <sz val="11"/>
        <rFont val="Times New Roman"/>
        <family val="1"/>
      </rPr>
      <t>, provide a general description of these types of items.</t>
    </r>
  </si>
  <si>
    <t>1i)</t>
  </si>
  <si>
    <t>1j)</t>
  </si>
  <si>
    <t>Fully benefit-responsive synthetic guaranteed investment contracts</t>
  </si>
  <si>
    <t>Investments in life insurance contracts</t>
  </si>
  <si>
    <t>Cash surrender value</t>
  </si>
  <si>
    <t xml:space="preserve">Investments in certain entities that calculate the Net Asset Value per Share (or its equivalent) </t>
  </si>
  <si>
    <t>Note D1</t>
  </si>
  <si>
    <t>Note D</t>
  </si>
  <si>
    <t xml:space="preserve">Briefly explain agency's investment policy related to foreign deposit or investment below. If the agency does have investments denominated in a foreign currency and DOES NOT have an investment policy, please provide an explanation below. This may be provided in a separate document accompanying this attachment.  </t>
  </si>
  <si>
    <t>Supranational and Non-U.S. Government Bonds and Notes</t>
  </si>
  <si>
    <t>List the SNAP account numbers and amounts; and any applicable Cardinal Account and Fund.</t>
  </si>
  <si>
    <t xml:space="preserve">a)  Total cash equivalents and investments NOT with the Treasurer of Virginia reported on the template. This amount MUST </t>
  </si>
  <si>
    <t xml:space="preserve">    in the total cash equivalents and investments NOT with the Treasurer of Virginia listed in Part 6a above?</t>
  </si>
  <si>
    <t>Total cash and nonnegotiable CDs collateralized or not collateralized (Should agree to amount reported in 2.2 above, if not an "Error" message will appear)</t>
  </si>
  <si>
    <t xml:space="preserve">    reported in part 2.1 a. If it does not, an "Error" message will appear in the blue box to the right.</t>
  </si>
  <si>
    <t>"Tab 1C-Foreign Currency Inv."  If it does not, an "Error" message will appear in the blue box to the right.</t>
  </si>
  <si>
    <t>Total fair value amount per Tab 1B-CE &amp; Inv Not W Treas (Linked to Tab 1B-CE &amp; Inv Not W Tr, sum of Level 1, Level 2, and Level 3)</t>
  </si>
  <si>
    <t xml:space="preserve"> Part 2)  If yes to 12b - Part 1, was any investment derivative instrument - ineffective hedge as of June 30, 2017 considered a hedging derivative instrument - effective hedge as of June 30, 2016 (i.e. became an ineffective hedge as of June 30, 2017)?  If no, skip to 12c.</t>
  </si>
  <si>
    <t>Provide the termination event and/or reason the hedging derivative instrument was terminated/ended during FY 2017</t>
  </si>
  <si>
    <t xml:space="preserve">Virginia that are subject to foreign exchange risk.  This amount must agree to the total amount in tab entitled </t>
  </si>
  <si>
    <t>Is the sum of Cash Equivalents Not with the Treasurer of Virginia and Short-term Investments Not with the Treasurer of</t>
  </si>
  <si>
    <t xml:space="preserve">Virginia on the template greater than the sum of Less Than 1 year on tab 1B plus Nonnegotiable Certificates of Deposit reported </t>
  </si>
  <si>
    <t>List below the agency number and fund codes per Cardinal that are included in the Proprietary Fund Template.</t>
  </si>
  <si>
    <t>Cash Held with the Treasurer (Account 101010)</t>
  </si>
  <si>
    <r>
      <t xml:space="preserve">Are insurance recoveries reported on the financial statement template that are </t>
    </r>
    <r>
      <rPr>
        <b/>
        <sz val="11"/>
        <rFont val="Times New Roman"/>
        <family val="1"/>
      </rPr>
      <t>not</t>
    </r>
    <r>
      <rPr>
        <sz val="11"/>
        <rFont val="Times New Roman"/>
        <family val="1"/>
      </rPr>
      <t xml:space="preserve"> already reported on </t>
    </r>
    <r>
      <rPr>
        <b/>
        <sz val="11"/>
        <color indexed="12"/>
        <rFont val="Times New Roman"/>
        <family val="1"/>
      </rPr>
      <t xml:space="preserve">TAB 3, Capital Assets </t>
    </r>
    <r>
      <rPr>
        <sz val="11"/>
        <rFont val="Times New Roman"/>
        <family val="1"/>
      </rPr>
      <t xml:space="preserve">and are not for pollution remediation? (See </t>
    </r>
    <r>
      <rPr>
        <sz val="11"/>
        <color rgb="FF3333FF"/>
        <rFont val="Times New Roman"/>
        <family val="1"/>
      </rPr>
      <t>Authoritative Literature/Guidance for Preparation of GAAP Basis Fund Financial Statement Templates</t>
    </r>
    <r>
      <rPr>
        <sz val="11"/>
        <rFont val="Times New Roman"/>
        <family val="1"/>
      </rPr>
      <t xml:space="preserve">.)
</t>
    </r>
    <r>
      <rPr>
        <b/>
        <u/>
        <sz val="11"/>
        <rFont val="Times New Roman"/>
        <family val="1"/>
      </rPr>
      <t>Note:</t>
    </r>
    <r>
      <rPr>
        <sz val="11"/>
        <rFont val="Times New Roman"/>
        <family val="1"/>
      </rPr>
      <t xml:space="preserve">  This includes current year insurance recoveries for capital assets impaired in prior years.  It also includes all other insurance recoveries (i.e. recoveries from embezzlement of cash, theft).  Insurance recoveries should be reported on the financial statement template as "nonoperating revenue - Insurance Recoveries" or "extraordinary item."  On the conversion to the government-wide statement of activities, the "nonoperating revenue - other" should be reported as program revenue.  Use professional judgment to determine the appropriate financial statement template line item.</t>
    </r>
  </si>
  <si>
    <t>Total cash held by the Treasurer of Virginia (must agree to Cardinal Account 101010).</t>
  </si>
  <si>
    <t>Explanation</t>
  </si>
  <si>
    <r>
      <rPr>
        <b/>
        <sz val="10"/>
        <rFont val="Times New Roman"/>
        <family val="1"/>
      </rPr>
      <t>For Pools</t>
    </r>
    <r>
      <rPr>
        <sz val="10"/>
        <rFont val="Times New Roman"/>
        <family val="1"/>
      </rPr>
      <t xml:space="preserve">: External Investment Pools  that meet </t>
    </r>
    <r>
      <rPr>
        <b/>
        <u/>
        <sz val="10"/>
        <rFont val="Times New Roman"/>
        <family val="1"/>
      </rPr>
      <t>GASBS No. 79</t>
    </r>
    <r>
      <rPr>
        <sz val="10"/>
        <rFont val="Times New Roman"/>
        <family val="1"/>
      </rPr>
      <t xml:space="preserve"> requirements to report all investments at amortized cost</t>
    </r>
  </si>
  <si>
    <r>
      <rPr>
        <b/>
        <sz val="10"/>
        <rFont val="Times New Roman"/>
        <family val="1"/>
      </rPr>
      <t>For Pool Participants</t>
    </r>
    <r>
      <rPr>
        <sz val="10"/>
        <rFont val="Times New Roman"/>
        <family val="1"/>
      </rPr>
      <t xml:space="preserve">: Investments in External Investment Pools that meet </t>
    </r>
    <r>
      <rPr>
        <b/>
        <u/>
        <sz val="10"/>
        <rFont val="Times New Roman"/>
        <family val="1"/>
      </rPr>
      <t>GASBS No. 79</t>
    </r>
    <r>
      <rPr>
        <sz val="10"/>
        <rFont val="Times New Roman"/>
        <family val="1"/>
      </rPr>
      <t xml:space="preserve"> requirements to report all investments at amortized cost</t>
    </r>
  </si>
  <si>
    <r>
      <rPr>
        <b/>
        <sz val="10"/>
        <rFont val="Times New Roman"/>
        <family val="1"/>
      </rPr>
      <t>For Pools</t>
    </r>
    <r>
      <rPr>
        <sz val="10"/>
        <rFont val="Times New Roman"/>
        <family val="1"/>
      </rPr>
      <t>: External Investment Pools Short-term debt investments with remaining maturities up to 90 days</t>
    </r>
  </si>
  <si>
    <t>6b</t>
  </si>
  <si>
    <r>
      <t xml:space="preserve">10) </t>
    </r>
    <r>
      <rPr>
        <b/>
        <strike/>
        <sz val="11"/>
        <rFont val="Times New Roman"/>
        <family val="1"/>
      </rPr>
      <t>Pension-Related</t>
    </r>
    <r>
      <rPr>
        <strike/>
        <sz val="11"/>
        <rFont val="Times New Roman"/>
        <family val="1"/>
      </rPr>
      <t xml:space="preserve"> - Other defined benefit pension plans (not with VRS)</t>
    </r>
    <r>
      <rPr>
        <b/>
        <strike/>
        <u/>
        <sz val="11"/>
        <rFont val="Times New Roman"/>
        <family val="1"/>
      </rPr>
      <t xml:space="preserve"> (GASBS No. 68</t>
    </r>
    <r>
      <rPr>
        <strike/>
        <sz val="11"/>
        <rFont val="Times New Roman"/>
        <family val="1"/>
      </rPr>
      <t xml:space="preserve">, as amended by </t>
    </r>
    <r>
      <rPr>
        <b/>
        <strike/>
        <u/>
        <sz val="11"/>
        <rFont val="Times New Roman"/>
        <family val="1"/>
      </rPr>
      <t>GASBS No. 73)</t>
    </r>
  </si>
  <si>
    <t>If there is a difference, provide an explanation for the difference.  Specify the other financial statement line items that include amounts reported using the fair value hierarchy and the fair value level used to report those amounts, if any.</t>
  </si>
  <si>
    <t>General description of items reported at NAV per share (or its equivalent)</t>
  </si>
  <si>
    <t>Total fair value amount using NAV per share per Tab 1B-CE &amp; Inv Not W Treas (Linked to Tab 1B-CE &amp; Inv Not W Treas)</t>
  </si>
  <si>
    <t>If there is a difference, provide an explanation for the difference.  Specify the other financial statement line items that include amounts reported at NAV per share (or its equivalent), if any.</t>
  </si>
  <si>
    <r>
      <t xml:space="preserve">If </t>
    </r>
    <r>
      <rPr>
        <b/>
        <sz val="11"/>
        <rFont val="Times New Roman"/>
        <family val="1"/>
      </rPr>
      <t>yes</t>
    </r>
    <r>
      <rPr>
        <sz val="11"/>
        <rFont val="Times New Roman"/>
        <family val="1"/>
      </rPr>
      <t xml:space="preserve">, provide the following information for all items that are reported on the financial statement template. Additionally, provide required footnote disclosures pursuant to </t>
    </r>
    <r>
      <rPr>
        <b/>
        <u/>
        <sz val="11"/>
        <rFont val="Times New Roman"/>
        <family val="1"/>
      </rPr>
      <t>GASBS No. 72</t>
    </r>
    <r>
      <rPr>
        <sz val="11"/>
        <rFont val="Times New Roman"/>
        <family val="1"/>
      </rPr>
      <t xml:space="preserve"> paragraph 82 in a separate Word document accompanying this attachment.</t>
    </r>
  </si>
  <si>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</si>
  <si>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</si>
  <si>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</si>
  <si>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</si>
  <si>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</si>
  <si>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</si>
  <si>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</si>
  <si>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</si>
  <si>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</si>
  <si>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</si>
  <si>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</si>
  <si>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</si>
  <si>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</si>
  <si>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</si>
  <si>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</si>
  <si>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</si>
  <si>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</si>
  <si>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</si>
  <si>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</si>
  <si>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</si>
  <si>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</si>
  <si>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</si>
  <si>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</si>
  <si>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</si>
  <si>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</si>
  <si>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</si>
  <si>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</si>
  <si>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</si>
  <si>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</si>
  <si>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</si>
  <si>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</si>
  <si>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</si>
  <si>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</si>
  <si>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</si>
  <si>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</si>
  <si>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</si>
  <si>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</si>
  <si>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</si>
  <si>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</si>
  <si>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</si>
  <si>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</si>
  <si>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</si>
  <si>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</si>
  <si>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</si>
  <si>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</si>
  <si>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</si>
  <si>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 xml:space="preserve">
N/A</t>
  </si>
  <si>
    <t xml:space="preserve">Argentine Peso </t>
  </si>
  <si>
    <t xml:space="preserve">Mexican Peso </t>
  </si>
  <si>
    <t xml:space="preserve">South African Rand </t>
  </si>
  <si>
    <t>(Increase) Decrease in Deferred Outflows of Resources - Pension Related</t>
  </si>
  <si>
    <t>Increase (Decrease) in Deferred Inflows of Resources - Pension Related</t>
  </si>
  <si>
    <t>(Increase) Decrease in Deferred Outflows of Resources - OPEB Related</t>
  </si>
  <si>
    <t>Increase (Decrease) in Deferred Inflows of Resources - OPEB Related</t>
  </si>
  <si>
    <r>
      <t>GASBS No. 20</t>
    </r>
    <r>
      <rPr>
        <b/>
        <sz val="12"/>
        <rFont val="Times New Roman"/>
        <family val="1"/>
      </rPr>
      <t xml:space="preserve"> </t>
    </r>
    <r>
      <rPr>
        <sz val="12"/>
        <rFont val="Times New Roman"/>
        <family val="1"/>
      </rPr>
      <t xml:space="preserve">provides governments two options for reporting business-type fund activities (including component units reporting as business-type activities).  The options are as follows:  </t>
    </r>
    <r>
      <rPr>
        <b/>
        <sz val="12"/>
        <rFont val="Times New Roman"/>
        <family val="1"/>
      </rPr>
      <t>Option 1</t>
    </r>
    <r>
      <rPr>
        <sz val="12"/>
        <rFont val="Times New Roman"/>
        <family val="1"/>
      </rPr>
      <t xml:space="preserve">: Apply all applicable GASB pronouncements and all FASB Statements and Interpretations, Accounting Principles Board (APB) Opinions and Accounting Research Bulletins (ARB) issued on or before November 30, 1989, unless those conflict with or contradict GASB pronouncements. </t>
    </r>
    <r>
      <rPr>
        <b/>
        <sz val="12"/>
        <rFont val="Times New Roman"/>
        <family val="1"/>
      </rPr>
      <t>Option 2</t>
    </r>
    <r>
      <rPr>
        <sz val="12"/>
        <rFont val="Times New Roman"/>
        <family val="1"/>
      </rPr>
      <t xml:space="preserve">:  Apply all of the above pronouncements and also apply all FASB Statements and Interpretations issued after November 30, 1989 except for those that conflict with or contradict GASB pronouncements.  </t>
    </r>
    <r>
      <rPr>
        <b/>
        <u/>
        <sz val="12"/>
        <rFont val="Times New Roman"/>
        <family val="1"/>
      </rPr>
      <t>GASBS No. 29</t>
    </r>
    <r>
      <rPr>
        <sz val="12"/>
        <rFont val="Times New Roman"/>
        <family val="1"/>
      </rPr>
      <t xml:space="preserve">, </t>
    </r>
    <r>
      <rPr>
        <i/>
        <sz val="12"/>
        <rFont val="Times New Roman"/>
        <family val="1"/>
      </rPr>
      <t>The Use of Not-for-Profit Accounting and Financial Reporting Principles by Governmental Entities</t>
    </r>
    <r>
      <rPr>
        <sz val="12"/>
        <rFont val="Times New Roman"/>
        <family val="1"/>
      </rPr>
      <t xml:space="preserve">, limits the application of FASB Statements and Interpretations issued after November 30, 1989 to those that are developed primarily for business enterprises. </t>
    </r>
    <r>
      <rPr>
        <b/>
        <sz val="12"/>
        <rFont val="Times New Roman"/>
        <family val="1"/>
      </rPr>
      <t>Note:</t>
    </r>
    <r>
      <rPr>
        <sz val="12"/>
        <rFont val="Times New Roman"/>
        <family val="1"/>
      </rPr>
      <t xml:space="preserve"> </t>
    </r>
    <r>
      <rPr>
        <b/>
        <u/>
        <sz val="12"/>
        <rFont val="Times New Roman"/>
        <family val="1"/>
      </rPr>
      <t>GASBS No. 62</t>
    </r>
    <r>
      <rPr>
        <sz val="12"/>
        <rFont val="Times New Roman"/>
        <family val="1"/>
      </rPr>
      <t xml:space="preserve">, </t>
    </r>
    <r>
      <rPr>
        <i/>
        <sz val="12"/>
        <rFont val="Times New Roman"/>
        <family val="1"/>
      </rPr>
      <t>Codification of Accounting and Financial Reporting Guidance Contained in Pre-November 30, 1989 FASB and AICPA Pronouncements,</t>
    </r>
    <r>
      <rPr>
        <sz val="12"/>
        <rFont val="Times New Roman"/>
        <family val="1"/>
      </rPr>
      <t xml:space="preserve"> becomes effective in fiscal year 2013 eliminating the need for choosing an option.  Please see </t>
    </r>
    <r>
      <rPr>
        <b/>
        <u/>
        <sz val="12"/>
        <rFont val="Times New Roman"/>
        <family val="1"/>
      </rPr>
      <t>GASBS No. 62</t>
    </r>
    <r>
      <rPr>
        <sz val="12"/>
        <rFont val="Times New Roman"/>
        <family val="1"/>
      </rPr>
      <t xml:space="preserve"> for more information.
</t>
    </r>
  </si>
  <si>
    <r>
      <t>Recognition Benchmarks</t>
    </r>
    <r>
      <rPr>
        <strike/>
        <sz val="11"/>
        <rFont val="Times New Roman"/>
        <family val="1"/>
      </rPr>
      <t xml:space="preserve">:  Have any of the following benchmarks as defined by </t>
    </r>
    <r>
      <rPr>
        <b/>
        <strike/>
        <u/>
        <sz val="11"/>
        <rFont val="Times New Roman"/>
        <family val="1"/>
      </rPr>
      <t>GASBS No. 49</t>
    </r>
    <r>
      <rPr>
        <strike/>
        <sz val="11"/>
        <rFont val="Times New Roman"/>
        <family val="1"/>
      </rPr>
      <t xml:space="preserve"> occurred:  1) receipt of an administrative order, 2) participation, as a responsible party or a potentially responsible party, in the site assessment or investigation, 3) completion of a corrective measures feasibility study, 4) issuance of an authorization to proceed, and / or 5) remediation design and implementation, through and including operation and maintenance, and postremediation monitoring?  If </t>
    </r>
    <r>
      <rPr>
        <b/>
        <strike/>
        <sz val="11"/>
        <rFont val="Times New Roman"/>
        <family val="1"/>
      </rPr>
      <t>yes</t>
    </r>
    <r>
      <rPr>
        <strike/>
        <sz val="11"/>
        <rFont val="Times New Roman"/>
        <family val="1"/>
      </rPr>
      <t xml:space="preserve">, continue to 10c.  If </t>
    </r>
    <r>
      <rPr>
        <b/>
        <strike/>
        <sz val="11"/>
        <rFont val="Times New Roman"/>
        <family val="1"/>
      </rPr>
      <t>no</t>
    </r>
    <r>
      <rPr>
        <strike/>
        <sz val="11"/>
        <rFont val="Times New Roman"/>
        <family val="1"/>
      </rPr>
      <t>, skip to 10d.</t>
    </r>
  </si>
  <si>
    <r>
      <t xml:space="preserve">Measurement </t>
    </r>
    <r>
      <rPr>
        <strike/>
        <sz val="11"/>
        <rFont val="Times New Roman"/>
        <family val="1"/>
      </rPr>
      <t xml:space="preserve">:   If answered </t>
    </r>
    <r>
      <rPr>
        <b/>
        <strike/>
        <sz val="11"/>
        <rFont val="Times New Roman"/>
        <family val="1"/>
      </rPr>
      <t>yes</t>
    </r>
    <r>
      <rPr>
        <strike/>
        <sz val="11"/>
        <rFont val="Times New Roman"/>
        <family val="1"/>
      </rPr>
      <t xml:space="preserve"> to 10b, has the pollution remediation liability been reasonably estimated in accordance with </t>
    </r>
    <r>
      <rPr>
        <b/>
        <strike/>
        <u/>
        <sz val="11"/>
        <rFont val="Times New Roman"/>
        <family val="1"/>
      </rPr>
      <t>GASBS No. 49</t>
    </r>
    <r>
      <rPr>
        <strike/>
        <sz val="11"/>
        <rFont val="Times New Roman"/>
        <family val="1"/>
      </rPr>
      <t xml:space="preserve">?   If </t>
    </r>
    <r>
      <rPr>
        <b/>
        <strike/>
        <sz val="11"/>
        <rFont val="Times New Roman"/>
        <family val="1"/>
      </rPr>
      <t>no</t>
    </r>
    <r>
      <rPr>
        <strike/>
        <sz val="11"/>
        <rFont val="Times New Roman"/>
        <family val="1"/>
      </rPr>
      <t>, explain the nature of the pollution remediation liabilities that cannot be reasonably estimated and must be disclosed.</t>
    </r>
  </si>
  <si>
    <r>
      <t>Remeasurement</t>
    </r>
    <r>
      <rPr>
        <strike/>
        <sz val="11"/>
        <rFont val="Times New Roman"/>
        <family val="1"/>
      </rPr>
      <t xml:space="preserve">:  Has your enterprise fund determined if a previous estimate of the pollution remediation liability should be revised based on recognition benchmarks being met or new information indicates a change is needed as required by </t>
    </r>
    <r>
      <rPr>
        <b/>
        <strike/>
        <u/>
        <sz val="11"/>
        <rFont val="Times New Roman"/>
        <family val="1"/>
      </rPr>
      <t>GASBS No. 49</t>
    </r>
    <r>
      <rPr>
        <strike/>
        <sz val="11"/>
        <rFont val="Times New Roman"/>
        <family val="1"/>
      </rPr>
      <t xml:space="preserve">?   If </t>
    </r>
    <r>
      <rPr>
        <b/>
        <strike/>
        <sz val="11"/>
        <rFont val="Times New Roman"/>
        <family val="1"/>
      </rPr>
      <t>no</t>
    </r>
    <r>
      <rPr>
        <strike/>
        <sz val="11"/>
        <rFont val="Times New Roman"/>
        <family val="1"/>
      </rPr>
      <t xml:space="preserve">, explain. </t>
    </r>
  </si>
  <si>
    <r>
      <t>Expected Recoveries</t>
    </r>
    <r>
      <rPr>
        <strike/>
        <sz val="11"/>
        <rFont val="Times New Roman"/>
        <family val="1"/>
      </rPr>
      <t xml:space="preserve">:  Does your enterprise fund expect recoveries as described in </t>
    </r>
    <r>
      <rPr>
        <b/>
        <strike/>
        <u/>
        <sz val="11"/>
        <rFont val="Times New Roman"/>
        <family val="1"/>
      </rPr>
      <t>GASBS No. 49</t>
    </r>
    <r>
      <rPr>
        <strike/>
        <sz val="11"/>
        <rFont val="Times New Roman"/>
        <family val="1"/>
      </rPr>
      <t xml:space="preserve"> paragraphs 19 to 20 from other responsible parties and / or insurance recoveries from policies that indemnify the enterprise fund for its pollution remediation obligations?  If </t>
    </r>
    <r>
      <rPr>
        <b/>
        <strike/>
        <sz val="11"/>
        <rFont val="Times New Roman"/>
        <family val="1"/>
      </rPr>
      <t>yes</t>
    </r>
    <r>
      <rPr>
        <strike/>
        <sz val="11"/>
        <rFont val="Times New Roman"/>
        <family val="1"/>
      </rPr>
      <t xml:space="preserve">, provide the following:  expected recovery amount, source of expected recovery, and indicate if amount is realized or realizable. </t>
    </r>
  </si>
  <si>
    <r>
      <t>Accounting for Recoveries that Become Expected Later</t>
    </r>
    <r>
      <rPr>
        <strike/>
        <sz val="11"/>
        <rFont val="Times New Roman"/>
        <family val="1"/>
      </rPr>
      <t xml:space="preserve">:  Did your enterprise fund have any recoveries from responsible parties and / or insurance recoveries for pollution remediation liabilities that no longer exist as described in </t>
    </r>
    <r>
      <rPr>
        <b/>
        <strike/>
        <u/>
        <sz val="11"/>
        <rFont val="Times New Roman"/>
        <family val="1"/>
      </rPr>
      <t>GASBS No. 49</t>
    </r>
    <r>
      <rPr>
        <strike/>
        <sz val="11"/>
        <rFont val="Times New Roman"/>
        <family val="1"/>
      </rPr>
      <t xml:space="preserve"> paragraph 21?  If yes, provide a description, source of recoveries, dollar amount, and line items these amounts are reported on.</t>
    </r>
  </si>
  <si>
    <r>
      <t>Capitalization of Pollution Remediation Outlays</t>
    </r>
    <r>
      <rPr>
        <strike/>
        <sz val="11"/>
        <rFont val="Times New Roman"/>
        <family val="1"/>
      </rPr>
      <t xml:space="preserve">: Do any of the estimated pollution remediation outlays meet the capitalization criteria for goods / services as defined below?  Pollution remediation outlays should be capitalized when goods or services are acquired and included in </t>
    </r>
    <r>
      <rPr>
        <b/>
        <strike/>
        <sz val="11"/>
        <color indexed="12"/>
        <rFont val="Times New Roman"/>
        <family val="1"/>
      </rPr>
      <t>Tab 3-Capital Assets</t>
    </r>
    <r>
      <rPr>
        <strike/>
        <sz val="11"/>
        <rFont val="Times New Roman"/>
        <family val="1"/>
      </rPr>
      <t xml:space="preserve"> if acquired for any of the following:
• To prepare property in anticipation of a sale.
• To prepare property for use when the property was acquired with known or suspected pollution that was expected to be remediated.
• To perform pollution remediation that restores a pollution-caused decline in service utility that was recognized as an asset impairment.
• To acquire property, plant, and equipment that have a future alternative use.
Do not record a pollution remediation liability for expected outlays that can be capitalized.  Capitalize actual amounts when goods / services are acquired.  </t>
    </r>
  </si>
  <si>
    <r>
      <t>Reporting</t>
    </r>
    <r>
      <rPr>
        <strike/>
        <sz val="11"/>
        <rFont val="Times New Roman"/>
        <family val="1"/>
      </rPr>
      <t xml:space="preserve">:  Were pollution remediation obligations, outlays, and recoveries properly reported on the financial statement template in accordance with </t>
    </r>
    <r>
      <rPr>
        <b/>
        <strike/>
        <u/>
        <sz val="11"/>
        <rFont val="Times New Roman"/>
        <family val="1"/>
      </rPr>
      <t>GASBS No. 49</t>
    </r>
    <r>
      <rPr>
        <strike/>
        <sz val="11"/>
        <rFont val="Times New Roman"/>
        <family val="1"/>
      </rPr>
      <t xml:space="preserve">?  If </t>
    </r>
    <r>
      <rPr>
        <b/>
        <strike/>
        <sz val="11"/>
        <rFont val="Times New Roman"/>
        <family val="1"/>
      </rPr>
      <t>no</t>
    </r>
    <r>
      <rPr>
        <strike/>
        <sz val="11"/>
        <rFont val="Times New Roman"/>
        <family val="1"/>
      </rPr>
      <t>, explain.</t>
    </r>
  </si>
  <si>
    <r>
      <t>Disclosures</t>
    </r>
    <r>
      <rPr>
        <strike/>
        <sz val="11"/>
        <rFont val="Times New Roman"/>
        <family val="1"/>
      </rPr>
      <t xml:space="preserve">:  Provide the following information and disclosures as required by </t>
    </r>
    <r>
      <rPr>
        <b/>
        <strike/>
        <u/>
        <sz val="11"/>
        <rFont val="Times New Roman"/>
        <family val="1"/>
      </rPr>
      <t>GASBS No. 49</t>
    </r>
    <r>
      <rPr>
        <strike/>
        <u/>
        <sz val="11"/>
        <rFont val="Times New Roman"/>
        <family val="1"/>
      </rPr>
      <t>:</t>
    </r>
  </si>
  <si>
    <r>
      <t xml:space="preserve">3)  Less: If applicable - expected recoveries not yet realized or realizable (see </t>
    </r>
    <r>
      <rPr>
        <b/>
        <strike/>
        <u/>
        <sz val="11"/>
        <rFont val="Times New Roman"/>
        <family val="1"/>
      </rPr>
      <t>GASBS No. 49</t>
    </r>
    <r>
      <rPr>
        <strike/>
        <sz val="11"/>
        <rFont val="Times New Roman"/>
        <family val="1"/>
      </rPr>
      <t xml:space="preserve"> paragraph 19a) - enter as a negative amount</t>
    </r>
  </si>
  <si>
    <r>
      <rPr>
        <b/>
        <strike/>
        <sz val="11"/>
        <rFont val="Times New Roman"/>
        <family val="1"/>
      </rPr>
      <t>Reporting</t>
    </r>
    <r>
      <rPr>
        <strike/>
        <sz val="11"/>
        <rFont val="Times New Roman"/>
        <family val="1"/>
      </rPr>
      <t xml:space="preserve"> - Were all fund derivative instrument activity/balances during FY 2018 and as of June 30, 2018 properly reported on the template in accordance with </t>
    </r>
    <r>
      <rPr>
        <b/>
        <strike/>
        <u/>
        <sz val="11"/>
        <rFont val="Times New Roman"/>
        <family val="1"/>
      </rPr>
      <t>GASBS No. 53</t>
    </r>
    <r>
      <rPr>
        <strike/>
        <u/>
        <sz val="11"/>
        <rFont val="Times New Roman"/>
        <family val="1"/>
      </rPr>
      <t>?</t>
    </r>
    <r>
      <rPr>
        <strike/>
        <sz val="11"/>
        <rFont val="Times New Roman"/>
        <family val="1"/>
      </rPr>
      <t xml:space="preserve">  If no, explain.</t>
    </r>
  </si>
  <si>
    <r>
      <t xml:space="preserve">Part 1) </t>
    </r>
    <r>
      <rPr>
        <b/>
        <strike/>
        <sz val="11"/>
        <rFont val="Times New Roman"/>
        <family val="1"/>
      </rPr>
      <t xml:space="preserve"> Derivative Instruments as of June 30, 2017 &amp; existed as of June 30, 2016</t>
    </r>
    <r>
      <rPr>
        <strike/>
        <sz val="11"/>
        <rFont val="Times New Roman"/>
        <family val="1"/>
      </rPr>
      <t xml:space="preserve"> - Did any of the derivative instruments that existed as of June 30, 2017 also exist as of June 30, 2016?  If yes, indicate which derivative instrument also existed as of June 30, 2016.</t>
    </r>
  </si>
  <si>
    <r>
      <t xml:space="preserve">Part 3) If </t>
    </r>
    <r>
      <rPr>
        <b/>
        <strike/>
        <sz val="11"/>
        <rFont val="Times New Roman"/>
        <family val="1"/>
      </rPr>
      <t>yes</t>
    </r>
    <r>
      <rPr>
        <strike/>
        <sz val="11"/>
        <rFont val="Times New Roman"/>
        <family val="1"/>
      </rPr>
      <t xml:space="preserve"> to 12b - Part 2, was the deferral amount reported within an appropriate investment revenue template line item upon reclassification for FY 2017 (ineffective hedge - FYE 6/30/2017 &amp; effective hedge - FYE 6/30/2016)?  If yes, provide the deferral amount reported and the appropriate investment revenue template line item used for reclassification for FY 2017.  If </t>
    </r>
    <r>
      <rPr>
        <b/>
        <strike/>
        <sz val="11"/>
        <rFont val="Times New Roman"/>
        <family val="1"/>
      </rPr>
      <t>no</t>
    </r>
    <r>
      <rPr>
        <strike/>
        <sz val="11"/>
        <rFont val="Times New Roman"/>
        <family val="1"/>
      </rPr>
      <t>, explain.</t>
    </r>
  </si>
  <si>
    <r>
      <t xml:space="preserve">Part 1) </t>
    </r>
    <r>
      <rPr>
        <b/>
        <strike/>
        <sz val="11"/>
        <rFont val="Times New Roman"/>
        <family val="1"/>
      </rPr>
      <t xml:space="preserve"> Derivative Instruments as of June 30, 2016 that ended or terminated during FY 2017 </t>
    </r>
    <r>
      <rPr>
        <strike/>
        <sz val="11"/>
        <rFont val="Times New Roman"/>
        <family val="1"/>
      </rPr>
      <t xml:space="preserve">- Did the fund have any derivative instruments as of June 30, 2016 as defined in </t>
    </r>
    <r>
      <rPr>
        <b/>
        <strike/>
        <u/>
        <sz val="11"/>
        <rFont val="Times New Roman"/>
        <family val="1"/>
      </rPr>
      <t>GASBS No. 53</t>
    </r>
    <r>
      <rPr>
        <strike/>
        <sz val="11"/>
        <rFont val="Times New Roman"/>
        <family val="1"/>
      </rPr>
      <t xml:space="preserve"> that did not exist as of June 30, 2017?  If yes, indicate the overall derivative instrument category and provide the type (i.e. interest rate swap, interest rate lock, etc.) and notional amount in the space provided.  If no, skip to 12d.</t>
    </r>
  </si>
  <si>
    <r>
      <t xml:space="preserve">Part 2)  </t>
    </r>
    <r>
      <rPr>
        <b/>
        <strike/>
        <sz val="11"/>
        <rFont val="Times New Roman"/>
        <family val="1"/>
      </rPr>
      <t xml:space="preserve">Hedging Derivative Instrument (effective hedge) - existed as of 6/30/2016 and terminated/ended during FY 2017 - </t>
    </r>
    <r>
      <rPr>
        <strike/>
        <sz val="11"/>
        <rFont val="Times New Roman"/>
        <family val="1"/>
      </rPr>
      <t xml:space="preserve"> Did the fund have a hedging derivative instrument-effective hedge that existed as of June 30, 2016 and it did not exist as of June 30, 2017 (i.e. terminated or ended during fiscal year 2017)? If yes, provide the following information:</t>
    </r>
  </si>
  <si>
    <r>
      <t xml:space="preserve">Part 3)  Were the transactions to record the termination of the hedging derivative instrument - effective hedge properly reported on the template in accordance with </t>
    </r>
    <r>
      <rPr>
        <b/>
        <strike/>
        <u/>
        <sz val="11"/>
        <rFont val="Times New Roman"/>
        <family val="1"/>
      </rPr>
      <t>GASBS No. 53</t>
    </r>
    <r>
      <rPr>
        <strike/>
        <sz val="11"/>
        <rFont val="Times New Roman"/>
        <family val="1"/>
      </rPr>
      <t>?  If no, explain.</t>
    </r>
  </si>
  <si>
    <r>
      <rPr>
        <b/>
        <strike/>
        <sz val="11"/>
        <rFont val="Times New Roman"/>
        <family val="1"/>
      </rPr>
      <t xml:space="preserve">Derivative Instruments - activity only during FY 2017 </t>
    </r>
    <r>
      <rPr>
        <strike/>
        <sz val="11"/>
        <rFont val="Times New Roman"/>
        <family val="1"/>
      </rPr>
      <t>- Did the fund have any other derivative instrument activity during fiscal year 2017 that is not already described in the previous parts?  If yes, provide a description of the derivative instrument activity during the year not already mentioned in the previous parts.</t>
    </r>
  </si>
  <si>
    <r>
      <rPr>
        <b/>
        <strike/>
        <sz val="11"/>
        <rFont val="Times New Roman"/>
        <family val="1"/>
      </rPr>
      <t xml:space="preserve">Evaluation of Effectiveness - potential hedging derivative instruments as of June 30, 2017 - </t>
    </r>
    <r>
      <rPr>
        <strike/>
        <sz val="11"/>
        <rFont val="Times New Roman"/>
        <family val="1"/>
      </rPr>
      <t xml:space="preserve">Were all potential hedging derivative instruments that existed as of June 30, 2017 properly evaluated for  effectiveness as of June 30, 2017 in accordance with </t>
    </r>
    <r>
      <rPr>
        <b/>
        <strike/>
        <u/>
        <sz val="11"/>
        <rFont val="Times New Roman"/>
        <family val="1"/>
      </rPr>
      <t>GASBS No. 53</t>
    </r>
    <r>
      <rPr>
        <strike/>
        <sz val="11"/>
        <rFont val="Times New Roman"/>
        <family val="1"/>
      </rPr>
      <t>?  If yes, provide a description of the method used to determine effectiveness.  If no, explain.</t>
    </r>
  </si>
  <si>
    <r>
      <t xml:space="preserve">If yes to questions 13g through 13j, are </t>
    </r>
    <r>
      <rPr>
        <b/>
        <strike/>
        <sz val="11"/>
        <rFont val="Times New Roman"/>
        <family val="1"/>
      </rPr>
      <t>all</t>
    </r>
    <r>
      <rPr>
        <strike/>
        <sz val="11"/>
        <rFont val="Times New Roman"/>
        <family val="1"/>
      </rPr>
      <t xml:space="preserve"> contracts that qualify as a Service Concession Arrangement in which the fund is the operator properly reported on the financial statement template in accordance with </t>
    </r>
    <r>
      <rPr>
        <b/>
        <strike/>
        <u/>
        <sz val="11"/>
        <rFont val="Times New Roman"/>
        <family val="1"/>
      </rPr>
      <t>GASBS No. 60</t>
    </r>
    <r>
      <rPr>
        <strike/>
        <sz val="11"/>
        <rFont val="Times New Roman"/>
        <family val="1"/>
      </rPr>
      <t>?  If no, explain below.</t>
    </r>
  </si>
  <si>
    <r>
      <rPr>
        <b/>
        <strike/>
        <sz val="11"/>
        <rFont val="Times New Roman"/>
        <family val="1"/>
      </rPr>
      <t>If yes to the first four questions 13g through 13j</t>
    </r>
    <r>
      <rPr>
        <strike/>
        <sz val="11"/>
        <rFont val="Times New Roman"/>
        <family val="1"/>
      </rPr>
      <t xml:space="preserve">  for a single contract that qualifies as a service concession arrangement in which the fund is the operator, DOA will provide a separate communication to obtain additional information.</t>
    </r>
  </si>
  <si>
    <r>
      <rPr>
        <b/>
        <strike/>
        <u/>
        <sz val="11"/>
        <rFont val="Times New Roman"/>
        <family val="1"/>
      </rPr>
      <t>GASBS No. 65</t>
    </r>
    <r>
      <rPr>
        <b/>
        <strike/>
        <sz val="11"/>
        <rFont val="Times New Roman"/>
        <family val="1"/>
      </rPr>
      <t xml:space="preserve">, </t>
    </r>
    <r>
      <rPr>
        <i/>
        <strike/>
        <sz val="11"/>
        <rFont val="Times New Roman"/>
        <family val="1"/>
      </rPr>
      <t>Items Previously Reported as Assets and Liabilities</t>
    </r>
  </si>
  <si>
    <r>
      <rPr>
        <b/>
        <strike/>
        <u/>
        <sz val="11"/>
        <rFont val="Times New Roman"/>
        <family val="1"/>
      </rPr>
      <t>GASBS No. 65</t>
    </r>
    <r>
      <rPr>
        <strike/>
        <sz val="11"/>
        <rFont val="Times New Roman"/>
        <family val="1"/>
      </rPr>
      <t xml:space="preserve"> requires certain assets and liabilities to be reported on one of the following applicable line items:
-  deferred outflows of resources (see question 14a)
-  deferred inflows of resources  (see question 14b)
-  expenses or expenditures (see question 15a)
-  revenues (see question 15b)
Question 14 includes questions regarding the reporting of deferred outflows of resources and deferred inflows of resources per </t>
    </r>
    <r>
      <rPr>
        <b/>
        <strike/>
        <u/>
        <sz val="11"/>
        <rFont val="Times New Roman"/>
        <family val="1"/>
      </rPr>
      <t>GASBS No. 65</t>
    </r>
    <r>
      <rPr>
        <strike/>
        <sz val="11"/>
        <rFont val="Times New Roman"/>
        <family val="1"/>
      </rPr>
      <t xml:space="preserve">.  
Question 15 has questions regarding the reporting of expenses or revenues in accordance with </t>
    </r>
    <r>
      <rPr>
        <b/>
        <strike/>
        <u/>
        <sz val="11"/>
        <rFont val="Times New Roman"/>
        <family val="1"/>
      </rPr>
      <t>GASBS No. 65</t>
    </r>
    <r>
      <rPr>
        <strike/>
        <sz val="11"/>
        <rFont val="Times New Roman"/>
        <family val="1"/>
      </rPr>
      <t xml:space="preserve">.    DOA may request additional information in a separate communication.   </t>
    </r>
    <r>
      <rPr>
        <strike/>
        <u/>
        <sz val="11"/>
        <rFont val="Times New Roman"/>
        <family val="1"/>
      </rPr>
      <t xml:space="preserve">
</t>
    </r>
    <r>
      <rPr>
        <strike/>
        <sz val="11"/>
        <rFont val="Times New Roman"/>
        <family val="1"/>
      </rPr>
      <t xml:space="preserve">
</t>
    </r>
    <r>
      <rPr>
        <b/>
        <strike/>
        <sz val="11"/>
        <rFont val="Times New Roman"/>
        <family val="1"/>
      </rPr>
      <t xml:space="preserve">
</t>
    </r>
  </si>
  <si>
    <r>
      <rPr>
        <b/>
        <strike/>
        <sz val="11"/>
        <rFont val="Times New Roman"/>
        <family val="1"/>
      </rPr>
      <t>Expenses  for FY 2018</t>
    </r>
    <r>
      <rPr>
        <strike/>
        <sz val="11"/>
        <rFont val="Times New Roman"/>
        <family val="1"/>
      </rPr>
      <t xml:space="preserve">:  Does the fund have any items that would  have to be reported as expenses in accordance with </t>
    </r>
    <r>
      <rPr>
        <b/>
        <strike/>
        <u/>
        <sz val="11"/>
        <rFont val="Times New Roman"/>
        <family val="1"/>
      </rPr>
      <t>GASBS No. 65</t>
    </r>
    <r>
      <rPr>
        <strike/>
        <sz val="11"/>
        <rFont val="Times New Roman"/>
        <family val="1"/>
      </rPr>
      <t xml:space="preserve"> for FY 2018?  </t>
    </r>
  </si>
  <si>
    <r>
      <t xml:space="preserve">1) </t>
    </r>
    <r>
      <rPr>
        <b/>
        <strike/>
        <sz val="11"/>
        <rFont val="Times New Roman"/>
        <family val="1"/>
      </rPr>
      <t>Debt Issuance Costs</t>
    </r>
    <r>
      <rPr>
        <strike/>
        <sz val="11"/>
        <rFont val="Times New Roman"/>
        <family val="1"/>
      </rPr>
      <t xml:space="preserve"> - Debt issuance costs, excluding prepaid insurance costs (</t>
    </r>
    <r>
      <rPr>
        <b/>
        <strike/>
        <u/>
        <sz val="11"/>
        <rFont val="Times New Roman"/>
        <family val="1"/>
      </rPr>
      <t>GASBS No. 65</t>
    </r>
    <r>
      <rPr>
        <strike/>
        <sz val="11"/>
        <rFont val="Times New Roman"/>
        <family val="1"/>
      </rPr>
      <t xml:space="preserve"> paragraphs 14 &amp; 15)
</t>
    </r>
  </si>
  <si>
    <r>
      <t xml:space="preserve">2) </t>
    </r>
    <r>
      <rPr>
        <b/>
        <strike/>
        <sz val="11"/>
        <rFont val="Times New Roman"/>
        <family val="1"/>
      </rPr>
      <t>Operating Leases</t>
    </r>
    <r>
      <rPr>
        <strike/>
        <sz val="11"/>
        <rFont val="Times New Roman"/>
        <family val="1"/>
      </rPr>
      <t xml:space="preserve"> - Lessor's initial direct costs of an operating lease  (</t>
    </r>
    <r>
      <rPr>
        <b/>
        <strike/>
        <u/>
        <sz val="11"/>
        <rFont val="Times New Roman"/>
        <family val="1"/>
      </rPr>
      <t>GASBS No. 65</t>
    </r>
    <r>
      <rPr>
        <strike/>
        <sz val="11"/>
        <rFont val="Times New Roman"/>
        <family val="1"/>
      </rPr>
      <t xml:space="preserve"> paragraphs 16 &amp; 17)</t>
    </r>
  </si>
  <si>
    <r>
      <t xml:space="preserve">3) </t>
    </r>
    <r>
      <rPr>
        <b/>
        <strike/>
        <sz val="11"/>
        <rFont val="Times New Roman"/>
        <family val="1"/>
      </rPr>
      <t>Insurance Activities</t>
    </r>
    <r>
      <rPr>
        <strike/>
        <sz val="11"/>
        <rFont val="Times New Roman"/>
        <family val="1"/>
      </rPr>
      <t xml:space="preserve"> - Acquisition costs related to insurance activities  (</t>
    </r>
    <r>
      <rPr>
        <b/>
        <strike/>
        <u/>
        <sz val="11"/>
        <rFont val="Times New Roman"/>
        <family val="1"/>
      </rPr>
      <t>GASBS No. 65</t>
    </r>
    <r>
      <rPr>
        <strike/>
        <sz val="11"/>
        <rFont val="Times New Roman"/>
        <family val="1"/>
      </rPr>
      <t xml:space="preserve"> paragraphs 19 &amp; 20)
</t>
    </r>
    <r>
      <rPr>
        <b/>
        <strike/>
        <sz val="11"/>
        <rFont val="Times New Roman"/>
        <family val="1"/>
      </rPr>
      <t>Note</t>
    </r>
    <r>
      <rPr>
        <strike/>
        <sz val="11"/>
        <rFont val="Times New Roman"/>
        <family val="1"/>
      </rPr>
      <t xml:space="preserve">:  </t>
    </r>
    <r>
      <rPr>
        <b/>
        <strike/>
        <u/>
        <sz val="11"/>
        <rFont val="Times New Roman"/>
        <family val="1"/>
      </rPr>
      <t>GASBS No. 62</t>
    </r>
    <r>
      <rPr>
        <strike/>
        <sz val="11"/>
        <rFont val="Times New Roman"/>
        <family val="1"/>
      </rPr>
      <t xml:space="preserve"> paragraphs 400 - 430 establish accounting and financial reporting standards for short-duration insurance contracts underwritten by insurance entities other than public entity risk pools  and </t>
    </r>
    <r>
      <rPr>
        <b/>
        <strike/>
        <u/>
        <sz val="11"/>
        <rFont val="Times New Roman"/>
        <family val="1"/>
      </rPr>
      <t>GASBS No. 10</t>
    </r>
    <r>
      <rPr>
        <strike/>
        <sz val="11"/>
        <rFont val="Times New Roman"/>
        <family val="1"/>
      </rPr>
      <t xml:space="preserve"> paragraphs 17-51 &amp; 81 establish accounting and financial reporting standards for public entity risk pools.  In addition, </t>
    </r>
    <r>
      <rPr>
        <b/>
        <strike/>
        <u/>
        <sz val="11"/>
        <rFont val="Times New Roman"/>
        <family val="1"/>
      </rPr>
      <t>GASBS No. 62</t>
    </r>
    <r>
      <rPr>
        <strike/>
        <sz val="11"/>
        <rFont val="Times New Roman"/>
        <family val="1"/>
      </rPr>
      <t xml:space="preserve"> paragraph 412 and </t>
    </r>
    <r>
      <rPr>
        <b/>
        <strike/>
        <u/>
        <sz val="11"/>
        <rFont val="Times New Roman"/>
        <family val="1"/>
      </rPr>
      <t>GASBS No. 10</t>
    </r>
    <r>
      <rPr>
        <strike/>
        <sz val="11"/>
        <rFont val="Times New Roman"/>
        <family val="1"/>
      </rPr>
      <t xml:space="preserve"> paragraph 28 define acquisition costs as costs that vary with and are primarily related to the acquisition of new and renewal insurance contracts.  Commissions and other costs (i.e., salaries of certain employees involved in the underwriting and policy issue functions, and medical and inspection fees) primarily related to insurance contracts issued or renewed during the period in which the costs are incurred should be considered acquisition costs.</t>
    </r>
  </si>
  <si>
    <r>
      <t xml:space="preserve">4) </t>
    </r>
    <r>
      <rPr>
        <b/>
        <strike/>
        <sz val="11"/>
        <rFont val="Times New Roman"/>
        <family val="1"/>
      </rPr>
      <t xml:space="preserve">Lending Activities </t>
    </r>
    <r>
      <rPr>
        <strike/>
        <sz val="11"/>
        <rFont val="Times New Roman"/>
        <family val="1"/>
      </rPr>
      <t>- Direct loan origination costs   (</t>
    </r>
    <r>
      <rPr>
        <b/>
        <strike/>
        <u/>
        <sz val="11"/>
        <rFont val="Times New Roman"/>
        <family val="1"/>
      </rPr>
      <t>GASBS No. 65</t>
    </r>
    <r>
      <rPr>
        <strike/>
        <sz val="11"/>
        <rFont val="Times New Roman"/>
        <family val="1"/>
      </rPr>
      <t xml:space="preserve"> paragraphs 21 &amp; 22)</t>
    </r>
  </si>
  <si>
    <r>
      <t xml:space="preserve">5) </t>
    </r>
    <r>
      <rPr>
        <b/>
        <strike/>
        <sz val="11"/>
        <rFont val="Times New Roman"/>
        <family val="1"/>
      </rPr>
      <t>Lending Activities</t>
    </r>
    <r>
      <rPr>
        <strike/>
        <sz val="11"/>
        <rFont val="Times New Roman"/>
        <family val="1"/>
      </rPr>
      <t xml:space="preserve"> - Fees paid related to the purchase of a loan or group of loans (</t>
    </r>
    <r>
      <rPr>
        <b/>
        <strike/>
        <u/>
        <sz val="11"/>
        <rFont val="Times New Roman"/>
        <family val="1"/>
      </rPr>
      <t>GASBS No. 65</t>
    </r>
    <r>
      <rPr>
        <strike/>
        <sz val="11"/>
        <rFont val="Times New Roman"/>
        <family val="1"/>
      </rPr>
      <t xml:space="preserve"> paragraphs 21 &amp;  24)</t>
    </r>
  </si>
  <si>
    <r>
      <t xml:space="preserve">6) </t>
    </r>
    <r>
      <rPr>
        <b/>
        <strike/>
        <sz val="11"/>
        <rFont val="Times New Roman"/>
        <family val="1"/>
      </rPr>
      <t xml:space="preserve">Mortgage Banking Activities </t>
    </r>
    <r>
      <rPr>
        <strike/>
        <sz val="11"/>
        <rFont val="Times New Roman"/>
        <family val="1"/>
      </rPr>
      <t>- Direct loan origination costs for loans held for investment (</t>
    </r>
    <r>
      <rPr>
        <b/>
        <strike/>
        <u/>
        <sz val="11"/>
        <rFont val="Times New Roman"/>
        <family val="1"/>
      </rPr>
      <t>GASBS No. 65</t>
    </r>
    <r>
      <rPr>
        <strike/>
        <sz val="11"/>
        <rFont val="Times New Roman"/>
        <family val="1"/>
      </rPr>
      <t xml:space="preserve"> paragraphs 25 &amp; 26)
</t>
    </r>
  </si>
  <si>
    <r>
      <rPr>
        <b/>
        <strike/>
        <sz val="11"/>
        <rFont val="Times New Roman"/>
        <family val="1"/>
      </rPr>
      <t>Revenues  for FY 2018:</t>
    </r>
    <r>
      <rPr>
        <strike/>
        <sz val="11"/>
        <rFont val="Times New Roman"/>
        <family val="1"/>
      </rPr>
      <t xml:space="preserve">  Does the fund have any items  that would  have to be reported as revenue in accordance with </t>
    </r>
    <r>
      <rPr>
        <b/>
        <strike/>
        <u/>
        <sz val="11"/>
        <rFont val="Times New Roman"/>
        <family val="1"/>
      </rPr>
      <t>GASBS No. 65</t>
    </r>
    <r>
      <rPr>
        <strike/>
        <sz val="11"/>
        <rFont val="Times New Roman"/>
        <family val="1"/>
      </rPr>
      <t xml:space="preserve"> for FY 2018?  </t>
    </r>
  </si>
  <si>
    <r>
      <t xml:space="preserve">1) </t>
    </r>
    <r>
      <rPr>
        <b/>
        <strike/>
        <sz val="11"/>
        <rFont val="Times New Roman"/>
        <family val="1"/>
      </rPr>
      <t>Lending Activities</t>
    </r>
    <r>
      <rPr>
        <strike/>
        <sz val="11"/>
        <rFont val="Times New Roman"/>
        <family val="1"/>
      </rPr>
      <t xml:space="preserve"> -  In lending activities, loan origination fees (excluding portion for points) received by lender   (</t>
    </r>
    <r>
      <rPr>
        <b/>
        <strike/>
        <u/>
        <sz val="11"/>
        <rFont val="Times New Roman"/>
        <family val="1"/>
      </rPr>
      <t>GASBS No. 65</t>
    </r>
    <r>
      <rPr>
        <strike/>
        <sz val="11"/>
        <rFont val="Times New Roman"/>
        <family val="1"/>
      </rPr>
      <t xml:space="preserve"> paragraphs 21 &amp; 22)</t>
    </r>
  </si>
  <si>
    <r>
      <t xml:space="preserve">2) </t>
    </r>
    <r>
      <rPr>
        <b/>
        <strike/>
        <sz val="11"/>
        <color theme="1"/>
        <rFont val="Times New Roman"/>
        <family val="1"/>
      </rPr>
      <t>Lending Activities</t>
    </r>
    <r>
      <rPr>
        <strike/>
        <sz val="11"/>
        <color theme="1"/>
        <rFont val="Times New Roman"/>
        <family val="1"/>
      </rPr>
      <t xml:space="preserve"> - commitment fees received for a commitment to originate or purchase a loan or group of loans should be recorded as a liability and if the  commitment is exercised, recognize as revenue in the period of exercise.   If government's experience with similar arrangements indicate the likelihood commitment will be exercised is remote, recognize as revenue in period received.  (</t>
    </r>
    <r>
      <rPr>
        <b/>
        <strike/>
        <u/>
        <sz val="11"/>
        <color theme="1"/>
        <rFont val="Times New Roman"/>
        <family val="1"/>
      </rPr>
      <t>GASBS No. 65</t>
    </r>
    <r>
      <rPr>
        <strike/>
        <sz val="11"/>
        <color theme="1"/>
        <rFont val="Times New Roman"/>
        <family val="1"/>
      </rPr>
      <t xml:space="preserve"> paragraphs 21 &amp; 23)</t>
    </r>
  </si>
  <si>
    <r>
      <t xml:space="preserve">3) </t>
    </r>
    <r>
      <rPr>
        <b/>
        <strike/>
        <sz val="11"/>
        <color theme="1"/>
        <rFont val="Times New Roman"/>
        <family val="1"/>
      </rPr>
      <t xml:space="preserve">Lending Activities </t>
    </r>
    <r>
      <rPr>
        <strike/>
        <sz val="11"/>
        <color theme="1"/>
        <rFont val="Times New Roman"/>
        <family val="1"/>
      </rPr>
      <t>- Fees received related to the purchase of a loan or group of loans (</t>
    </r>
    <r>
      <rPr>
        <b/>
        <strike/>
        <u/>
        <sz val="11"/>
        <color theme="1"/>
        <rFont val="Times New Roman"/>
        <family val="1"/>
      </rPr>
      <t>GASBS No. 65</t>
    </r>
    <r>
      <rPr>
        <strike/>
        <sz val="11"/>
        <color theme="1"/>
        <rFont val="Times New Roman"/>
        <family val="1"/>
      </rPr>
      <t xml:space="preserve"> paragraphs 21 &amp;  24)</t>
    </r>
  </si>
  <si>
    <r>
      <t xml:space="preserve">4) </t>
    </r>
    <r>
      <rPr>
        <b/>
        <strike/>
        <sz val="11"/>
        <rFont val="Times New Roman"/>
        <family val="1"/>
      </rPr>
      <t xml:space="preserve">Mortgage Banking Activities </t>
    </r>
    <r>
      <rPr>
        <strike/>
        <sz val="11"/>
        <rFont val="Times New Roman"/>
        <family val="1"/>
      </rPr>
      <t>- Loan origination fees, excluding portion for points, received by lender for  loans held for investment   (</t>
    </r>
    <r>
      <rPr>
        <b/>
        <strike/>
        <u/>
        <sz val="11"/>
        <rFont val="Times New Roman"/>
        <family val="1"/>
      </rPr>
      <t>GASBS No. 65</t>
    </r>
    <r>
      <rPr>
        <strike/>
        <sz val="11"/>
        <rFont val="Times New Roman"/>
        <family val="1"/>
      </rPr>
      <t xml:space="preserve"> paragraph 25 &amp; 26)</t>
    </r>
  </si>
  <si>
    <r>
      <rPr>
        <b/>
        <strike/>
        <sz val="11"/>
        <rFont val="Times New Roman"/>
        <family val="1"/>
      </rPr>
      <t>Reporting</t>
    </r>
    <r>
      <rPr>
        <strike/>
        <sz val="11"/>
        <rFont val="Times New Roman"/>
        <family val="1"/>
      </rPr>
      <t xml:space="preserve">:   Were items properly reported on the template in accordance with </t>
    </r>
    <r>
      <rPr>
        <b/>
        <strike/>
        <u/>
        <sz val="11"/>
        <rFont val="Times New Roman"/>
        <family val="1"/>
      </rPr>
      <t>GASBS No. 65</t>
    </r>
    <r>
      <rPr>
        <strike/>
        <sz val="11"/>
        <rFont val="Times New Roman"/>
        <family val="1"/>
      </rPr>
      <t xml:space="preserve">?  If no, explain. 
</t>
    </r>
  </si>
  <si>
    <t>15e</t>
  </si>
  <si>
    <t>15f</t>
  </si>
  <si>
    <r>
      <rPr>
        <b/>
        <strike/>
        <sz val="11"/>
        <rFont val="Times New Roman"/>
        <family val="1"/>
      </rPr>
      <t>Reporting:</t>
    </r>
    <r>
      <rPr>
        <strike/>
        <sz val="11"/>
        <rFont val="Times New Roman"/>
        <family val="1"/>
      </rPr>
      <t xml:space="preserve">  Were items properly reported on the financial statement template in accordance with </t>
    </r>
    <r>
      <rPr>
        <b/>
        <strike/>
        <u/>
        <sz val="11"/>
        <rFont val="Times New Roman"/>
        <family val="1"/>
      </rPr>
      <t>GASBS No. 72</t>
    </r>
    <r>
      <rPr>
        <strike/>
        <sz val="11"/>
        <rFont val="Times New Roman"/>
        <family val="1"/>
      </rPr>
      <t>?</t>
    </r>
  </si>
  <si>
    <r>
      <t xml:space="preserve">If </t>
    </r>
    <r>
      <rPr>
        <b/>
        <strike/>
        <sz val="11"/>
        <rFont val="Times New Roman"/>
        <family val="1"/>
      </rPr>
      <t>no</t>
    </r>
    <r>
      <rPr>
        <strike/>
        <sz val="11"/>
        <rFont val="Times New Roman"/>
        <family val="1"/>
      </rPr>
      <t>, explain.</t>
    </r>
  </si>
  <si>
    <t>Assets Held Pending Distribution</t>
  </si>
  <si>
    <t>Due to Claimants, Participants, Escrows, and Providers</t>
  </si>
  <si>
    <t>Increase (Decrease) in Interfund Payable - due within one year</t>
  </si>
  <si>
    <t>Increase (Decrease) in Interfund Payable - due greater than one year</t>
  </si>
  <si>
    <t>Increase (Decrease) in Due to Claimants, Participants, Escrows, and Providers</t>
  </si>
  <si>
    <t>List all LGIP / LGIP EM accounts reported on this template.</t>
  </si>
  <si>
    <t>List the LGIP / LGIP EM account numbers and amounts; and any applicable Cardinal Account and Fund.</t>
  </si>
  <si>
    <t>Enter LGIP / LGIP EM amount 
into the applicable column.</t>
  </si>
  <si>
    <t>LGIP Amount</t>
  </si>
  <si>
    <t>LGIP EM Amount</t>
  </si>
  <si>
    <t>Refer to the applicable Implementation Guide issued by GASB, if additional guidance is necessary.</t>
  </si>
  <si>
    <r>
      <rPr>
        <b/>
        <u/>
        <sz val="10"/>
        <rFont val="Times New Roman"/>
        <family val="1"/>
      </rPr>
      <t>Note B</t>
    </r>
    <r>
      <rPr>
        <sz val="10"/>
        <rFont val="Times New Roman"/>
        <family val="1"/>
      </rPr>
      <t xml:space="preserve">) </t>
    </r>
    <r>
      <rPr>
        <b/>
        <u/>
        <sz val="10"/>
        <rFont val="Times New Roman"/>
        <family val="1"/>
      </rPr>
      <t>GASBS No. 79</t>
    </r>
    <r>
      <rPr>
        <sz val="10"/>
        <rFont val="Times New Roman"/>
        <family val="1"/>
      </rPr>
      <t xml:space="preserve"> amended paragraph 5 of </t>
    </r>
    <r>
      <rPr>
        <b/>
        <u/>
        <sz val="10"/>
        <rFont val="Times New Roman"/>
        <family val="1"/>
      </rPr>
      <t>GASBS No. 59</t>
    </r>
    <r>
      <rPr>
        <sz val="10"/>
        <rFont val="Times New Roman"/>
        <family val="1"/>
      </rPr>
      <t xml:space="preserve"> and </t>
    </r>
    <r>
      <rPr>
        <b/>
        <u/>
        <sz val="10"/>
        <rFont val="Times New Roman"/>
        <family val="1"/>
      </rPr>
      <t>GASBS No. 79</t>
    </r>
    <r>
      <rPr>
        <sz val="10"/>
        <rFont val="Times New Roman"/>
        <family val="1"/>
      </rPr>
      <t xml:space="preserve"> lists necessary criteria in paragraph 4 for an external </t>
    </r>
  </si>
  <si>
    <r>
      <t xml:space="preserve">investment pool to measure for financial reporting purposes at amortized cost.  It also amended </t>
    </r>
    <r>
      <rPr>
        <b/>
        <u/>
        <sz val="10"/>
        <rFont val="Times New Roman"/>
        <family val="1"/>
      </rPr>
      <t>GASBS No. 31</t>
    </r>
    <r>
      <rPr>
        <sz val="10"/>
        <rFont val="Times New Roman"/>
        <family val="1"/>
      </rPr>
      <t xml:space="preserve"> paragraphs 11 and 16.</t>
    </r>
  </si>
  <si>
    <t xml:space="preserve">In addition, if the external investment pool meets the criteria to report all investments at amortized cost and reports all investments at amortized cost, </t>
  </si>
  <si>
    <t xml:space="preserve">the pool's participants must also measure their investment in the external investment pool at amortized cost. An example of an external investment pool </t>
  </si>
  <si>
    <r>
      <t xml:space="preserve">that is managed in accordance with </t>
    </r>
    <r>
      <rPr>
        <b/>
        <u/>
        <sz val="10"/>
        <rFont val="Times New Roman"/>
        <family val="1"/>
      </rPr>
      <t>GASBS No. 79</t>
    </r>
    <r>
      <rPr>
        <sz val="10"/>
        <rFont val="Times New Roman"/>
        <family val="1"/>
      </rPr>
      <t xml:space="preserve"> is a Local Government Investment Pool (LGIP) managed by the Virginia Department of the Treasury.</t>
    </r>
  </si>
  <si>
    <t>LGIP amounts should be reported at amortized cost and LGIP EM amounts should be reported at fair value.</t>
  </si>
  <si>
    <r>
      <rPr>
        <b/>
        <u/>
        <sz val="10"/>
        <rFont val="Times New Roman"/>
        <family val="1"/>
      </rPr>
      <t>Note C</t>
    </r>
    <r>
      <rPr>
        <sz val="10"/>
        <rFont val="Times New Roman"/>
        <family val="1"/>
      </rPr>
      <t xml:space="preserve">) </t>
    </r>
    <r>
      <rPr>
        <b/>
        <u/>
        <sz val="10"/>
        <rFont val="Times New Roman"/>
        <family val="1"/>
      </rPr>
      <t>GASBS No. 72</t>
    </r>
    <r>
      <rPr>
        <sz val="10"/>
        <rFont val="Times New Roman"/>
        <family val="1"/>
      </rPr>
      <t xml:space="preserve"> paragraph 69 permits these items to be reported at other than fair value.</t>
    </r>
  </si>
  <si>
    <t xml:space="preserve">Note: In addition to responding to the questions below, evaluate whether there are reporting implications that are not addressed by the following questions. If so, please contact DOA.
Note: For additional information regarding GASB Statements, refer to the GASB website at www.gasb.org.  </t>
  </si>
  <si>
    <r>
      <t xml:space="preserve">10) </t>
    </r>
    <r>
      <rPr>
        <b/>
        <sz val="11"/>
        <rFont val="Times New Roman"/>
        <family val="1"/>
      </rPr>
      <t>Other Postemployment Benefits-Related</t>
    </r>
    <r>
      <rPr>
        <sz val="11"/>
        <rFont val="Times New Roman"/>
        <family val="1"/>
      </rPr>
      <t xml:space="preserve"> - VRS other postemployment benefit plans </t>
    </r>
    <r>
      <rPr>
        <b/>
        <sz val="11"/>
        <rFont val="Times New Roman"/>
        <family val="1"/>
      </rPr>
      <t>(</t>
    </r>
    <r>
      <rPr>
        <b/>
        <u/>
        <sz val="11"/>
        <rFont val="Times New Roman"/>
        <family val="1"/>
      </rPr>
      <t>GASBS No. 75</t>
    </r>
    <r>
      <rPr>
        <b/>
        <sz val="11"/>
        <rFont val="Times New Roman"/>
        <family val="1"/>
      </rPr>
      <t>)</t>
    </r>
  </si>
  <si>
    <r>
      <t xml:space="preserve">12) </t>
    </r>
    <r>
      <rPr>
        <b/>
        <sz val="11"/>
        <rFont val="Times New Roman"/>
        <family val="1"/>
      </rPr>
      <t>Government Acquisition</t>
    </r>
    <r>
      <rPr>
        <sz val="11"/>
        <rFont val="Times New Roman"/>
        <family val="1"/>
      </rPr>
      <t xml:space="preserve"> - Excess consideration provided by acquiring government in government acquisition 
(</t>
    </r>
    <r>
      <rPr>
        <b/>
        <u/>
        <sz val="11"/>
        <rFont val="Times New Roman"/>
        <family val="1"/>
      </rPr>
      <t>GASBS No. 69</t>
    </r>
    <r>
      <rPr>
        <b/>
        <sz val="11"/>
        <rFont val="Times New Roman"/>
        <family val="1"/>
      </rPr>
      <t xml:space="preserve"> </t>
    </r>
    <r>
      <rPr>
        <sz val="11"/>
        <rFont val="Times New Roman"/>
        <family val="1"/>
      </rPr>
      <t xml:space="preserve">paragraph 39 as amended by </t>
    </r>
    <r>
      <rPr>
        <b/>
        <u/>
        <sz val="11"/>
        <rFont val="Times New Roman"/>
        <family val="1"/>
      </rPr>
      <t>GASBS No. 85</t>
    </r>
    <r>
      <rPr>
        <sz val="11"/>
        <rFont val="Times New Roman"/>
        <family val="1"/>
      </rPr>
      <t xml:space="preserve"> paragraph 5)</t>
    </r>
  </si>
  <si>
    <t>Increase (Decrease) in Due to Claimants, Participants, Escrows, and Providers- due within one year</t>
  </si>
  <si>
    <t>Increase (Decrease) in Due to Claimants, Participants, Escrows, and Providers - due greater than one year</t>
  </si>
  <si>
    <t>Increase (Decrease) in Due to Claimants, Participants, Escrows, and Providers - due within one year</t>
  </si>
  <si>
    <r>
      <t xml:space="preserve">If </t>
    </r>
    <r>
      <rPr>
        <b/>
        <sz val="11"/>
        <rFont val="Times New Roman"/>
        <family val="1"/>
      </rPr>
      <t>yes</t>
    </r>
    <r>
      <rPr>
        <sz val="11"/>
        <rFont val="Times New Roman"/>
        <family val="1"/>
      </rPr>
      <t>, provide the following information for all items that are reported using the fair value hierarchy (Level 1, Level 2, and Level 3) on the financial statement template.</t>
    </r>
  </si>
  <si>
    <t>LGIP / LGIP EM 
Account Numbers</t>
  </si>
  <si>
    <t>Does the amount reported agree to the agency's SNAP statements?</t>
  </si>
  <si>
    <t>Cardinal Account</t>
  </si>
  <si>
    <t>Of the amounts reported in the LGIP column, what amount (if any) is reported on the Assets Held Pending Distribution line?</t>
  </si>
  <si>
    <t xml:space="preserve"> Does the amount reported agree to the agency's LGIP / LGIP EM statements?</t>
  </si>
  <si>
    <t>Agency Contact E-mail Address:</t>
  </si>
  <si>
    <r>
      <t xml:space="preserve">b)  Provide the amount in 2.2 above that is collateralized in accordance with the Security for Public Deposits Act (Section 2.2-4400 of the </t>
    </r>
    <r>
      <rPr>
        <i/>
        <sz val="10"/>
        <rFont val="Times New Roman"/>
        <family val="1"/>
      </rPr>
      <t>Code of Virginia</t>
    </r>
    <r>
      <rPr>
        <sz val="10"/>
        <rFont val="Times New Roman"/>
        <family val="1"/>
      </rPr>
      <t>).</t>
    </r>
  </si>
  <si>
    <r>
      <t>c)</t>
    </r>
    <r>
      <rPr>
        <b/>
        <sz val="10"/>
        <rFont val="Times New Roman"/>
        <family val="1"/>
      </rPr>
      <t xml:space="preserve">  If any cash balances or nonnegotiable CDs NOT with the Treasurer are NOT covered by the FDIC or the Security for Public Deposits Act</t>
    </r>
  </si>
  <si>
    <r>
      <t xml:space="preserve">b)  Investment Derivative Instruments: Are any investment derivative instruments, as defined in </t>
    </r>
    <r>
      <rPr>
        <b/>
        <u/>
        <sz val="10"/>
        <rFont val="Times New Roman"/>
        <family val="1"/>
      </rPr>
      <t>GASBS No. 53</t>
    </r>
    <r>
      <rPr>
        <sz val="10"/>
        <rFont val="Times New Roman"/>
        <family val="1"/>
      </rPr>
      <t xml:space="preserve">, included   </t>
    </r>
  </si>
  <si>
    <r>
      <t xml:space="preserve">    If </t>
    </r>
    <r>
      <rPr>
        <b/>
        <sz val="10"/>
        <rFont val="Times New Roman"/>
        <family val="1"/>
      </rPr>
      <t>Yes</t>
    </r>
    <r>
      <rPr>
        <sz val="10"/>
        <rFont val="Times New Roman"/>
        <family val="1"/>
      </rPr>
      <t>, then specify below, including investment type category and amount.</t>
    </r>
  </si>
  <si>
    <r>
      <t xml:space="preserve">as cash equivalents in part 2.1?  If </t>
    </r>
    <r>
      <rPr>
        <b/>
        <sz val="10"/>
        <rFont val="Times New Roman"/>
        <family val="1"/>
      </rPr>
      <t>yes</t>
    </r>
    <r>
      <rPr>
        <sz val="10"/>
        <rFont val="Times New Roman"/>
        <family val="1"/>
      </rPr>
      <t xml:space="preserve">, DOA may contact you to obtain an explanation. </t>
    </r>
  </si>
  <si>
    <r>
      <t xml:space="preserve">If </t>
    </r>
    <r>
      <rPr>
        <b/>
        <sz val="10"/>
        <rFont val="Times New Roman"/>
        <family val="1"/>
      </rPr>
      <t>yes,</t>
    </r>
    <r>
      <rPr>
        <sz val="10"/>
        <rFont val="Times New Roman"/>
        <family val="1"/>
      </rPr>
      <t xml:space="preserve"> then further explain below, including fair value and specific terms of the investments.</t>
    </r>
  </si>
  <si>
    <r>
      <t>GASBS No. 40</t>
    </r>
    <r>
      <rPr>
        <sz val="10"/>
        <rFont val="Times New Roman"/>
        <family val="1"/>
      </rPr>
      <t xml:space="preserve"> states it is the agency’s responsibility “to update the custodial credit risk disclosure requirements addressing other common risks of the deposits </t>
    </r>
  </si>
  <si>
    <t>b)  Total of bank balances as reported by the depositories or custodial financial institutions as of June 30</t>
  </si>
  <si>
    <t>Total bank balances for Part 2b plus Part 2.1b</t>
  </si>
  <si>
    <t xml:space="preserve">a)  Provide the amount in 2.2 above that is covered by federal depository insurance.  (Refer to the Attachment 23 instructions </t>
  </si>
  <si>
    <r>
      <t xml:space="preserve">     and the FDIC website at </t>
    </r>
    <r>
      <rPr>
        <u/>
        <sz val="10"/>
        <rFont val="Times New Roman"/>
        <family val="1"/>
      </rPr>
      <t>www.fdic.gov</t>
    </r>
    <r>
      <rPr>
        <sz val="10"/>
        <rFont val="Times New Roman"/>
        <family val="1"/>
      </rPr>
      <t xml:space="preserve"> for FDIC coverage information and definitions.)</t>
    </r>
  </si>
  <si>
    <t>SNAP 
Account Numbers</t>
  </si>
  <si>
    <t xml:space="preserve">interest rate changes?  </t>
  </si>
  <si>
    <t>Terms that make Investment Highly Sensitive to Interest Rate Changes</t>
  </si>
  <si>
    <t>DEBT - Corporate Bonds and Notes</t>
  </si>
  <si>
    <t>DEBT - Supranational and Non-U.S. Government Bonds and Notes</t>
  </si>
  <si>
    <t>DEBT - Commercial Paper</t>
  </si>
  <si>
    <t>DEBT - Negotiable Certificates of Deposit</t>
  </si>
  <si>
    <t>DEBT - Reverse Repurchase Agreements</t>
  </si>
  <si>
    <t>DEBT - Repurchase Agreements</t>
  </si>
  <si>
    <t>DEBT - Municipal Securities</t>
  </si>
  <si>
    <t>DEBT - Asset Backed Securities</t>
  </si>
  <si>
    <t>DEBT - Agency Unsecured Bonds and Notes</t>
  </si>
  <si>
    <t>DEBT - Agency Mortgage Backed Securities</t>
  </si>
  <si>
    <t>DEBT - Guaranteed Investment Contracts</t>
  </si>
  <si>
    <t>DEBT - Fixed Income and Commingled Funds</t>
  </si>
  <si>
    <t>DEBT - International and Emerging Markets Funds</t>
  </si>
  <si>
    <t>DEBT - Other Debt Securities (Provide description)</t>
  </si>
  <si>
    <t>EQUITY - Common and Preferred Stocks</t>
  </si>
  <si>
    <t>EQUITY - Foreign Currencies</t>
  </si>
  <si>
    <t>EQUITY - Equity Index and Pooled Funds</t>
  </si>
  <si>
    <t>EQUITY - Real Estate</t>
  </si>
  <si>
    <t>EQUITY - Other Equity Securities (Provide description)</t>
  </si>
  <si>
    <r>
      <t xml:space="preserve">Part 1)  Are cash equivalents and investments properly reported in accordance with </t>
    </r>
    <r>
      <rPr>
        <b/>
        <u/>
        <sz val="10"/>
        <rFont val="Times New Roman"/>
        <family val="1"/>
      </rPr>
      <t>GASBS No. 31</t>
    </r>
    <r>
      <rPr>
        <sz val="10"/>
        <rFont val="Times New Roman"/>
        <family val="1"/>
      </rPr>
      <t xml:space="preserve">, </t>
    </r>
    <r>
      <rPr>
        <i/>
        <sz val="10"/>
        <rFont val="Times New Roman"/>
        <family val="1"/>
      </rPr>
      <t xml:space="preserve">Accounting and Financial Reporting </t>
    </r>
  </si>
  <si>
    <r>
      <t xml:space="preserve">            for Certain Investments and for External Investment Pools, </t>
    </r>
    <r>
      <rPr>
        <sz val="10"/>
        <rFont val="Times New Roman"/>
        <family val="1"/>
      </rPr>
      <t>as amended by</t>
    </r>
    <r>
      <rPr>
        <i/>
        <sz val="10"/>
        <rFont val="Times New Roman"/>
        <family val="1"/>
      </rPr>
      <t xml:space="preserve"> </t>
    </r>
    <r>
      <rPr>
        <b/>
        <u/>
        <sz val="10"/>
        <rFont val="Times New Roman"/>
        <family val="1"/>
      </rPr>
      <t>GASBS No. 59</t>
    </r>
    <r>
      <rPr>
        <b/>
        <sz val="10"/>
        <rFont val="Times New Roman"/>
        <family val="1"/>
      </rPr>
      <t xml:space="preserve">, </t>
    </r>
    <r>
      <rPr>
        <i/>
        <sz val="10"/>
        <rFont val="Times New Roman"/>
        <family val="1"/>
      </rPr>
      <t>Financial Instruments Omnibus,</t>
    </r>
  </si>
  <si>
    <r>
      <t xml:space="preserve">         </t>
    </r>
    <r>
      <rPr>
        <sz val="10"/>
        <rFont val="Times New Roman"/>
        <family val="1"/>
      </rPr>
      <t xml:space="preserve">  </t>
    </r>
    <r>
      <rPr>
        <b/>
        <u/>
        <sz val="10"/>
        <rFont val="Times New Roman"/>
        <family val="1"/>
      </rPr>
      <t>GASBS No. 72</t>
    </r>
    <r>
      <rPr>
        <sz val="10"/>
        <rFont val="Times New Roman"/>
        <family val="1"/>
      </rPr>
      <t xml:space="preserve">, </t>
    </r>
    <r>
      <rPr>
        <i/>
        <sz val="10"/>
        <rFont val="Times New Roman"/>
        <family val="1"/>
      </rPr>
      <t>Fair Value Measurement and Application</t>
    </r>
    <r>
      <rPr>
        <sz val="10"/>
        <rFont val="Times New Roman"/>
        <family val="1"/>
      </rPr>
      <t xml:space="preserve">, and </t>
    </r>
    <r>
      <rPr>
        <b/>
        <u/>
        <sz val="10"/>
        <rFont val="Times New Roman"/>
        <family val="1"/>
      </rPr>
      <t>GASBS No. 79</t>
    </r>
    <r>
      <rPr>
        <sz val="10"/>
        <rFont val="Times New Roman"/>
        <family val="1"/>
      </rPr>
      <t xml:space="preserve">, </t>
    </r>
    <r>
      <rPr>
        <i/>
        <sz val="10"/>
        <rFont val="Times New Roman"/>
        <family val="1"/>
      </rPr>
      <t>Certain External Investment Pools</t>
    </r>
  </si>
  <si>
    <r>
      <t xml:space="preserve">           </t>
    </r>
    <r>
      <rPr>
        <i/>
        <sz val="10"/>
        <rFont val="Times New Roman"/>
        <family val="1"/>
      </rPr>
      <t>and Pool Participants?</t>
    </r>
  </si>
  <si>
    <r>
      <t xml:space="preserve">Contract value in accordance with </t>
    </r>
    <r>
      <rPr>
        <b/>
        <u/>
        <sz val="10"/>
        <rFont val="Times New Roman"/>
        <family val="1"/>
      </rPr>
      <t xml:space="preserve">GASBS No. 53 </t>
    </r>
  </si>
  <si>
    <r>
      <t xml:space="preserve">Fair value established using Net Asset Value Per Share (or its equivalent) in accordance with </t>
    </r>
    <r>
      <rPr>
        <b/>
        <u/>
        <sz val="10"/>
        <rFont val="Times New Roman"/>
        <family val="1"/>
      </rPr>
      <t>GASBS No. 72</t>
    </r>
  </si>
  <si>
    <r>
      <t>Note</t>
    </r>
    <r>
      <rPr>
        <b/>
        <sz val="10"/>
        <rFont val="Times New Roman"/>
        <family val="1"/>
      </rPr>
      <t xml:space="preserve">: </t>
    </r>
    <r>
      <rPr>
        <sz val="10"/>
        <rFont val="Times New Roman"/>
        <family val="1"/>
      </rPr>
      <t xml:space="preserve"> For the accurate reporting of all the applicable cash equivalents and investments in Part 1 above, consider how they are </t>
    </r>
  </si>
  <si>
    <r>
      <t xml:space="preserve">being reported on the Tab 1B-CE &amp; Inv Not W Tr for fair value measurement purposes in accordance with </t>
    </r>
    <r>
      <rPr>
        <b/>
        <u/>
        <sz val="10"/>
        <rFont val="Times New Roman"/>
        <family val="1"/>
      </rPr>
      <t>GASBS No. 72</t>
    </r>
    <r>
      <rPr>
        <sz val="10"/>
        <rFont val="Times New Roman"/>
        <family val="1"/>
      </rPr>
      <t xml:space="preserve">. </t>
    </r>
  </si>
  <si>
    <r>
      <t>Note A</t>
    </r>
    <r>
      <rPr>
        <sz val="10"/>
        <rFont val="Times New Roman"/>
        <family val="1"/>
      </rPr>
      <t xml:space="preserve">)   </t>
    </r>
    <r>
      <rPr>
        <b/>
        <u/>
        <sz val="10"/>
        <rFont val="Times New Roman"/>
        <family val="1"/>
      </rPr>
      <t>GASBS No. 31</t>
    </r>
    <r>
      <rPr>
        <sz val="10"/>
        <rFont val="Times New Roman"/>
        <family val="1"/>
      </rPr>
      <t xml:space="preserve">, paragraph 9, states that these types of investments (Parts 1b, 1c) </t>
    </r>
    <r>
      <rPr>
        <b/>
        <sz val="10"/>
        <rFont val="Times New Roman"/>
        <family val="1"/>
      </rPr>
      <t>may</t>
    </r>
    <r>
      <rPr>
        <sz val="10"/>
        <rFont val="Times New Roman"/>
        <family val="1"/>
      </rPr>
      <t xml:space="preserve"> be reported</t>
    </r>
  </si>
  <si>
    <r>
      <rPr>
        <b/>
        <u/>
        <sz val="10"/>
        <rFont val="Times New Roman"/>
        <family val="1"/>
      </rPr>
      <t>Note D</t>
    </r>
    <r>
      <rPr>
        <sz val="10"/>
        <rFont val="Times New Roman"/>
        <family val="1"/>
      </rPr>
      <t xml:space="preserve">)  These are items that are permitted to be reported at net asset value (or its equivalent) in accordance with </t>
    </r>
    <r>
      <rPr>
        <b/>
        <u/>
        <sz val="10"/>
        <rFont val="Times New Roman"/>
        <family val="1"/>
      </rPr>
      <t>GASBS No. 72</t>
    </r>
    <r>
      <rPr>
        <sz val="10"/>
        <rFont val="Times New Roman"/>
        <family val="1"/>
      </rPr>
      <t xml:space="preserve"> </t>
    </r>
  </si>
  <si>
    <r>
      <t xml:space="preserve">paragraphs 71 to 74  and require additional disclosures in accordance with </t>
    </r>
    <r>
      <rPr>
        <b/>
        <u/>
        <sz val="10"/>
        <rFont val="Times New Roman"/>
        <family val="1"/>
      </rPr>
      <t>GASBS No. 72</t>
    </r>
    <r>
      <rPr>
        <sz val="10"/>
        <rFont val="Times New Roman"/>
        <family val="1"/>
      </rPr>
      <t xml:space="preserve"> paragraph 82. These items should be reported</t>
    </r>
  </si>
  <si>
    <r>
      <rPr>
        <b/>
        <u/>
        <sz val="10"/>
        <rFont val="Times New Roman"/>
        <family val="1"/>
      </rPr>
      <t>Note D1</t>
    </r>
    <r>
      <rPr>
        <sz val="10"/>
        <rFont val="Times New Roman"/>
        <family val="1"/>
      </rPr>
      <t xml:space="preserve">)  </t>
    </r>
    <r>
      <rPr>
        <b/>
        <u/>
        <sz val="10"/>
        <rFont val="Times New Roman"/>
        <family val="1"/>
      </rPr>
      <t>GASBS No. 72</t>
    </r>
    <r>
      <rPr>
        <sz val="10"/>
        <rFont val="Times New Roman"/>
        <family val="1"/>
      </rPr>
      <t xml:space="preserve"> includes amendments to </t>
    </r>
    <r>
      <rPr>
        <b/>
        <u/>
        <sz val="10"/>
        <rFont val="Times New Roman"/>
        <family val="1"/>
      </rPr>
      <t>GASBS No. 31</t>
    </r>
    <r>
      <rPr>
        <sz val="10"/>
        <rFont val="Times New Roman"/>
        <family val="1"/>
      </rPr>
      <t xml:space="preserve">. See </t>
    </r>
    <r>
      <rPr>
        <b/>
        <u/>
        <sz val="10"/>
        <rFont val="Times New Roman"/>
        <family val="1"/>
      </rPr>
      <t>GASBS No. 72</t>
    </r>
    <r>
      <rPr>
        <sz val="10"/>
        <rFont val="Times New Roman"/>
        <family val="1"/>
      </rPr>
      <t xml:space="preserve"> for more information.  LGIP EM should be included in this category.</t>
    </r>
  </si>
  <si>
    <r>
      <t>Part 2)  For any "</t>
    </r>
    <r>
      <rPr>
        <b/>
        <sz val="10"/>
        <rFont val="Times New Roman"/>
        <family val="1"/>
      </rPr>
      <t>no</t>
    </r>
    <r>
      <rPr>
        <sz val="10"/>
        <rFont val="Times New Roman"/>
        <family val="1"/>
      </rPr>
      <t>" answers provided in Parts 1b to 1f, are amounts reported at fair value rather than amortized cost?</t>
    </r>
  </si>
  <si>
    <r>
      <t xml:space="preserve">            If </t>
    </r>
    <r>
      <rPr>
        <b/>
        <sz val="10"/>
        <rFont val="Times New Roman"/>
        <family val="1"/>
      </rPr>
      <t>no</t>
    </r>
    <r>
      <rPr>
        <sz val="10"/>
        <rFont val="Times New Roman"/>
        <family val="1"/>
      </rPr>
      <t>, provide an explanation below.</t>
    </r>
  </si>
  <si>
    <t>Credit Risk</t>
  </si>
  <si>
    <t xml:space="preserve">Interest Rate Risk </t>
  </si>
  <si>
    <t>Custodial Credit Risk</t>
  </si>
  <si>
    <t>Credit Rating - Moody's / Standard &amp; Poor's / Fitch</t>
  </si>
  <si>
    <t xml:space="preserve">Category 3 
</t>
  </si>
  <si>
    <r>
      <t xml:space="preserve">Fair Value Measurement using (per </t>
    </r>
    <r>
      <rPr>
        <b/>
        <u/>
        <sz val="11"/>
        <rFont val="Times New Roman"/>
        <family val="1"/>
      </rPr>
      <t>GASBS No. 72</t>
    </r>
    <r>
      <rPr>
        <b/>
        <sz val="11"/>
        <rFont val="Times New Roman"/>
        <family val="1"/>
      </rPr>
      <t>)</t>
    </r>
  </si>
  <si>
    <t>Type</t>
  </si>
  <si>
    <t>Investment</t>
  </si>
  <si>
    <t>P-1 / A-1 / F1</t>
  </si>
  <si>
    <t>P-2 / A-2 / F2</t>
  </si>
  <si>
    <t>P-3 / A-3 / F3</t>
  </si>
  <si>
    <t>Aaa / AAA / AAA</t>
  </si>
  <si>
    <t>Aa / AA / AA</t>
  </si>
  <si>
    <t>A / A / A</t>
  </si>
  <si>
    <t>Baa / BBB / BBB</t>
  </si>
  <si>
    <t>Unrated</t>
  </si>
  <si>
    <r>
      <t xml:space="preserve">Not Subject to Credit Risk Disclosure per </t>
    </r>
    <r>
      <rPr>
        <b/>
        <u/>
        <sz val="11"/>
        <rFont val="Times New Roman"/>
        <family val="1"/>
      </rPr>
      <t>GASBS No. 40</t>
    </r>
  </si>
  <si>
    <t>Less Than 1 Year</t>
  </si>
  <si>
    <t>1-5 Years</t>
  </si>
  <si>
    <t>6-10 Years</t>
  </si>
  <si>
    <t>Greater Than 10 Years</t>
  </si>
  <si>
    <t>Held by Counterparty</t>
  </si>
  <si>
    <t>Held by Counterparty's Trust Department or Agent but not in  Government's Name</t>
  </si>
  <si>
    <t>Uncategorized</t>
  </si>
  <si>
    <t>Reported Amount</t>
  </si>
  <si>
    <r>
      <rPr>
        <b/>
        <u/>
        <sz val="11"/>
        <rFont val="Times New Roman"/>
        <family val="1"/>
      </rPr>
      <t>Not</t>
    </r>
    <r>
      <rPr>
        <b/>
        <sz val="11"/>
        <rFont val="Times New Roman"/>
        <family val="1"/>
      </rPr>
      <t xml:space="preserve"> applicable to fair value measurement per </t>
    </r>
    <r>
      <rPr>
        <b/>
        <u/>
        <sz val="11"/>
        <rFont val="Times New Roman"/>
        <family val="1"/>
      </rPr>
      <t>GASBS No. 72</t>
    </r>
  </si>
  <si>
    <t>Quoted prices (unadjusted)  in active markets for identical assets
(Level 1)</t>
  </si>
  <si>
    <r>
      <t xml:space="preserve">Fair value established using Net Asset Value Per Share (or its equivalent) as permitted by </t>
    </r>
    <r>
      <rPr>
        <b/>
        <u/>
        <sz val="11"/>
        <rFont val="Times New Roman"/>
        <family val="1"/>
      </rPr>
      <t>GASBS No. 72</t>
    </r>
  </si>
  <si>
    <t>Accuracy check</t>
  </si>
  <si>
    <t>International and Emerging Markets Funds</t>
  </si>
  <si>
    <r>
      <rPr>
        <b/>
        <u/>
        <sz val="11"/>
        <rFont val="Times New Roman"/>
        <family val="1"/>
      </rPr>
      <t>GASBS No. 72</t>
    </r>
    <r>
      <rPr>
        <b/>
        <sz val="11"/>
        <rFont val="Times New Roman"/>
        <family val="1"/>
      </rPr>
      <t xml:space="preserve">, </t>
    </r>
    <r>
      <rPr>
        <i/>
        <sz val="11"/>
        <rFont val="Times New Roman"/>
        <family val="1"/>
      </rPr>
      <t>Fair Value Measurement and Application</t>
    </r>
    <r>
      <rPr>
        <sz val="11"/>
        <rFont val="Times New Roman"/>
        <family val="1"/>
      </rPr>
      <t xml:space="preserve"> (</t>
    </r>
    <r>
      <rPr>
        <b/>
        <u/>
        <sz val="11"/>
        <rFont val="Times New Roman"/>
        <family val="1"/>
      </rPr>
      <t>Note</t>
    </r>
    <r>
      <rPr>
        <sz val="11"/>
        <rFont val="Times New Roman"/>
        <family val="1"/>
      </rPr>
      <t>: DOA may request additional information in a separate communication.)</t>
    </r>
  </si>
  <si>
    <t>Line of Duty Insurance</t>
  </si>
  <si>
    <r>
      <rPr>
        <b/>
        <u/>
        <sz val="11"/>
        <rFont val="Times New Roman"/>
        <family val="1"/>
      </rPr>
      <t>GASBS No. 83</t>
    </r>
    <r>
      <rPr>
        <b/>
        <sz val="11"/>
        <rFont val="Times New Roman"/>
        <family val="1"/>
      </rPr>
      <t xml:space="preserve">, </t>
    </r>
    <r>
      <rPr>
        <i/>
        <sz val="11"/>
        <rFont val="Times New Roman"/>
        <family val="1"/>
      </rPr>
      <t>Certain Asset Retirement Obligations</t>
    </r>
    <r>
      <rPr>
        <sz val="11"/>
        <rFont val="Times New Roman"/>
        <family val="1"/>
      </rPr>
      <t xml:space="preserve"> (</t>
    </r>
    <r>
      <rPr>
        <b/>
        <u/>
        <sz val="11"/>
        <rFont val="Times New Roman"/>
        <family val="1"/>
      </rPr>
      <t>Note</t>
    </r>
    <r>
      <rPr>
        <sz val="11"/>
        <rFont val="Times New Roman"/>
        <family val="1"/>
      </rPr>
      <t>: DOA may request additional information in a separate communication.)</t>
    </r>
  </si>
  <si>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</si>
  <si>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</si>
  <si>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</si>
  <si>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</si>
  <si>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</si>
  <si>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</si>
  <si>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</si>
  <si>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</si>
  <si>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</si>
  <si>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</si>
  <si>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</si>
  <si>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</si>
  <si>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</si>
  <si>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</si>
  <si>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</si>
  <si>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</si>
  <si>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</si>
  <si>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</si>
  <si>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</si>
  <si>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</si>
  <si>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</si>
  <si>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</si>
  <si>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</si>
  <si>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</si>
  <si>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</si>
  <si>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</si>
  <si>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</si>
  <si>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</si>
  <si>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</si>
  <si>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</si>
  <si>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Restricted for Net Other Postemployment Benefit - VSDP</t>
  </si>
  <si>
    <t>Description / Issuer</t>
  </si>
  <si>
    <t>Ticker Symbol</t>
  </si>
  <si>
    <t>CUSIP Number</t>
  </si>
  <si>
    <t xml:space="preserve">
Ba and below / 
BB and below / 
BB and below
(Less than Investment Grade)</t>
  </si>
  <si>
    <t>Agency Name</t>
  </si>
  <si>
    <t>in column AD on the Tab 1B-CE &amp; Inv Not w Tr.</t>
  </si>
  <si>
    <r>
      <rPr>
        <b/>
        <sz val="11"/>
        <rFont val="Times New Roman"/>
        <family val="1"/>
      </rPr>
      <t>Acquisition Value:</t>
    </r>
    <r>
      <rPr>
        <sz val="11"/>
        <rFont val="Times New Roman"/>
        <family val="1"/>
      </rPr>
      <t xml:space="preserve">  Does the agency have items received during FY 2019 that must be reported at acquisition value in accordance with </t>
    </r>
    <r>
      <rPr>
        <b/>
        <u/>
        <sz val="11"/>
        <rFont val="Times New Roman"/>
        <family val="1"/>
      </rPr>
      <t>GASBS No. 72</t>
    </r>
    <r>
      <rPr>
        <sz val="11"/>
        <rFont val="Times New Roman"/>
        <family val="1"/>
      </rPr>
      <t xml:space="preserve"> paragraph 79?</t>
    </r>
  </si>
  <si>
    <r>
      <rPr>
        <b/>
        <u/>
        <sz val="11"/>
        <rFont val="Times New Roman"/>
        <family val="1"/>
      </rPr>
      <t>GASBS No. 88</t>
    </r>
    <r>
      <rPr>
        <sz val="11"/>
        <rFont val="Times New Roman"/>
        <family val="1"/>
      </rPr>
      <t xml:space="preserve">, </t>
    </r>
    <r>
      <rPr>
        <i/>
        <sz val="11"/>
        <rFont val="Times New Roman"/>
        <family val="1"/>
      </rPr>
      <t>Certain Disclosures Related to Debt, including Direct Borrowings and Direct Placements</t>
    </r>
    <r>
      <rPr>
        <sz val="11"/>
        <rFont val="Times New Roman"/>
        <family val="1"/>
      </rPr>
      <t>. (</t>
    </r>
    <r>
      <rPr>
        <b/>
        <u/>
        <sz val="11"/>
        <rFont val="Times New Roman"/>
        <family val="1"/>
      </rPr>
      <t>Note</t>
    </r>
    <r>
      <rPr>
        <sz val="11"/>
        <rFont val="Times New Roman"/>
        <family val="1"/>
      </rPr>
      <t>: DOA may request additional information in a separate communication.)</t>
    </r>
  </si>
  <si>
    <t>17a</t>
  </si>
  <si>
    <t>17b</t>
  </si>
  <si>
    <t>Does the fund have any terms specified in debt agreements related to the following significant:</t>
  </si>
  <si>
    <t>1) events of default with finance-related consequences,</t>
  </si>
  <si>
    <t xml:space="preserve">2) termination events with finance-related consequences, and/or </t>
  </si>
  <si>
    <t>3) subjective acceleration clauses?</t>
  </si>
  <si>
    <r>
      <t xml:space="preserve">If </t>
    </r>
    <r>
      <rPr>
        <b/>
        <sz val="11"/>
        <rFont val="Times New Roman"/>
        <family val="1"/>
      </rPr>
      <t>yes</t>
    </r>
    <r>
      <rPr>
        <sz val="11"/>
        <rFont val="Times New Roman"/>
        <family val="1"/>
      </rPr>
      <t xml:space="preserve">, then provide the debt item and disclosure details for any of the above items. </t>
    </r>
  </si>
  <si>
    <t>Line of Duty</t>
  </si>
  <si>
    <t>Dept of Human Resource Mgt-Line of Duty</t>
  </si>
  <si>
    <t>Agency 149 - Line of Duty</t>
  </si>
  <si>
    <t>Interest Receivable, Net</t>
  </si>
  <si>
    <t>Loans Receivable, Net</t>
  </si>
  <si>
    <t xml:space="preserve">Accounts Receivable, Net </t>
  </si>
  <si>
    <t>Tuition Contribution Receivable, Net</t>
  </si>
  <si>
    <t>Net OPEB Liability</t>
  </si>
  <si>
    <t>Total Other Postemployment Benefits (OPEB) Liability</t>
  </si>
  <si>
    <t>Increase (Decrease) in Net OPEB Liability</t>
  </si>
  <si>
    <t>Increase (Decrease) in Total Other Postemployment Benefits (OPEB) Liability</t>
  </si>
  <si>
    <t>Total Other Postemployment Benefits (OPEB) Liabilty</t>
  </si>
  <si>
    <r>
      <t xml:space="preserve">Direct Borrowing as defined in </t>
    </r>
    <r>
      <rPr>
        <b/>
        <u/>
        <sz val="10"/>
        <rFont val="Times New Roman"/>
        <family val="1"/>
      </rPr>
      <t>GASBS No. 88</t>
    </r>
  </si>
  <si>
    <r>
      <t xml:space="preserve">Direct Placement as defined in </t>
    </r>
    <r>
      <rPr>
        <b/>
        <u/>
        <sz val="10"/>
        <rFont val="Times New Roman"/>
        <family val="1"/>
      </rPr>
      <t>GASBS No. 88</t>
    </r>
  </si>
  <si>
    <r>
      <rPr>
        <b/>
        <u/>
        <sz val="11"/>
        <rFont val="Times New Roman"/>
        <family val="1"/>
      </rPr>
      <t>GASBS No. 72</t>
    </r>
    <r>
      <rPr>
        <sz val="11"/>
        <rFont val="Times New Roman"/>
        <family val="1"/>
      </rPr>
      <t xml:space="preserve">  addresses accounting and financial reporting issues related to fair value measurements.  The definition of fair value is the price that would be received to sell an asset or paid to transfer a liability in an orderly transaction between market participants at the measurement date.  This Statement also provides guidance for applying fair value to certain investments and disclosures related to all fair value measurements.
This statement generally requires investments to be measured at </t>
    </r>
    <r>
      <rPr>
        <b/>
        <sz val="11"/>
        <rFont val="Times New Roman"/>
        <family val="1"/>
      </rPr>
      <t>fair value</t>
    </r>
    <r>
      <rPr>
        <sz val="11"/>
        <rFont val="Times New Roman"/>
        <family val="1"/>
      </rPr>
      <t xml:space="preserve">.  An investment is defined as a security or other asset that (a) a government holds primarily for the purpose of income or profit and (b) has a present service capacity based solely on its ability to generate cash or to be sold to generate cash.   If an investment does not have a readily determinable fair value, the statement permits, in certain circumstances, to establish fair value by using the </t>
    </r>
    <r>
      <rPr>
        <b/>
        <sz val="11"/>
        <rFont val="Times New Roman"/>
        <family val="1"/>
      </rPr>
      <t>net asset value</t>
    </r>
    <r>
      <rPr>
        <sz val="11"/>
        <rFont val="Times New Roman"/>
        <family val="1"/>
      </rPr>
      <t xml:space="preserve"> per share (or its equivalent) of the investment.  
This statement requires measurement at </t>
    </r>
    <r>
      <rPr>
        <b/>
        <sz val="11"/>
        <rFont val="Times New Roman"/>
        <family val="1"/>
      </rPr>
      <t>acquisition value</t>
    </r>
    <r>
      <rPr>
        <sz val="11"/>
        <rFont val="Times New Roman"/>
        <family val="1"/>
      </rPr>
      <t xml:space="preserve"> (an entry price) rather than fair value for donated capital assets, donated works of art, historical treasures, and similar assets, and capital assets received in a service concession arrangement.  (Note:  For use of acquisition value, </t>
    </r>
    <r>
      <rPr>
        <b/>
        <u/>
        <sz val="11"/>
        <rFont val="Times New Roman"/>
        <family val="1"/>
      </rPr>
      <t>GASBS No. 72</t>
    </r>
    <r>
      <rPr>
        <b/>
        <sz val="11"/>
        <rFont val="Times New Roman"/>
        <family val="1"/>
      </rPr>
      <t xml:space="preserve"> </t>
    </r>
    <r>
      <rPr>
        <sz val="11"/>
        <rFont val="Times New Roman"/>
        <family val="1"/>
      </rPr>
      <t xml:space="preserve">is not applicable to transactions that occurred prior to fiscal year 2016. </t>
    </r>
    <r>
      <rPr>
        <b/>
        <u/>
        <sz val="11"/>
        <rFont val="Times New Roman"/>
        <family val="1"/>
      </rPr>
      <t>GASBS No. 72</t>
    </r>
    <r>
      <rPr>
        <sz val="11"/>
        <rFont val="Times New Roman"/>
        <family val="1"/>
      </rPr>
      <t xml:space="preserve"> does not amend </t>
    </r>
    <r>
      <rPr>
        <b/>
        <u/>
        <sz val="11"/>
        <rFont val="Times New Roman"/>
        <family val="1"/>
      </rPr>
      <t>GASBS No. 48</t>
    </r>
    <r>
      <rPr>
        <sz val="11"/>
        <rFont val="Times New Roman"/>
        <family val="1"/>
      </rPr>
      <t xml:space="preserve">, </t>
    </r>
    <r>
      <rPr>
        <i/>
        <sz val="11"/>
        <rFont val="Times New Roman"/>
        <family val="1"/>
      </rPr>
      <t>Sales and Pledges of Receivables and Future Revenues and Intra-Entity Transfers of Assets and Future Revenues</t>
    </r>
    <r>
      <rPr>
        <sz val="11"/>
        <rFont val="Times New Roman"/>
        <family val="1"/>
      </rPr>
      <t xml:space="preserve">, which requires capital assets transferred, purchased, or donated from an agency within the same financial reporting entity (intra-entity) to be reported at the carrying value of the transferor.)  
NOTE:  The preparer and reviewer should read </t>
    </r>
    <r>
      <rPr>
        <b/>
        <u/>
        <sz val="11"/>
        <rFont val="Times New Roman"/>
        <family val="1"/>
      </rPr>
      <t>GASBS No. 72</t>
    </r>
    <r>
      <rPr>
        <sz val="11"/>
        <rFont val="Times New Roman"/>
        <family val="1"/>
      </rPr>
      <t xml:space="preserve"> and determine whether there are reporting implications as defined in </t>
    </r>
    <r>
      <rPr>
        <b/>
        <u/>
        <sz val="11"/>
        <rFont val="Times New Roman"/>
        <family val="1"/>
      </rPr>
      <t>GASBS No. 72</t>
    </r>
    <r>
      <rPr>
        <sz val="11"/>
        <rFont val="Times New Roman"/>
        <family val="1"/>
      </rPr>
      <t>.  DOA may request additional information in a separate communication.</t>
    </r>
  </si>
  <si>
    <t>Accounts Payable Increase (Decrease) related to Capital Assets</t>
  </si>
  <si>
    <t>Net Other Postemployment Benefits (OPEB) Liability</t>
  </si>
  <si>
    <r>
      <t xml:space="preserve">13) </t>
    </r>
    <r>
      <rPr>
        <b/>
        <sz val="11"/>
        <rFont val="Times New Roman"/>
        <family val="1"/>
      </rPr>
      <t>Asset Retirement Obligations</t>
    </r>
    <r>
      <rPr>
        <sz val="11"/>
        <rFont val="Times New Roman"/>
        <family val="1"/>
      </rPr>
      <t xml:space="preserve"> (ARO)- Amount associated with a legally enforceable liability associated with the retirement of selected capital assets (</t>
    </r>
    <r>
      <rPr>
        <b/>
        <u/>
        <sz val="11"/>
        <rFont val="Times New Roman"/>
        <family val="1"/>
      </rPr>
      <t>GASBS No. 83</t>
    </r>
    <r>
      <rPr>
        <sz val="11"/>
        <rFont val="Times New Roman"/>
        <family val="1"/>
      </rPr>
      <t xml:space="preserve">) </t>
    </r>
  </si>
  <si>
    <t>Business Unit Name Amount is Due From</t>
  </si>
  <si>
    <t>Business Unit Name Amount is Due To</t>
  </si>
  <si>
    <r>
      <rPr>
        <b/>
        <u/>
        <sz val="10"/>
        <rFont val="Times New Roman"/>
        <family val="1"/>
      </rPr>
      <t>GASBS No. 40</t>
    </r>
    <r>
      <rPr>
        <sz val="10"/>
        <rFont val="Times New Roman"/>
        <family val="1"/>
      </rPr>
      <t xml:space="preserve"> requires to briefly describe formally adopted investment policy for deposits and/or investments exposed to credit risk, custodial credit risk, concentration of credit risk, and interest rate risk.  Submit the agency's deposit and/or investment policy regarding the information presented on this template, along with this attachment in the e-mail to </t>
    </r>
    <r>
      <rPr>
        <b/>
        <u/>
        <sz val="10"/>
        <rFont val="Times New Roman"/>
        <family val="1"/>
      </rPr>
      <t>finrept-agyatt@doa.virginia.gov</t>
    </r>
    <r>
      <rPr>
        <sz val="10"/>
        <rFont val="Times New Roman"/>
        <family val="1"/>
      </rPr>
      <t>.  This is the investment policy that will officially be on record with the Department of Accounts.  If the agency does have cash, cash equivalents, and investments NOT with the Treasurer of Virginia and DOES NOT have a formally adopted investment policy that addresses the aforementioned risks, provide an explanation below.</t>
    </r>
  </si>
  <si>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</si>
  <si>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</si>
  <si>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</si>
  <si>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</si>
  <si>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</si>
  <si>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</si>
  <si>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</si>
  <si>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</si>
  <si>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</si>
  <si>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</si>
  <si>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</si>
  <si>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</si>
  <si>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</si>
  <si>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</si>
  <si>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</si>
  <si>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</si>
  <si>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</si>
  <si>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</si>
  <si>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</si>
  <si>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Convertible Bonds and Notes</t>
  </si>
  <si>
    <t>DEBT - Convertible Bonds and Notes</t>
  </si>
  <si>
    <t>EQUITY - International and Emerging Markets Funds</t>
  </si>
  <si>
    <t>COVID-19 Receipts (Unemployment Compensation only)</t>
  </si>
  <si>
    <r>
      <t>Intangible Assets with Indefinite Useful Life (</t>
    </r>
    <r>
      <rPr>
        <b/>
        <u/>
        <sz val="8"/>
        <rFont val="Times New Roman"/>
        <family val="1"/>
      </rPr>
      <t>GASBS No. 51</t>
    </r>
    <r>
      <rPr>
        <sz val="8"/>
        <rFont val="Times New Roman"/>
        <family val="1"/>
      </rPr>
      <t>) - provide description:</t>
    </r>
  </si>
  <si>
    <r>
      <t>Include unspent proceeds on debt related to capital assets (amount should exclude investment earnings- see</t>
    </r>
    <r>
      <rPr>
        <b/>
        <u/>
        <sz val="10"/>
        <rFont val="Times New Roman"/>
        <family val="1"/>
      </rPr>
      <t xml:space="preserve"> Note B</t>
    </r>
    <r>
      <rPr>
        <sz val="10"/>
        <rFont val="Times New Roman"/>
        <family val="1"/>
      </rPr>
      <t>) (enter as a positive)</t>
    </r>
  </si>
  <si>
    <r>
      <t xml:space="preserve">  Bonds Payable </t>
    </r>
    <r>
      <rPr>
        <b/>
        <sz val="10"/>
        <rFont val="Times New Roman"/>
        <family val="1"/>
      </rPr>
      <t>(A)</t>
    </r>
  </si>
  <si>
    <t>Advantage Vanpool Self Insurance Program</t>
  </si>
  <si>
    <t>Increase (Decrease) in Net Other Postemployment Benefits (OPEB) Liability</t>
  </si>
  <si>
    <t>Corporate Notes and Bonds</t>
  </si>
  <si>
    <t>International and Emerging Market Funds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</si>
  <si>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</si>
  <si>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</si>
  <si>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</si>
  <si>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</si>
  <si>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</si>
  <si>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</si>
  <si>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</si>
  <si>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</si>
  <si>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</si>
  <si>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</si>
  <si>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</si>
  <si>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</si>
  <si>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</si>
  <si>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</si>
  <si>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</si>
  <si>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</si>
  <si>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</si>
  <si>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</si>
  <si>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</si>
  <si>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</si>
  <si>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</si>
  <si>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</si>
  <si>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</si>
  <si>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</si>
  <si>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</si>
  <si>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</si>
  <si>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</si>
  <si>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</si>
  <si>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</si>
  <si>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</si>
  <si>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</si>
  <si>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</si>
  <si>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</si>
  <si>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</si>
  <si>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</si>
  <si>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</si>
  <si>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</si>
  <si>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</si>
  <si>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</si>
  <si>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</si>
  <si>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</si>
  <si>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</si>
  <si>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</si>
  <si>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</si>
  <si>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</si>
  <si>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</si>
  <si>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</si>
  <si>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</si>
  <si>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</si>
  <si>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</si>
  <si>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</si>
  <si>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</si>
  <si>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</si>
  <si>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</si>
  <si>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</si>
  <si>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</si>
  <si>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</si>
  <si>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</si>
  <si>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</si>
  <si>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</si>
  <si>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</si>
  <si>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</si>
  <si>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</si>
  <si>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</si>
  <si>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</si>
  <si>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</si>
  <si>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</si>
  <si>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</si>
  <si>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</si>
  <si>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</si>
  <si>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</si>
  <si>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</si>
  <si>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</si>
  <si>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</si>
  <si>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</si>
  <si>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</si>
  <si>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</si>
  <si>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</si>
  <si>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</si>
  <si>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</si>
  <si>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</si>
  <si>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</si>
  <si>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</si>
  <si>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</si>
  <si>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</si>
  <si>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</si>
  <si>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</si>
  <si>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</si>
  <si>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</si>
  <si>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</si>
  <si>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</si>
  <si>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</si>
  <si>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</si>
  <si>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</si>
  <si>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</si>
  <si>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</si>
  <si>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</si>
  <si>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</si>
  <si>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</si>
  <si>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</si>
  <si>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</si>
  <si>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</si>
  <si>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</si>
  <si>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</si>
  <si>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</si>
  <si>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</si>
  <si>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</si>
  <si>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</si>
  <si>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</si>
  <si>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</si>
  <si>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</si>
  <si>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10100</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</si>
  <si>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</si>
  <si>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</si>
  <si>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</si>
  <si>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</si>
  <si>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</si>
  <si>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</si>
  <si>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</si>
  <si>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</si>
  <si>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</si>
  <si>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</si>
  <si>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</si>
  <si>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</si>
  <si>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</si>
  <si>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</si>
  <si>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</si>
  <si>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</si>
  <si>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</si>
  <si>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</si>
  <si>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</si>
  <si>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</si>
  <si>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</si>
  <si>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</si>
  <si>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</si>
  <si>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</si>
  <si>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</si>
  <si>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</si>
  <si>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</si>
  <si>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</si>
  <si>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</si>
  <si>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</si>
  <si>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</si>
  <si>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</si>
  <si>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</si>
  <si>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</si>
  <si>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</si>
  <si>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</si>
  <si>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</si>
  <si>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</si>
  <si>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</si>
  <si>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</si>
  <si>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</si>
  <si>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</si>
  <si>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</si>
  <si>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</si>
  <si>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</si>
  <si>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</si>
  <si>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</si>
  <si>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</si>
  <si>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</si>
  <si>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</si>
  <si>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Department of Treasury -Vanpool</t>
  </si>
  <si>
    <t>(Increase) Decrease in Other Assets - due within one year</t>
  </si>
  <si>
    <t>(Increase) Decrease in Other Assets - due greater than one year</t>
  </si>
  <si>
    <t>Due within 1 year Check Figure</t>
  </si>
  <si>
    <t>Defined Benefit 529 Program</t>
  </si>
  <si>
    <t>Educational Benefits Receivable, Net</t>
  </si>
  <si>
    <t>Education Benefits Payable</t>
  </si>
  <si>
    <t>Educational Benefits Expense</t>
  </si>
  <si>
    <t>Educational Benefits Payable</t>
  </si>
  <si>
    <t>Payments for Educational Benefits</t>
  </si>
  <si>
    <t>Increase (Decrease) in Educational Benefits Payable</t>
  </si>
  <si>
    <t>Educational Benefit Receivable, Net</t>
  </si>
  <si>
    <t xml:space="preserve">    agree to the total reported amount in the tab entitled "Tab 1B - CE &amp; Inv. Not w Tr" plus Nonnegotiable Certificates of Deposit </t>
  </si>
  <si>
    <t>Nonnegotiable Certificates of Deposit</t>
  </si>
  <si>
    <t>Educational Benefits Receivable</t>
  </si>
  <si>
    <t>TAB 9</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</si>
  <si>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</si>
  <si>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</si>
  <si>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</si>
  <si>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</si>
  <si>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</si>
  <si>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</si>
  <si>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</si>
  <si>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</si>
  <si>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</si>
  <si>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</si>
  <si>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</si>
  <si>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</si>
  <si>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</si>
  <si>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</si>
  <si>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</si>
  <si>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</si>
  <si>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</si>
  <si>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</si>
  <si>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</si>
  <si>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</si>
  <si>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</si>
  <si>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</si>
  <si>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</si>
  <si>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</si>
  <si>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</si>
  <si>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</si>
  <si>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</si>
  <si>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</si>
  <si>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</si>
  <si>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</si>
  <si>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</si>
  <si>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</si>
  <si>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</si>
  <si>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</si>
  <si>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</si>
  <si>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</si>
  <si>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</si>
  <si>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</si>
  <si>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</si>
  <si>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</si>
  <si>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</si>
  <si>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</si>
  <si>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</si>
  <si>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</si>
  <si>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</si>
  <si>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</si>
  <si>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</si>
  <si>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</si>
  <si>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</si>
  <si>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</si>
  <si>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</si>
  <si>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</si>
  <si>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</si>
  <si>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</si>
  <si>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</si>
  <si>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</si>
  <si>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</si>
  <si>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</si>
  <si>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</si>
  <si>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</si>
  <si>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</si>
  <si>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10700</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</si>
  <si>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</si>
  <si>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</si>
  <si>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</si>
  <si>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</si>
  <si>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</si>
  <si>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</si>
  <si>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</si>
  <si>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</si>
  <si>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</si>
  <si>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</si>
  <si>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</si>
  <si>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</si>
  <si>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</si>
  <si>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</si>
  <si>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</si>
  <si>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</si>
  <si>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</si>
  <si>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</si>
  <si>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</si>
  <si>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</si>
  <si>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</si>
  <si>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</si>
  <si>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</si>
  <si>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</si>
  <si>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12100</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</si>
  <si>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</si>
  <si>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</si>
  <si>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</si>
  <si>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</si>
  <si>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</si>
  <si>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</si>
  <si>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</si>
  <si>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</si>
  <si>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</si>
  <si>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</si>
  <si>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</si>
  <si>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</si>
  <si>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</si>
  <si>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</si>
  <si>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</si>
  <si>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</si>
  <si>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12200</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</si>
  <si>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</si>
  <si>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</si>
  <si>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</si>
  <si>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</si>
  <si>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</si>
  <si>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</si>
  <si>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</si>
  <si>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</si>
  <si>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</si>
  <si>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</si>
  <si>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</si>
  <si>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</si>
  <si>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</si>
  <si>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</si>
  <si>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</si>
  <si>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</si>
  <si>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</si>
  <si>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</si>
  <si>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</si>
  <si>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12300</t>
  </si>
  <si>
    <t>HomeInvstPrtnrshpsPgm-COVID-19</t>
  </si>
  <si>
    <t>12310</t>
  </si>
  <si>
    <t>StEnvrnmtlJstCopAgrmt-COVID-19</t>
  </si>
  <si>
    <t>Dept of Emergency Mgt - E-911 Service</t>
  </si>
  <si>
    <t>A)  Footnote Disclosure:  Does this fund have any interest costs incurred related to the construction of capital assets for FY 2022?</t>
  </si>
  <si>
    <t>B)  If yes to A, please provide the amount of total interest incurred and of that amount, the amount capitalized for FY 2022.</t>
  </si>
  <si>
    <t>Total of 
Credit Risk 
(Columns F-O) 
should equal 
Interest Risk 
(Columns R-U)</t>
  </si>
  <si>
    <t>Other Capital Assets:</t>
  </si>
  <si>
    <t xml:space="preserve">   Total Other Capital Assets at Historical Cost</t>
  </si>
  <si>
    <t xml:space="preserve">       Total Accumulated Amortization</t>
  </si>
  <si>
    <t>Less Accumulated Amortization for:</t>
  </si>
  <si>
    <t xml:space="preserve">   Total Other Capital Assets, Net</t>
  </si>
  <si>
    <t xml:space="preserve">       Total Accumulated Depreciation and Amortization</t>
  </si>
  <si>
    <r>
      <t xml:space="preserve">     Right to Use Intangible Assets (</t>
    </r>
    <r>
      <rPr>
        <b/>
        <u/>
        <sz val="8"/>
        <rFont val="Times New Roman"/>
        <family val="1"/>
      </rPr>
      <t>GASBS No. 87</t>
    </r>
    <r>
      <rPr>
        <sz val="8"/>
        <rFont val="Times New Roman"/>
        <family val="1"/>
      </rPr>
      <t>)</t>
    </r>
  </si>
  <si>
    <t xml:space="preserve"> Land</t>
  </si>
  <si>
    <t xml:space="preserve"> Buildings</t>
  </si>
  <si>
    <t xml:space="preserve"> Equipment</t>
  </si>
  <si>
    <t xml:space="preserve"> Infrastructure</t>
  </si>
  <si>
    <t>Reduction in lease asset and liability</t>
  </si>
  <si>
    <r>
      <t>Part 4:  Financed Purchases Obligations (</t>
    </r>
    <r>
      <rPr>
        <b/>
        <u/>
        <sz val="10"/>
        <rFont val="Times New Roman"/>
        <family val="1"/>
      </rPr>
      <t>GASBS No. 87</t>
    </r>
    <r>
      <rPr>
        <b/>
        <sz val="10"/>
        <rFont val="Times New Roman"/>
        <family val="1"/>
      </rPr>
      <t>):</t>
    </r>
  </si>
  <si>
    <r>
      <rPr>
        <b/>
        <u/>
        <sz val="11"/>
        <rFont val="Times New Roman"/>
        <family val="1"/>
      </rPr>
      <t>GASBS No. 87</t>
    </r>
    <r>
      <rPr>
        <b/>
        <sz val="11"/>
        <rFont val="Times New Roman"/>
        <family val="1"/>
      </rPr>
      <t xml:space="preserve">, </t>
    </r>
    <r>
      <rPr>
        <i/>
        <sz val="11"/>
        <rFont val="Times New Roman"/>
        <family val="1"/>
      </rPr>
      <t>Leases</t>
    </r>
    <r>
      <rPr>
        <sz val="11"/>
        <rFont val="Times New Roman"/>
        <family val="1"/>
      </rPr>
      <t xml:space="preserve"> (</t>
    </r>
    <r>
      <rPr>
        <b/>
        <u/>
        <sz val="11"/>
        <rFont val="Times New Roman"/>
        <family val="1"/>
      </rPr>
      <t>Note</t>
    </r>
    <r>
      <rPr>
        <sz val="11"/>
        <rFont val="Times New Roman"/>
        <family val="1"/>
      </rPr>
      <t>: DOA may request additional information in a separate communication.)</t>
    </r>
  </si>
  <si>
    <r>
      <rPr>
        <b/>
        <u/>
        <sz val="10"/>
        <color indexed="10"/>
        <rFont val="Times New Roman"/>
        <family val="1"/>
      </rPr>
      <t>NOTE</t>
    </r>
    <r>
      <rPr>
        <b/>
        <sz val="10"/>
        <color indexed="10"/>
        <rFont val="Times New Roman"/>
        <family val="1"/>
      </rPr>
      <t>:</t>
    </r>
    <r>
      <rPr>
        <sz val="10"/>
        <rFont val="Times New Roman"/>
        <family val="1"/>
      </rPr>
      <t xml:space="preserve"> Bureau of Real Estate Services (BRES) administered leases should be </t>
    </r>
    <r>
      <rPr>
        <b/>
        <sz val="10"/>
        <rFont val="Times New Roman"/>
        <family val="1"/>
      </rPr>
      <t>excluded</t>
    </r>
    <r>
      <rPr>
        <sz val="10"/>
        <rFont val="Times New Roman"/>
        <family val="1"/>
      </rPr>
      <t xml:space="preserve"> by all agencies other than BRES.</t>
    </r>
  </si>
  <si>
    <t>Other Capital Assets, Net</t>
  </si>
  <si>
    <t>TAB 5-Part 1, Part 6</t>
  </si>
  <si>
    <t xml:space="preserve"> ..</t>
  </si>
  <si>
    <t xml:space="preserve">Tab 3 - Capital Assets (Increase in Nondepreciable and Other Capital Assets) </t>
  </si>
  <si>
    <r>
      <t>Long-term Lease Liabilities (</t>
    </r>
    <r>
      <rPr>
        <b/>
        <u/>
        <sz val="10"/>
        <rFont val="Times New Roman"/>
        <family val="1"/>
      </rPr>
      <t>GASBS No. 87</t>
    </r>
    <r>
      <rPr>
        <sz val="10"/>
        <rFont val="Times New Roman"/>
        <family val="1"/>
      </rPr>
      <t xml:space="preserve">) Used to Finance Capital Assets </t>
    </r>
  </si>
  <si>
    <r>
      <t>Financed Purchases (</t>
    </r>
    <r>
      <rPr>
        <b/>
        <u/>
        <sz val="10"/>
        <rFont val="Times New Roman"/>
        <family val="1"/>
      </rPr>
      <t>GASBS No. 87</t>
    </r>
    <r>
      <rPr>
        <sz val="10"/>
        <rFont val="Times New Roman"/>
        <family val="1"/>
      </rPr>
      <t xml:space="preserve">) Used to Finance Capital Assets </t>
    </r>
  </si>
  <si>
    <r>
      <t>Long-term Lease Liabilities (</t>
    </r>
    <r>
      <rPr>
        <b/>
        <u/>
        <sz val="9"/>
        <color indexed="12"/>
        <rFont val="Times New Roman"/>
        <family val="1"/>
      </rPr>
      <t>GASBS No. 87</t>
    </r>
    <r>
      <rPr>
        <sz val="9"/>
        <color indexed="12"/>
        <rFont val="Times New Roman"/>
        <family val="1"/>
      </rPr>
      <t xml:space="preserve">) Used to Finance Capital Assets </t>
    </r>
  </si>
  <si>
    <r>
      <t xml:space="preserve">  Financed Purchase Obligations (</t>
    </r>
    <r>
      <rPr>
        <b/>
        <u/>
        <sz val="10"/>
        <rFont val="Times New Roman"/>
        <family val="1"/>
      </rPr>
      <t>GASBS No. 87</t>
    </r>
    <r>
      <rPr>
        <sz val="10"/>
        <rFont val="Times New Roman"/>
        <family val="1"/>
      </rPr>
      <t>)</t>
    </r>
  </si>
  <si>
    <r>
      <t>Long-term Lease Liabilities (</t>
    </r>
    <r>
      <rPr>
        <b/>
        <u/>
        <sz val="9"/>
        <rFont val="Times New Roman"/>
        <family val="1"/>
      </rPr>
      <t>GASBS No. 87</t>
    </r>
    <r>
      <rPr>
        <sz val="9"/>
        <rFont val="Times New Roman"/>
        <family val="1"/>
      </rPr>
      <t>)</t>
    </r>
  </si>
  <si>
    <r>
      <t xml:space="preserve">Financed Purchase Obligations </t>
    </r>
    <r>
      <rPr>
        <b/>
        <sz val="10"/>
        <rFont val="Times New Roman"/>
        <family val="1"/>
      </rPr>
      <t>(</t>
    </r>
    <r>
      <rPr>
        <b/>
        <u/>
        <sz val="10"/>
        <rFont val="Times New Roman"/>
        <family val="1"/>
      </rPr>
      <t>GASBS No. 87</t>
    </r>
    <r>
      <rPr>
        <b/>
        <sz val="10"/>
        <rFont val="Times New Roman"/>
        <family val="1"/>
      </rPr>
      <t>)</t>
    </r>
  </si>
  <si>
    <r>
      <t>Increase (Decrease) in Long-term Lease Liabilities (</t>
    </r>
    <r>
      <rPr>
        <b/>
        <u/>
        <sz val="9"/>
        <rFont val="Times New Roman"/>
        <family val="1"/>
      </rPr>
      <t>GASBS No. 87</t>
    </r>
    <r>
      <rPr>
        <sz val="9"/>
        <rFont val="Times New Roman"/>
        <family val="1"/>
      </rPr>
      <t>)</t>
    </r>
  </si>
  <si>
    <r>
      <t>Financed Purchase Obligations (</t>
    </r>
    <r>
      <rPr>
        <b/>
        <u/>
        <sz val="9"/>
        <color indexed="12"/>
        <rFont val="Times New Roman"/>
        <family val="1"/>
      </rPr>
      <t>GASBS No. 87</t>
    </r>
    <r>
      <rPr>
        <sz val="9"/>
        <color indexed="12"/>
        <rFont val="Times New Roman"/>
        <family val="1"/>
      </rPr>
      <t xml:space="preserve">) Used to Finance Capital Assets </t>
    </r>
  </si>
  <si>
    <t xml:space="preserve"> Bureau of Real Estate Services (BRES) administered leases should not be included on this template.</t>
  </si>
  <si>
    <r>
      <t xml:space="preserve">The Commonwealth capitalizes construction-in-progress using the scope for equipment or buildings. Expenditures are classified as construction-in-progress if:  1) they extend the asset life, improve productivity, or improve the quality of service; and 2) they fall into the planning, acquisition, construction, improvement, renovation, repair, replacement, relocation or demolition phase of the asset life. Note:  Construction-in-progress also includes expenses for the construction/development of internally generated intangible assets until substantially complete and operational in accordance  with </t>
    </r>
    <r>
      <rPr>
        <b/>
        <u/>
        <sz val="8"/>
        <rFont val="Times New Roman"/>
        <family val="1"/>
      </rPr>
      <t>GASBS No. 51</t>
    </r>
    <r>
      <rPr>
        <sz val="8"/>
        <rFont val="Times New Roman"/>
        <family val="1"/>
      </rPr>
      <t xml:space="preserve"> and they are reclassified to the appropriate intangible asset FST line item..</t>
    </r>
  </si>
  <si>
    <t xml:space="preserve">Other Intangibles </t>
  </si>
  <si>
    <t xml:space="preserve"> Other Intangibles </t>
  </si>
  <si>
    <r>
      <t>Long-term Lease Liabilities (</t>
    </r>
    <r>
      <rPr>
        <b/>
        <u/>
        <sz val="10"/>
        <rFont val="Times New Roman"/>
        <family val="1"/>
      </rPr>
      <t>GASBS No. 87</t>
    </r>
    <r>
      <rPr>
        <sz val="10"/>
        <rFont val="Times New Roman"/>
        <family val="1"/>
      </rPr>
      <t>)</t>
    </r>
  </si>
  <si>
    <r>
      <t>Financed Purchase Obligations (</t>
    </r>
    <r>
      <rPr>
        <b/>
        <u/>
        <sz val="10"/>
        <rFont val="Times New Roman"/>
        <family val="1"/>
      </rPr>
      <t>GASBS No. 87</t>
    </r>
    <r>
      <rPr>
        <sz val="10"/>
        <rFont val="Times New Roman"/>
        <family val="1"/>
      </rPr>
      <t>)</t>
    </r>
  </si>
  <si>
    <r>
      <t>Part 3a)</t>
    </r>
    <r>
      <rPr>
        <sz val="10"/>
        <rFont val="Times New Roman"/>
        <family val="1"/>
      </rPr>
      <t>:  Did the Fund recognize any variable lease payments that were NOT previously included in the measurement of the lease liability?</t>
    </r>
  </si>
  <si>
    <r>
      <t xml:space="preserve">If </t>
    </r>
    <r>
      <rPr>
        <b/>
        <sz val="10"/>
        <rFont val="Times New Roman"/>
        <family val="1"/>
      </rPr>
      <t>yes</t>
    </r>
    <r>
      <rPr>
        <sz val="10"/>
        <rFont val="Times New Roman"/>
        <family val="1"/>
      </rPr>
      <t xml:space="preserve">, provide explanation below including payment amounts. If </t>
    </r>
    <r>
      <rPr>
        <b/>
        <sz val="10"/>
        <rFont val="Times New Roman"/>
        <family val="1"/>
      </rPr>
      <t>no</t>
    </r>
    <r>
      <rPr>
        <sz val="10"/>
        <rFont val="Times New Roman"/>
        <family val="1"/>
      </rPr>
      <t>, leave the yellow space blank.</t>
    </r>
  </si>
  <si>
    <r>
      <t>Part 3b)</t>
    </r>
    <r>
      <rPr>
        <sz val="10"/>
        <rFont val="Times New Roman"/>
        <family val="1"/>
      </rPr>
      <t>:  Did the Fund recognize any other payments for penalties or residual value guarantees that were NOT previously included in the measurement of the lease liability?</t>
    </r>
  </si>
  <si>
    <r>
      <t xml:space="preserve">  Long-term Lease Liabilities (</t>
    </r>
    <r>
      <rPr>
        <b/>
        <u/>
        <sz val="10"/>
        <rFont val="Times New Roman"/>
        <family val="1"/>
      </rPr>
      <t>GASBS No. 87</t>
    </r>
    <r>
      <rPr>
        <sz val="10"/>
        <rFont val="Times New Roman"/>
        <family val="1"/>
      </rPr>
      <t>)</t>
    </r>
  </si>
  <si>
    <r>
      <t>Increase (Decrease) in Financed Purchase Obligations (</t>
    </r>
    <r>
      <rPr>
        <b/>
        <u/>
        <sz val="9"/>
        <rFont val="Times New Roman"/>
        <family val="1"/>
      </rPr>
      <t>GASBS No. 87</t>
    </r>
    <r>
      <rPr>
        <sz val="9"/>
        <rFont val="Times New Roman"/>
        <family val="1"/>
      </rPr>
      <t>)</t>
    </r>
  </si>
  <si>
    <r>
      <t xml:space="preserve">3) </t>
    </r>
    <r>
      <rPr>
        <b/>
        <sz val="11"/>
        <rFont val="Times New Roman"/>
        <family val="1"/>
      </rPr>
      <t>Refundings of Debt</t>
    </r>
    <r>
      <rPr>
        <sz val="11"/>
        <rFont val="Times New Roman"/>
        <family val="1"/>
      </rPr>
      <t xml:space="preserve"> - A change in provisions of a lease resulting from a refunding, including an advance refunding, of tax-exempt debt by the lessor who then passes through the effect to the lessee and the lease continues to be classified as a lease by the lessee which increases the lessee's lease obligation (</t>
    </r>
    <r>
      <rPr>
        <b/>
        <u/>
        <sz val="11"/>
        <rFont val="Times New Roman"/>
        <family val="1"/>
      </rPr>
      <t>GASBS No. 87</t>
    </r>
    <r>
      <rPr>
        <sz val="11"/>
        <rFont val="Times New Roman"/>
        <family val="1"/>
      </rPr>
      <t xml:space="preserve"> paragraph 74)</t>
    </r>
  </si>
  <si>
    <r>
      <t xml:space="preserve">Financed Purchase Obligations </t>
    </r>
    <r>
      <rPr>
        <b/>
        <sz val="9"/>
        <rFont val="Times New Roman"/>
        <family val="1"/>
      </rPr>
      <t>(</t>
    </r>
    <r>
      <rPr>
        <b/>
        <u/>
        <sz val="9"/>
        <rFont val="Times New Roman"/>
        <family val="1"/>
      </rPr>
      <t>GASBS No. 87</t>
    </r>
    <r>
      <rPr>
        <b/>
        <sz val="9"/>
        <rFont val="Times New Roman"/>
        <family val="1"/>
      </rPr>
      <t>)</t>
    </r>
  </si>
  <si>
    <t xml:space="preserve">COVID-19 Receipts </t>
  </si>
  <si>
    <r>
      <t xml:space="preserve">Increase (Decrease) in Financed Purchase Obligations </t>
    </r>
    <r>
      <rPr>
        <b/>
        <sz val="9"/>
        <rFont val="Times New Roman"/>
        <family val="1"/>
      </rPr>
      <t>(</t>
    </r>
    <r>
      <rPr>
        <b/>
        <u/>
        <sz val="9"/>
        <rFont val="Times New Roman"/>
        <family val="1"/>
      </rPr>
      <t>GASBS No. 87</t>
    </r>
    <r>
      <rPr>
        <b/>
        <sz val="9"/>
        <rFont val="Times New Roman"/>
        <family val="1"/>
      </rPr>
      <t>)</t>
    </r>
  </si>
  <si>
    <r>
      <t>Financed Purchase Obligations (</t>
    </r>
    <r>
      <rPr>
        <b/>
        <u/>
        <sz val="9"/>
        <rFont val="Times New Roman"/>
        <family val="1"/>
      </rPr>
      <t>GASBS No. 87</t>
    </r>
    <r>
      <rPr>
        <sz val="9"/>
        <rFont val="Times New Roman"/>
        <family val="1"/>
      </rPr>
      <t>)</t>
    </r>
  </si>
  <si>
    <r>
      <t>Financed Purchase Obligation (</t>
    </r>
    <r>
      <rPr>
        <b/>
        <u/>
        <sz val="9"/>
        <rFont val="Times New Roman"/>
        <family val="1"/>
      </rPr>
      <t>GASBS No. 87</t>
    </r>
    <r>
      <rPr>
        <sz val="9"/>
        <rFont val="Times New Roman"/>
        <family val="1"/>
      </rPr>
      <t>)</t>
    </r>
  </si>
  <si>
    <t>COVID-19 Receipts</t>
  </si>
  <si>
    <t>U.S Dollar</t>
  </si>
  <si>
    <t>Chilean Peso</t>
  </si>
  <si>
    <r>
      <t>Right-to-Use Intangible Assets (</t>
    </r>
    <r>
      <rPr>
        <b/>
        <u/>
        <sz val="8"/>
        <rFont val="Times New Roman"/>
        <family val="1"/>
      </rPr>
      <t>GASBS No. 87</t>
    </r>
    <r>
      <rPr>
        <sz val="8"/>
        <rFont val="Times New Roman"/>
        <family val="1"/>
      </rPr>
      <t>)</t>
    </r>
  </si>
  <si>
    <r>
      <t xml:space="preserve">Prior to July 1, 2021, interest incurred during the construction of capital assets is included in the capitalized value of the assets.  Starting July 1, 2021, and pursuant to </t>
    </r>
    <r>
      <rPr>
        <b/>
        <u/>
        <sz val="8"/>
        <rFont val="Times New Roman"/>
        <family val="1"/>
      </rPr>
      <t>GASBS No. 89</t>
    </r>
    <r>
      <rPr>
        <sz val="8"/>
        <rFont val="Times New Roman"/>
        <family val="1"/>
      </rPr>
      <t xml:space="preserve">, </t>
    </r>
    <r>
      <rPr>
        <i/>
        <sz val="8"/>
        <rFont val="Times New Roman"/>
        <family val="1"/>
      </rPr>
      <t>Accounting for Interest Cost Incurred before the End of a Construction Period</t>
    </r>
    <r>
      <rPr>
        <sz val="8"/>
        <rFont val="Times New Roman"/>
        <family val="1"/>
      </rPr>
      <t>, interest costs incurred before the end of the construction period are recognized as an expense in the period in which the cost is incurred and is not included in the capitalized value of the assets.</t>
    </r>
  </si>
  <si>
    <r>
      <t xml:space="preserve">If </t>
    </r>
    <r>
      <rPr>
        <b/>
        <sz val="8"/>
        <rFont val="Times New Roman"/>
        <family val="1"/>
      </rPr>
      <t>yes</t>
    </r>
    <r>
      <rPr>
        <sz val="8"/>
        <rFont val="Times New Roman"/>
        <family val="1"/>
      </rPr>
      <t xml:space="preserve"> for a </t>
    </r>
    <r>
      <rPr>
        <b/>
        <u/>
        <sz val="8"/>
        <rFont val="Times New Roman"/>
        <family val="1"/>
      </rPr>
      <t>GASBS No. 42</t>
    </r>
    <r>
      <rPr>
        <sz val="8"/>
        <rFont val="Times New Roman"/>
        <family val="1"/>
      </rPr>
      <t xml:space="preserve"> lease impairment, provide the line item and amount of the net impairment loss that is reported on the financial statement template and then go to Part 3.2.</t>
    </r>
  </si>
  <si>
    <r>
      <t xml:space="preserve">If </t>
    </r>
    <r>
      <rPr>
        <b/>
        <sz val="8"/>
        <rFont val="Times New Roman"/>
        <family val="1"/>
      </rPr>
      <t>yes</t>
    </r>
    <r>
      <rPr>
        <sz val="8"/>
        <rFont val="Times New Roman"/>
        <family val="1"/>
      </rPr>
      <t xml:space="preserve"> for a </t>
    </r>
    <r>
      <rPr>
        <b/>
        <u/>
        <sz val="8"/>
        <rFont val="Times New Roman"/>
        <family val="1"/>
      </rPr>
      <t>GASBS No. 87</t>
    </r>
    <r>
      <rPr>
        <sz val="8"/>
        <rFont val="Times New Roman"/>
        <family val="1"/>
      </rPr>
      <t xml:space="preserve"> lease impairment, provide the reduction in lease asset and liability resulting from the impairment.  If applicable, provide the impairment loss in </t>
    </r>
  </si>
  <si>
    <r>
      <t>Part 3:  Long-term Lease Liabilities (</t>
    </r>
    <r>
      <rPr>
        <b/>
        <u/>
        <sz val="10"/>
        <rFont val="Times New Roman"/>
        <family val="1"/>
      </rPr>
      <t>GASBS No. 87</t>
    </r>
    <r>
      <rPr>
        <b/>
        <sz val="10"/>
        <rFont val="Times New Roman"/>
        <family val="1"/>
      </rPr>
      <t>):</t>
    </r>
  </si>
  <si>
    <t>The following information was included in the Annual Comprehensive Report last year.</t>
  </si>
  <si>
    <r>
      <t>Obligating Events</t>
    </r>
    <r>
      <rPr>
        <sz val="11"/>
        <rFont val="Times New Roman"/>
        <family val="1"/>
      </rPr>
      <t xml:space="preserve">:  Does the enterprise fund know or reasonably believe a site is polluted / contaminated and an obligating event* as defined in </t>
    </r>
    <r>
      <rPr>
        <b/>
        <u/>
        <sz val="11"/>
        <rFont val="Times New Roman"/>
        <family val="1"/>
      </rPr>
      <t>GASBS No. 49</t>
    </r>
    <r>
      <rPr>
        <sz val="11"/>
        <rFont val="Times New Roman"/>
        <family val="1"/>
      </rPr>
      <t xml:space="preserve"> has occurred? 
If</t>
    </r>
    <r>
      <rPr>
        <b/>
        <sz val="11"/>
        <rFont val="Times New Roman"/>
        <family val="1"/>
      </rPr>
      <t xml:space="preserve"> yes</t>
    </r>
    <r>
      <rPr>
        <sz val="11"/>
        <rFont val="Times New Roman"/>
        <family val="1"/>
      </rPr>
      <t>, DOA will provide a separate communication.</t>
    </r>
  </si>
  <si>
    <t xml:space="preserve">Indonesian Rupiah </t>
  </si>
  <si>
    <r>
      <t xml:space="preserve">6) </t>
    </r>
    <r>
      <rPr>
        <b/>
        <sz val="11"/>
        <rFont val="Times New Roman"/>
        <family val="1"/>
      </rPr>
      <t xml:space="preserve">Sale-Leaseback Transactions </t>
    </r>
    <r>
      <rPr>
        <sz val="11"/>
        <rFont val="Times New Roman"/>
        <family val="1"/>
      </rPr>
      <t>- Loss on the sale of property  that is accompanied by a leaseback of all or any part of the property for all or part of its remaining economic life   (</t>
    </r>
    <r>
      <rPr>
        <b/>
        <u/>
        <sz val="11"/>
        <rFont val="Times New Roman"/>
        <family val="1"/>
      </rPr>
      <t>GASBS No. 87</t>
    </r>
    <r>
      <rPr>
        <sz val="11"/>
        <rFont val="Times New Roman"/>
        <family val="1"/>
      </rPr>
      <t xml:space="preserve"> paragraphs 82-86)</t>
    </r>
  </si>
  <si>
    <t>Payment of Principal and Interest on Bonds, Installment Purchases, Long-term Lease Liabilities, Financed Purchase Obligations, and Long-term SBITA Liabilities</t>
  </si>
  <si>
    <r>
      <t>Long-term Subscription-based Information Technology Arrangements Liabilities (</t>
    </r>
    <r>
      <rPr>
        <b/>
        <u/>
        <sz val="9"/>
        <rFont val="Times New Roman"/>
        <family val="1"/>
      </rPr>
      <t>GASBS No. 96</t>
    </r>
    <r>
      <rPr>
        <sz val="9"/>
        <rFont val="Times New Roman"/>
        <family val="1"/>
      </rPr>
      <t>)</t>
    </r>
  </si>
  <si>
    <r>
      <t>Increase (Decrease) in Long-term Subscription-based Information Technology Arrangements (</t>
    </r>
    <r>
      <rPr>
        <b/>
        <u/>
        <sz val="9"/>
        <rFont val="Times New Roman"/>
        <family val="1"/>
      </rPr>
      <t>GASBS No. 96</t>
    </r>
    <r>
      <rPr>
        <sz val="9"/>
        <rFont val="Times New Roman"/>
        <family val="1"/>
      </rPr>
      <t>)</t>
    </r>
  </si>
  <si>
    <r>
      <t>Long-term Subscription-based Information Technology Arrangements (</t>
    </r>
    <r>
      <rPr>
        <b/>
        <u/>
        <sz val="9"/>
        <color indexed="12"/>
        <rFont val="Times New Roman"/>
        <family val="1"/>
      </rPr>
      <t>GASBS No. 96</t>
    </r>
    <r>
      <rPr>
        <sz val="9"/>
        <color indexed="12"/>
        <rFont val="Times New Roman"/>
        <family val="1"/>
      </rPr>
      <t xml:space="preserve">) Used to Finance Capital Assets </t>
    </r>
  </si>
  <si>
    <r>
      <t>Right-to-Use Intangible Subscription Assets (</t>
    </r>
    <r>
      <rPr>
        <b/>
        <u/>
        <sz val="8"/>
        <rFont val="Times New Roman"/>
        <family val="1"/>
      </rPr>
      <t>GASBS No. 96</t>
    </r>
    <r>
      <rPr>
        <sz val="8"/>
        <rFont val="Times New Roman"/>
        <family val="1"/>
      </rPr>
      <t>)</t>
    </r>
  </si>
  <si>
    <r>
      <t xml:space="preserve">     Right-to-Use Intangible Subscription Assets (</t>
    </r>
    <r>
      <rPr>
        <b/>
        <u/>
        <sz val="8"/>
        <rFont val="Times New Roman"/>
        <family val="1"/>
      </rPr>
      <t>GASBS No. 96</t>
    </r>
    <r>
      <rPr>
        <sz val="8"/>
        <rFont val="Times New Roman"/>
        <family val="1"/>
      </rPr>
      <t>)</t>
    </r>
  </si>
  <si>
    <r>
      <rPr>
        <i/>
        <sz val="8"/>
        <rFont val="Times New Roman"/>
        <family val="1"/>
      </rPr>
      <t>Subscription-based Information Technology Arrangements</t>
    </r>
    <r>
      <rPr>
        <b/>
        <sz val="8"/>
        <rFont val="Times New Roman"/>
        <family val="1"/>
      </rPr>
      <t>:</t>
    </r>
  </si>
  <si>
    <r>
      <t xml:space="preserve">Part 3.1) </t>
    </r>
    <r>
      <rPr>
        <b/>
        <u/>
        <sz val="8"/>
        <rFont val="Times New Roman"/>
        <family val="1"/>
      </rPr>
      <t>GASBS No. 42</t>
    </r>
    <r>
      <rPr>
        <b/>
        <sz val="8"/>
        <rFont val="Times New Roman"/>
        <family val="1"/>
      </rPr>
      <t xml:space="preserve">, </t>
    </r>
    <r>
      <rPr>
        <i/>
        <sz val="8"/>
        <rFont val="Times New Roman"/>
        <family val="1"/>
      </rPr>
      <t xml:space="preserve">Accounting and Financial Reporting for Impairment of Capital Assets and for Insurance Recoveries, </t>
    </r>
    <r>
      <rPr>
        <b/>
        <u/>
        <sz val="8"/>
        <rFont val="Times New Roman"/>
        <family val="1"/>
      </rPr>
      <t>GASBS No. 87</t>
    </r>
    <r>
      <rPr>
        <sz val="8"/>
        <rFont val="Times New Roman"/>
        <family val="1"/>
      </rPr>
      <t>,</t>
    </r>
    <r>
      <rPr>
        <i/>
        <sz val="8"/>
        <rFont val="Times New Roman"/>
        <family val="1"/>
      </rPr>
      <t xml:space="preserve"> Leases, </t>
    </r>
    <r>
      <rPr>
        <sz val="8"/>
        <rFont val="Times New Roman"/>
        <family val="1"/>
      </rPr>
      <t>and</t>
    </r>
    <r>
      <rPr>
        <i/>
        <sz val="8"/>
        <rFont val="Times New Roman"/>
        <family val="1"/>
      </rPr>
      <t xml:space="preserve"> </t>
    </r>
    <r>
      <rPr>
        <b/>
        <u/>
        <sz val="8"/>
        <rFont val="Times New Roman"/>
        <family val="1"/>
      </rPr>
      <t>GASBS No. 96</t>
    </r>
    <r>
      <rPr>
        <i/>
        <sz val="8"/>
        <rFont val="Times New Roman"/>
        <family val="1"/>
      </rPr>
      <t xml:space="preserve">, </t>
    </r>
  </si>
  <si>
    <r>
      <t xml:space="preserve">       that may indicate impairment of capital assets as described in </t>
    </r>
    <r>
      <rPr>
        <b/>
        <u/>
        <sz val="8"/>
        <rFont val="Times New Roman"/>
        <family val="1"/>
      </rPr>
      <t>GASBS No. 42</t>
    </r>
    <r>
      <rPr>
        <sz val="8"/>
        <rFont val="Times New Roman"/>
        <family val="1"/>
      </rPr>
      <t xml:space="preserve">, </t>
    </r>
    <r>
      <rPr>
        <b/>
        <u/>
        <sz val="8"/>
        <rFont val="Times New Roman"/>
        <family val="1"/>
      </rPr>
      <t>GASBS No. 87</t>
    </r>
    <r>
      <rPr>
        <sz val="8"/>
        <rFont val="Times New Roman"/>
        <family val="1"/>
      </rPr>
      <t xml:space="preserve">, or </t>
    </r>
    <r>
      <rPr>
        <b/>
        <u/>
        <sz val="8"/>
        <rFont val="Times New Roman"/>
        <family val="1"/>
      </rPr>
      <t>GASBS No. 96</t>
    </r>
    <r>
      <rPr>
        <sz val="8"/>
        <rFont val="Times New Roman"/>
        <family val="1"/>
      </rPr>
      <t>?</t>
    </r>
  </si>
  <si>
    <r>
      <t xml:space="preserve"> been properly reported on the FST in accordance with </t>
    </r>
    <r>
      <rPr>
        <b/>
        <u/>
        <sz val="8"/>
        <rFont val="Times New Roman"/>
        <family val="1"/>
      </rPr>
      <t>GASBS No. 42</t>
    </r>
    <r>
      <rPr>
        <sz val="8"/>
        <rFont val="Times New Roman"/>
        <family val="1"/>
      </rPr>
      <t xml:space="preserve">, </t>
    </r>
    <r>
      <rPr>
        <b/>
        <u/>
        <sz val="8"/>
        <rFont val="Times New Roman"/>
        <family val="1"/>
      </rPr>
      <t>GASBS No. 87</t>
    </r>
    <r>
      <rPr>
        <sz val="8"/>
        <rFont val="Times New Roman"/>
        <family val="1"/>
      </rPr>
      <t xml:space="preserve">, or </t>
    </r>
    <r>
      <rPr>
        <b/>
        <u/>
        <sz val="8"/>
        <rFont val="Times New Roman"/>
        <family val="1"/>
      </rPr>
      <t>GASBS No. 96</t>
    </r>
    <r>
      <rPr>
        <sz val="8"/>
        <rFont val="Times New Roman"/>
        <family val="1"/>
      </rPr>
      <t xml:space="preserve">?  </t>
    </r>
  </si>
  <si>
    <t>Part 6:  Bonds Payable</t>
  </si>
  <si>
    <t>Part 7:  Lottery Prizes Payable</t>
  </si>
  <si>
    <t>TAB 5-Part 1, Part 7</t>
  </si>
  <si>
    <r>
      <t>Part 5:  Long-term Subscription-based Information Technology Arrangements Liabilities (</t>
    </r>
    <r>
      <rPr>
        <b/>
        <u/>
        <sz val="10"/>
        <rFont val="Times New Roman"/>
        <family val="1"/>
      </rPr>
      <t>GASBS No. 96</t>
    </r>
    <r>
      <rPr>
        <b/>
        <sz val="10"/>
        <rFont val="Times New Roman"/>
        <family val="1"/>
      </rPr>
      <t>):</t>
    </r>
  </si>
  <si>
    <r>
      <t xml:space="preserve">  Long-term Subscription-based Information Technology 
 Arrangements Liabilities (</t>
    </r>
    <r>
      <rPr>
        <b/>
        <u/>
        <sz val="9"/>
        <rFont val="Times New Roman"/>
        <family val="1"/>
      </rPr>
      <t>GASBS No. 96</t>
    </r>
    <r>
      <rPr>
        <sz val="9"/>
        <rFont val="Times New Roman"/>
        <family val="1"/>
      </rPr>
      <t>)</t>
    </r>
  </si>
  <si>
    <r>
      <t>Increase (Decrease) in Long-term Subscription-based Information Technology Arrangements Liabilities (</t>
    </r>
    <r>
      <rPr>
        <b/>
        <u/>
        <sz val="9"/>
        <rFont val="Times New Roman"/>
        <family val="1"/>
      </rPr>
      <t>GASBS No. 96</t>
    </r>
    <r>
      <rPr>
        <sz val="9"/>
        <rFont val="Times New Roman"/>
        <family val="1"/>
      </rPr>
      <t>)</t>
    </r>
  </si>
  <si>
    <r>
      <t>Long-term Subscription-based Information Technology Arrangements Liabilities (</t>
    </r>
    <r>
      <rPr>
        <b/>
        <u/>
        <sz val="10"/>
        <rFont val="Times New Roman"/>
        <family val="1"/>
      </rPr>
      <t>GASBS No. 96</t>
    </r>
    <r>
      <rPr>
        <sz val="10"/>
        <rFont val="Times New Roman"/>
        <family val="1"/>
      </rPr>
      <t xml:space="preserve">) Used to Finance Capital Assets </t>
    </r>
  </si>
  <si>
    <t xml:space="preserve">Payment of Principal and Interest on Bonds, Installment Purchase Obligations, Long-term Lease Liabilities, Subscription-based Information Technology Arrangements Liabilities, and Financed Purchase Obligations (Cash Flows from Capital and Related Financing Activities) </t>
  </si>
  <si>
    <t>Tab 5 - LT Liabilities (Retirements and Other Decreases for Long-term Lease Liabilities, Subscription-based Information Technology Arrangements, Installment Purchase Obligations, Financed Purchase Obligations, and Bonds Payable)</t>
  </si>
  <si>
    <r>
      <t xml:space="preserve">If </t>
    </r>
    <r>
      <rPr>
        <b/>
        <sz val="8"/>
        <rFont val="Times New Roman"/>
        <family val="1"/>
      </rPr>
      <t>yes</t>
    </r>
    <r>
      <rPr>
        <sz val="8"/>
        <rFont val="Times New Roman"/>
        <family val="1"/>
      </rPr>
      <t xml:space="preserve"> for a </t>
    </r>
    <r>
      <rPr>
        <b/>
        <u/>
        <sz val="8"/>
        <rFont val="Times New Roman"/>
        <family val="1"/>
      </rPr>
      <t>GASBS No. 96</t>
    </r>
    <r>
      <rPr>
        <sz val="8"/>
        <rFont val="Times New Roman"/>
        <family val="1"/>
      </rPr>
      <t xml:space="preserve"> subscription impairment, provide the reduction in subscription asset and liability resulting from the impairment.  If applicable, provide the impairment loss in </t>
    </r>
  </si>
  <si>
    <t>Reduction in subscription asset and liability</t>
  </si>
  <si>
    <t>Additional impairment loss (in excess of the reduction in asset and liability)</t>
  </si>
  <si>
    <r>
      <t>Part 5a)</t>
    </r>
    <r>
      <rPr>
        <sz val="10"/>
        <rFont val="Times New Roman"/>
        <family val="1"/>
      </rPr>
      <t>:  Did the Fund recognize any variable subscription payments that were NOT previously included in the measurement of the subscription liability?</t>
    </r>
  </si>
  <si>
    <r>
      <t>Part 5b)</t>
    </r>
    <r>
      <rPr>
        <sz val="10"/>
        <rFont val="Times New Roman"/>
        <family val="1"/>
      </rPr>
      <t>:  Did the Fund recognize any other payments for penalties that were NOT previously included in the measurement of the subscription liability?</t>
    </r>
  </si>
  <si>
    <r>
      <t xml:space="preserve">Capital assets reported in this attachment must include intangible assets  as required by </t>
    </r>
    <r>
      <rPr>
        <b/>
        <u/>
        <sz val="9"/>
        <rFont val="Times New Roman"/>
        <family val="1"/>
      </rPr>
      <t>GASBS No. 51</t>
    </r>
    <r>
      <rPr>
        <sz val="9"/>
        <rFont val="Times New Roman"/>
        <family val="1"/>
      </rPr>
      <t xml:space="preserve"> and Right-to-Use Intangible assets required by </t>
    </r>
    <r>
      <rPr>
        <b/>
        <u/>
        <sz val="9"/>
        <rFont val="Times New Roman"/>
        <family val="1"/>
      </rPr>
      <t xml:space="preserve">GASBS No. 87 </t>
    </r>
    <r>
      <rPr>
        <sz val="9"/>
        <rFont val="Times New Roman"/>
        <family val="1"/>
      </rPr>
      <t xml:space="preserve">and </t>
    </r>
    <r>
      <rPr>
        <b/>
        <u/>
        <sz val="9"/>
        <rFont val="Times New Roman"/>
        <family val="1"/>
      </rPr>
      <t>GASBS No. 96.</t>
    </r>
  </si>
  <si>
    <t>Equity Mutual Funds</t>
  </si>
  <si>
    <t xml:space="preserve">British Pound Sterling </t>
  </si>
  <si>
    <t>Russian Ruble</t>
  </si>
  <si>
    <t xml:space="preserve">Peruvian Sol </t>
  </si>
  <si>
    <r>
      <t>Long-term Leases Liabilities (</t>
    </r>
    <r>
      <rPr>
        <u val="singleAccounting"/>
        <sz val="10"/>
        <color indexed="12"/>
        <rFont val="Times New Roman"/>
        <family val="1"/>
      </rPr>
      <t>GASBS No. 87</t>
    </r>
    <r>
      <rPr>
        <sz val="10"/>
        <color indexed="12"/>
        <rFont val="Times New Roman"/>
        <family val="1"/>
      </rPr>
      <t>) Used to Finance Capital Assets</t>
    </r>
  </si>
  <si>
    <t>Q:\Directive\Fiscal 20XX\20XX Fund Listing</t>
  </si>
  <si>
    <t>Funds to test attachments</t>
  </si>
  <si>
    <t>first in --listing to verify correct formula=</t>
  </si>
  <si>
    <t>last in listing--listing to verify correct formula =</t>
  </si>
  <si>
    <t>test incorrect fund =</t>
  </si>
  <si>
    <t>01234</t>
  </si>
  <si>
    <t>Verify fund number and Contact DOA</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</si>
  <si>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</si>
  <si>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</si>
  <si>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</si>
  <si>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</si>
  <si>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</si>
  <si>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</si>
  <si>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</si>
  <si>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</si>
  <si>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</si>
  <si>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</si>
  <si>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</si>
  <si>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</si>
  <si>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</si>
  <si>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</si>
  <si>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</si>
  <si>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</si>
  <si>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</si>
  <si>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</si>
  <si>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</si>
  <si>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</si>
  <si>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</si>
  <si>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</si>
  <si>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</si>
  <si>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</si>
  <si>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</si>
  <si>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</si>
  <si>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</si>
  <si>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</si>
  <si>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</si>
  <si>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</si>
  <si>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</si>
  <si>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</si>
  <si>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</si>
  <si>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</si>
  <si>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</si>
  <si>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</si>
  <si>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</si>
  <si>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</si>
  <si>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</si>
  <si>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</si>
  <si>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</si>
  <si>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</si>
  <si>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</si>
  <si>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</si>
  <si>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</si>
  <si>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</si>
  <si>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</si>
  <si>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</si>
  <si>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</si>
  <si>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</si>
  <si>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</si>
  <si>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</si>
  <si>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</si>
  <si>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</si>
  <si>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</si>
  <si>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</si>
  <si>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</si>
  <si>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</si>
  <si>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</si>
  <si>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</si>
  <si>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</si>
  <si>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</si>
  <si>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</si>
  <si>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</si>
  <si>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</si>
  <si>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</si>
  <si>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</si>
  <si>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</si>
  <si>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</si>
  <si>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</si>
  <si>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</si>
  <si>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</si>
  <si>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</si>
  <si>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</si>
  <si>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</si>
  <si>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</si>
  <si>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</si>
  <si>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</si>
  <si>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</si>
  <si>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</si>
  <si>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</si>
  <si>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</si>
  <si>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</si>
  <si>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</si>
  <si>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</si>
  <si>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</si>
  <si>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</si>
  <si>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</si>
  <si>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</si>
  <si>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</si>
  <si>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</si>
  <si>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</si>
  <si>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</si>
  <si>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</si>
  <si>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</si>
  <si>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</si>
  <si>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</si>
  <si>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</si>
  <si>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</si>
  <si>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</si>
  <si>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</si>
  <si>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</si>
  <si>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</si>
  <si>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12500</t>
  </si>
  <si>
    <t>BrwnfldAsses&amp;ClnupCoopAgr-IIJA</t>
  </si>
  <si>
    <t>12510</t>
  </si>
  <si>
    <t>VA Water Facil Revolving-IIJA</t>
  </si>
  <si>
    <t>12520</t>
  </si>
  <si>
    <t>Water Qlty Mngmnt Planing-IIJA</t>
  </si>
  <si>
    <t>12530</t>
  </si>
  <si>
    <t>Pollution Prvntn Grnt Pgm-IIJA</t>
  </si>
  <si>
    <t>12540</t>
  </si>
  <si>
    <t>ChspkBayPrgImpRegAcctMntr-IIJA</t>
  </si>
  <si>
    <t>Virginia Cannabis Control Authority</t>
  </si>
  <si>
    <r>
      <t>Intangible Assets (</t>
    </r>
    <r>
      <rPr>
        <b/>
        <u/>
        <sz val="10"/>
        <rFont val="Times New Roman"/>
        <family val="1"/>
      </rPr>
      <t>GASBS No. 51</t>
    </r>
    <r>
      <rPr>
        <sz val="10"/>
        <rFont val="Times New Roman"/>
        <family val="1"/>
      </rPr>
      <t>)</t>
    </r>
  </si>
  <si>
    <r>
      <t>Right-to-Use Intangible Assets (</t>
    </r>
    <r>
      <rPr>
        <b/>
        <u/>
        <sz val="10"/>
        <rFont val="Times New Roman"/>
        <family val="1"/>
      </rPr>
      <t>GASBS No.87</t>
    </r>
    <r>
      <rPr>
        <sz val="10"/>
        <rFont val="Times New Roman"/>
        <family val="1"/>
      </rPr>
      <t>)</t>
    </r>
  </si>
  <si>
    <t>Other Intangibles - Provide Description</t>
  </si>
  <si>
    <r>
      <t>Right-to-Use Intangible Subscription Assets (</t>
    </r>
    <r>
      <rPr>
        <b/>
        <u/>
        <sz val="10"/>
        <rFont val="Times New Roman"/>
        <family val="1"/>
      </rPr>
      <t>GASBS No.96</t>
    </r>
    <r>
      <rPr>
        <sz val="10"/>
        <rFont val="Times New Roman"/>
        <family val="1"/>
      </rPr>
      <t>)</t>
    </r>
  </si>
  <si>
    <t>Total Accumulated Depreciation</t>
  </si>
  <si>
    <t>Total Accumulated Amortiation</t>
  </si>
  <si>
    <t>Total Accumulated Depreciation and Amortization</t>
  </si>
  <si>
    <t>Total Nondepreciable Capital Assets</t>
  </si>
  <si>
    <r>
      <t>Intangible Assets with Indefinite Useful Life (</t>
    </r>
    <r>
      <rPr>
        <b/>
        <u/>
        <sz val="8"/>
        <rFont val="Times New Roman"/>
        <family val="1"/>
      </rPr>
      <t>GASBS No. 51</t>
    </r>
    <r>
      <rPr>
        <sz val="8"/>
        <rFont val="Times New Roman"/>
        <family val="1"/>
      </rPr>
      <t>)</t>
    </r>
  </si>
  <si>
    <t>Total Other Capital Assets</t>
  </si>
  <si>
    <r>
      <t xml:space="preserve"> Long-term Lease Liabilities (</t>
    </r>
    <r>
      <rPr>
        <b/>
        <u/>
        <sz val="10"/>
        <rFont val="Times New Roman"/>
        <family val="1"/>
      </rPr>
      <t>GASBS No. 87</t>
    </r>
    <r>
      <rPr>
        <sz val="10"/>
        <rFont val="Times New Roman"/>
        <family val="1"/>
      </rPr>
      <t>)</t>
    </r>
  </si>
  <si>
    <r>
      <t xml:space="preserve"> Financed Purchase Obligations </t>
    </r>
    <r>
      <rPr>
        <b/>
        <sz val="10"/>
        <rFont val="Times New Roman"/>
        <family val="1"/>
      </rPr>
      <t>(</t>
    </r>
    <r>
      <rPr>
        <b/>
        <u/>
        <sz val="10"/>
        <rFont val="Times New Roman"/>
        <family val="1"/>
      </rPr>
      <t>GASBS No. 87</t>
    </r>
    <r>
      <rPr>
        <b/>
        <sz val="10"/>
        <rFont val="Times New Roman"/>
        <family val="1"/>
      </rPr>
      <t>)</t>
    </r>
  </si>
  <si>
    <r>
      <t xml:space="preserve"> LT Subscription-based Information Technology Arrangements Liabilities (</t>
    </r>
    <r>
      <rPr>
        <b/>
        <u/>
        <sz val="10"/>
        <rFont val="Times New Roman"/>
        <family val="1"/>
      </rPr>
      <t>GASBS No. 96</t>
    </r>
    <r>
      <rPr>
        <sz val="10"/>
        <rFont val="Times New Roman"/>
        <family val="1"/>
      </rPr>
      <t>)</t>
    </r>
  </si>
  <si>
    <t xml:space="preserve"> Total Other Postemployment Benefits (OPEB) Liabilty</t>
  </si>
  <si>
    <r>
      <t xml:space="preserve"> Increase (Decrease) in Long-term Lease Liabilities (</t>
    </r>
    <r>
      <rPr>
        <b/>
        <u/>
        <sz val="10"/>
        <rFont val="Times New Roman"/>
        <family val="1"/>
      </rPr>
      <t>GASBS No. 87</t>
    </r>
    <r>
      <rPr>
        <sz val="10"/>
        <rFont val="Times New Roman"/>
        <family val="1"/>
      </rPr>
      <t>)</t>
    </r>
  </si>
  <si>
    <r>
      <t xml:space="preserve"> Increase (Decrease) in Long-term SBITA (</t>
    </r>
    <r>
      <rPr>
        <b/>
        <u/>
        <sz val="10"/>
        <rFont val="Times New Roman"/>
        <family val="1"/>
      </rPr>
      <t>GASBS No. 96</t>
    </r>
    <r>
      <rPr>
        <sz val="10"/>
        <rFont val="Times New Roman"/>
        <family val="1"/>
      </rPr>
      <t>)</t>
    </r>
  </si>
  <si>
    <r>
      <t xml:space="preserve"> Increase (Decrease) in Financed Purchase Obligations </t>
    </r>
    <r>
      <rPr>
        <b/>
        <sz val="10"/>
        <rFont val="Times New Roman"/>
        <family val="1"/>
      </rPr>
      <t>(</t>
    </r>
    <r>
      <rPr>
        <b/>
        <u/>
        <sz val="10"/>
        <rFont val="Times New Roman"/>
        <family val="1"/>
      </rPr>
      <t>GASBS No. 87</t>
    </r>
    <r>
      <rPr>
        <b/>
        <sz val="10"/>
        <rFont val="Times New Roman"/>
        <family val="1"/>
      </rPr>
      <t>)</t>
    </r>
  </si>
  <si>
    <t>Payment of Principal and Interest on Bonds, Financed Purchase Obiligations, LT Lease / SBITA Liabilities</t>
  </si>
  <si>
    <t>excess of the reduction of the asset and liability line item.</t>
  </si>
  <si>
    <t xml:space="preserve"> Increase (Decrease) in Total Other Postemployment Benefits (OPEB) Liability </t>
  </si>
  <si>
    <t xml:space="preserve">Financed Purchase Obligations (GASBS No. 87) Used to Finance Capital Assets </t>
  </si>
  <si>
    <t xml:space="preserve">Long-term SBITA (GASBS No. 96) Used to Finance Capital Assets </t>
  </si>
  <si>
    <t>Check figure - Total Capital Assets = SNP</t>
  </si>
  <si>
    <t xml:space="preserve">Cannabis Control </t>
  </si>
  <si>
    <r>
      <rPr>
        <b/>
        <u/>
        <sz val="10"/>
        <rFont val="Times New Roman"/>
        <family val="1"/>
      </rPr>
      <t xml:space="preserve"> GASBS No. 91</t>
    </r>
    <r>
      <rPr>
        <sz val="10"/>
        <rFont val="Times New Roman"/>
        <family val="1"/>
      </rPr>
      <t xml:space="preserve">, </t>
    </r>
    <r>
      <rPr>
        <i/>
        <sz val="10"/>
        <rFont val="Times New Roman"/>
        <family val="1"/>
      </rPr>
      <t>Conduit Debt Obligations</t>
    </r>
  </si>
  <si>
    <r>
      <t xml:space="preserve">GASBS No. 94, </t>
    </r>
    <r>
      <rPr>
        <i/>
        <sz val="10"/>
        <rFont val="Times New Roman"/>
        <family val="1"/>
      </rPr>
      <t>Public-Private and Public-Public Partnerships and Availability Payment Arrangements</t>
    </r>
    <r>
      <rPr>
        <sz val="10"/>
        <rFont val="Times New Roman"/>
        <family val="1"/>
      </rPr>
      <t xml:space="preserve"> </t>
    </r>
  </si>
  <si>
    <t>19a</t>
  </si>
  <si>
    <t>19b</t>
  </si>
  <si>
    <t>19c</t>
  </si>
  <si>
    <t>19d</t>
  </si>
  <si>
    <t>19e</t>
  </si>
  <si>
    <r>
      <t xml:space="preserve">2)  </t>
    </r>
    <r>
      <rPr>
        <b/>
        <sz val="11"/>
        <rFont val="Times New Roman"/>
        <family val="1"/>
      </rPr>
      <t>Refundings of Debt</t>
    </r>
    <r>
      <rPr>
        <sz val="11"/>
        <rFont val="Times New Roman"/>
        <family val="1"/>
      </rPr>
      <t xml:space="preserve"> - Deferral on debt defeasance - gain:  For current refundings and advance refundings resulting in debt defeasance and the reacquisition price is less than the net carrying amount of the old debt  (</t>
    </r>
    <r>
      <rPr>
        <b/>
        <u/>
        <sz val="11"/>
        <rFont val="Times New Roman"/>
        <family val="1"/>
      </rPr>
      <t>GASBS No. 65</t>
    </r>
    <r>
      <rPr>
        <sz val="11"/>
        <rFont val="Times New Roman"/>
        <family val="1"/>
      </rPr>
      <t xml:space="preserve"> paragraphs 5 &amp; 6)</t>
    </r>
  </si>
  <si>
    <r>
      <t xml:space="preserve">3) </t>
    </r>
    <r>
      <rPr>
        <b/>
        <sz val="11"/>
        <rFont val="Times New Roman"/>
        <family val="1"/>
      </rPr>
      <t xml:space="preserve"> Refundings of Debt</t>
    </r>
    <r>
      <rPr>
        <sz val="11"/>
        <rFont val="Times New Roman"/>
        <family val="1"/>
      </rPr>
      <t xml:space="preserve"> - A change in provisions of a lease resulting from a refunding, including an advance refunding, of tax-exempt debt by the lessor who then passes through the effect to the lessee and the lease continues to be classified as a lease by the lessee which decreases the lessee's lease obligation (</t>
    </r>
    <r>
      <rPr>
        <b/>
        <u/>
        <sz val="11"/>
        <rFont val="Times New Roman"/>
        <family val="1"/>
      </rPr>
      <t>GASBS No. 87</t>
    </r>
    <r>
      <rPr>
        <sz val="11"/>
        <rFont val="Times New Roman"/>
        <family val="1"/>
      </rPr>
      <t xml:space="preserve"> paragraph 74)</t>
    </r>
  </si>
  <si>
    <r>
      <t xml:space="preserve">4)  </t>
    </r>
    <r>
      <rPr>
        <b/>
        <sz val="11"/>
        <rFont val="Times New Roman"/>
        <family val="1"/>
      </rPr>
      <t>Government-Mandated &amp; Voluntary Nonexchange Transactions</t>
    </r>
    <r>
      <rPr>
        <sz val="11"/>
        <rFont val="Times New Roman"/>
        <family val="1"/>
      </rPr>
      <t xml:space="preserve"> - Resources received by recipients before time requirements are met, but after the other eligibility requirements have been met  (</t>
    </r>
    <r>
      <rPr>
        <b/>
        <u/>
        <sz val="11"/>
        <rFont val="Times New Roman"/>
        <family val="1"/>
      </rPr>
      <t>GASBS No. 65</t>
    </r>
    <r>
      <rPr>
        <sz val="11"/>
        <rFont val="Times New Roman"/>
        <family val="1"/>
      </rPr>
      <t xml:space="preserve"> paragraphs 8 &amp; 10)</t>
    </r>
  </si>
  <si>
    <r>
      <t xml:space="preserve">5)  </t>
    </r>
    <r>
      <rPr>
        <b/>
        <sz val="11"/>
        <rFont val="Times New Roman"/>
        <family val="1"/>
      </rPr>
      <t>Imposed Nonexchange Revenue Transactions</t>
    </r>
    <r>
      <rPr>
        <sz val="11"/>
        <rFont val="Times New Roman"/>
        <family val="1"/>
      </rPr>
      <t xml:space="preserve"> - Amounts received or reported as a receivable before the period when resources are required to be used or when use is first permitted in which the enabling legislation includes time requirements (</t>
    </r>
    <r>
      <rPr>
        <b/>
        <u/>
        <sz val="11"/>
        <rFont val="Times New Roman"/>
        <family val="1"/>
      </rPr>
      <t>GASBS No. 65</t>
    </r>
    <r>
      <rPr>
        <sz val="11"/>
        <rFont val="Times New Roman"/>
        <family val="1"/>
      </rPr>
      <t xml:space="preserve"> paragraphs 8 &amp; 9)</t>
    </r>
  </si>
  <si>
    <r>
      <t xml:space="preserve">6)  </t>
    </r>
    <r>
      <rPr>
        <b/>
        <sz val="11"/>
        <rFont val="Times New Roman"/>
        <family val="1"/>
      </rPr>
      <t>Sale of Future Revenues &amp; Intra-Entity Transfers of Future Revenues</t>
    </r>
    <r>
      <rPr>
        <sz val="11"/>
        <rFont val="Times New Roman"/>
        <family val="1"/>
      </rPr>
      <t xml:space="preserve"> - Amount a transferor government receives as proceeds in the sale of future revenue transactions except for instances requiring revenue recognition in the period of sale as discussed in </t>
    </r>
    <r>
      <rPr>
        <b/>
        <u/>
        <sz val="11"/>
        <rFont val="Times New Roman"/>
        <family val="1"/>
      </rPr>
      <t>GASBS No. 48</t>
    </r>
    <r>
      <rPr>
        <sz val="11"/>
        <rFont val="Times New Roman"/>
        <family val="1"/>
      </rPr>
      <t xml:space="preserve"> paragraph 14 (</t>
    </r>
    <r>
      <rPr>
        <b/>
        <u/>
        <sz val="11"/>
        <rFont val="Times New Roman"/>
        <family val="1"/>
      </rPr>
      <t>GASBS No. 65</t>
    </r>
    <r>
      <rPr>
        <sz val="11"/>
        <rFont val="Times New Roman"/>
        <family val="1"/>
      </rPr>
      <t xml:space="preserve"> paragraphs 11, 12 &amp; 13)</t>
    </r>
  </si>
  <si>
    <r>
      <t xml:space="preserve">7)  </t>
    </r>
    <r>
      <rPr>
        <b/>
        <sz val="11"/>
        <rFont val="Times New Roman"/>
        <family val="1"/>
      </rPr>
      <t>Sale-Leaseback Transactions</t>
    </r>
    <r>
      <rPr>
        <sz val="11"/>
        <rFont val="Times New Roman"/>
        <family val="1"/>
      </rPr>
      <t xml:space="preserve"> - Gain on the sale of property that is accompanied by a leaseback of all or any part of the property for all or part of its remaining economic life (</t>
    </r>
    <r>
      <rPr>
        <b/>
        <u/>
        <sz val="11"/>
        <rFont val="Times New Roman"/>
        <family val="1"/>
      </rPr>
      <t>GASBS No. 87</t>
    </r>
    <r>
      <rPr>
        <sz val="11"/>
        <rFont val="Times New Roman"/>
        <family val="1"/>
      </rPr>
      <t xml:space="preserve"> paragraphs 82-86)</t>
    </r>
  </si>
  <si>
    <r>
      <t xml:space="preserve">8) </t>
    </r>
    <r>
      <rPr>
        <b/>
        <sz val="11"/>
        <rFont val="Times New Roman"/>
        <family val="1"/>
      </rPr>
      <t xml:space="preserve"> Lending Activities</t>
    </r>
    <r>
      <rPr>
        <sz val="11"/>
        <rFont val="Times New Roman"/>
        <family val="1"/>
      </rPr>
      <t xml:space="preserve"> - Points received by lender in relation to a loan origination (</t>
    </r>
    <r>
      <rPr>
        <b/>
        <u/>
        <sz val="11"/>
        <rFont val="Times New Roman"/>
        <family val="1"/>
      </rPr>
      <t>GASBS No. 65</t>
    </r>
    <r>
      <rPr>
        <sz val="11"/>
        <rFont val="Times New Roman"/>
        <family val="1"/>
      </rPr>
      <t xml:space="preserve"> paragraphs 21 &amp; 22)</t>
    </r>
  </si>
  <si>
    <r>
      <t xml:space="preserve">9)  </t>
    </r>
    <r>
      <rPr>
        <b/>
        <sz val="11"/>
        <rFont val="Times New Roman"/>
        <family val="1"/>
      </rPr>
      <t>Mortgage Banking Activities</t>
    </r>
    <r>
      <rPr>
        <sz val="11"/>
        <rFont val="Times New Roman"/>
        <family val="1"/>
      </rPr>
      <t xml:space="preserve"> - Points received by lender for loans held for investment (</t>
    </r>
    <r>
      <rPr>
        <b/>
        <u/>
        <sz val="11"/>
        <rFont val="Times New Roman"/>
        <family val="1"/>
      </rPr>
      <t>GASBS No. 65</t>
    </r>
    <r>
      <rPr>
        <sz val="11"/>
        <rFont val="Times New Roman"/>
        <family val="1"/>
      </rPr>
      <t xml:space="preserve"> paragraphs 25 &amp; 26)</t>
    </r>
  </si>
  <si>
    <r>
      <t xml:space="preserve">10)  </t>
    </r>
    <r>
      <rPr>
        <b/>
        <sz val="11"/>
        <rFont val="Times New Roman"/>
        <family val="1"/>
      </rPr>
      <t>Mortgage Banking Activities</t>
    </r>
    <r>
      <rPr>
        <sz val="11"/>
        <rFont val="Times New Roman"/>
        <family val="1"/>
      </rPr>
      <t xml:space="preserve"> - Origination fees, including any portion related to points, received by lender for loans held for sale (</t>
    </r>
    <r>
      <rPr>
        <b/>
        <u/>
        <sz val="11"/>
        <rFont val="Times New Roman"/>
        <family val="1"/>
      </rPr>
      <t>GASBS No. 65</t>
    </r>
    <r>
      <rPr>
        <sz val="11"/>
        <rFont val="Times New Roman"/>
        <family val="1"/>
      </rPr>
      <t xml:space="preserve"> paragraphs 25 &amp; 26)</t>
    </r>
  </si>
  <si>
    <r>
      <t xml:space="preserve">11)  </t>
    </r>
    <r>
      <rPr>
        <b/>
        <sz val="11"/>
        <rFont val="Times New Roman"/>
        <family val="1"/>
      </rPr>
      <t>Regulated Operations</t>
    </r>
    <r>
      <rPr>
        <sz val="11"/>
        <rFont val="Times New Roman"/>
        <family val="1"/>
      </rPr>
      <t xml:space="preserve"> - Regulator's rate actions that result in an acquisition of net assets from the regulated business-type activity's customers that is applicable to a future reporting period (</t>
    </r>
    <r>
      <rPr>
        <b/>
        <u/>
        <sz val="11"/>
        <rFont val="Times New Roman"/>
        <family val="1"/>
      </rPr>
      <t>GASBS No. 65</t>
    </r>
    <r>
      <rPr>
        <sz val="11"/>
        <rFont val="Times New Roman"/>
        <family val="1"/>
      </rPr>
      <t xml:space="preserve"> paragraphs 28 &amp; 29)</t>
    </r>
  </si>
  <si>
    <r>
      <t xml:space="preserve">12) </t>
    </r>
    <r>
      <rPr>
        <b/>
        <sz val="11"/>
        <rFont val="Times New Roman"/>
        <family val="1"/>
      </rPr>
      <t>Pension-Related</t>
    </r>
    <r>
      <rPr>
        <sz val="11"/>
        <rFont val="Times New Roman"/>
        <family val="1"/>
      </rPr>
      <t xml:space="preserve"> - VRS defined benefit pension plans</t>
    </r>
    <r>
      <rPr>
        <b/>
        <sz val="11"/>
        <rFont val="Times New Roman"/>
        <family val="1"/>
      </rPr>
      <t xml:space="preserve"> </t>
    </r>
    <r>
      <rPr>
        <b/>
        <u/>
        <sz val="11"/>
        <rFont val="Times New Roman"/>
        <family val="1"/>
      </rPr>
      <t>(GASBS No. 68)</t>
    </r>
  </si>
  <si>
    <r>
      <t xml:space="preserve">13)  </t>
    </r>
    <r>
      <rPr>
        <b/>
        <sz val="11"/>
        <rFont val="Times New Roman"/>
        <family val="1"/>
      </rPr>
      <t>Other Postemployment Benefits-Related</t>
    </r>
    <r>
      <rPr>
        <sz val="11"/>
        <rFont val="Times New Roman"/>
        <family val="1"/>
      </rPr>
      <t xml:space="preserve"> - VRS other postemployment benefit plans </t>
    </r>
    <r>
      <rPr>
        <b/>
        <sz val="11"/>
        <rFont val="Times New Roman"/>
        <family val="1"/>
      </rPr>
      <t>(</t>
    </r>
    <r>
      <rPr>
        <b/>
        <u/>
        <sz val="11"/>
        <rFont val="Times New Roman"/>
        <family val="1"/>
      </rPr>
      <t>GASBS No. 75</t>
    </r>
    <r>
      <rPr>
        <b/>
        <sz val="11"/>
        <rFont val="Times New Roman"/>
        <family val="1"/>
      </rPr>
      <t>)</t>
    </r>
  </si>
  <si>
    <r>
      <t xml:space="preserve">15) </t>
    </r>
    <r>
      <rPr>
        <b/>
        <sz val="11"/>
        <rFont val="Times New Roman"/>
        <family val="1"/>
      </rPr>
      <t>Irrevocable Split-Interest Agreements</t>
    </r>
    <r>
      <rPr>
        <sz val="11"/>
        <rFont val="Times New Roman"/>
        <family val="1"/>
      </rPr>
      <t xml:space="preserve"> - Government's beneficial interest in an irrevocable split-interest agreement (</t>
    </r>
    <r>
      <rPr>
        <b/>
        <u/>
        <sz val="11"/>
        <rFont val="Times New Roman"/>
        <family val="1"/>
      </rPr>
      <t>GASBS No. 81</t>
    </r>
    <r>
      <rPr>
        <sz val="11"/>
        <rFont val="Times New Roman"/>
        <family val="1"/>
      </rPr>
      <t xml:space="preserve">) </t>
    </r>
  </si>
  <si>
    <t>13a</t>
  </si>
  <si>
    <t>13b</t>
  </si>
  <si>
    <t>13c</t>
  </si>
  <si>
    <t>14d</t>
  </si>
  <si>
    <t>16a</t>
  </si>
  <si>
    <t>16b</t>
  </si>
  <si>
    <t>17c</t>
  </si>
  <si>
    <t>17d</t>
  </si>
  <si>
    <r>
      <rPr>
        <b/>
        <sz val="10"/>
        <rFont val="Times New Roman"/>
        <family val="1"/>
      </rPr>
      <t>Other PPP arrangements</t>
    </r>
    <r>
      <rPr>
        <sz val="10"/>
        <rFont val="Times New Roman"/>
        <family val="1"/>
      </rPr>
      <t xml:space="preserve">: Does the fund have any PPP arrangements that do NOT qualify as an SCA (question 19b) and are NOT considered leases (question 19c), pursuant to </t>
    </r>
    <r>
      <rPr>
        <b/>
        <u/>
        <sz val="10"/>
        <rFont val="Times New Roman"/>
        <family val="1"/>
      </rPr>
      <t>GASBS No. 94</t>
    </r>
    <r>
      <rPr>
        <sz val="10"/>
        <rFont val="Times New Roman"/>
        <family val="1"/>
      </rPr>
      <t xml:space="preserve">?
If </t>
    </r>
    <r>
      <rPr>
        <b/>
        <sz val="10"/>
        <rFont val="Times New Roman"/>
        <family val="1"/>
      </rPr>
      <t>yes</t>
    </r>
    <r>
      <rPr>
        <sz val="10"/>
        <rFont val="Times New Roman"/>
        <family val="1"/>
      </rPr>
      <t>, please provide the following information for all arrangements: general description, operator or transferor, installment payments, upfront payments, information relating to asset (new, existing, being constructed), and any other information as deemed necessary.</t>
    </r>
  </si>
  <si>
    <r>
      <rPr>
        <b/>
        <sz val="10"/>
        <rFont val="Times New Roman"/>
        <family val="1"/>
      </rPr>
      <t>Availability Payment Arrangements</t>
    </r>
    <r>
      <rPr>
        <sz val="10"/>
        <rFont val="Times New Roman"/>
        <family val="1"/>
      </rPr>
      <t xml:space="preserve">: Does the fund have any agreements in place with an operator (nongovernmental or governmental entity) where the fund qualifies as the transferor that compensates an operator for activities such as designing, constructing, financing, maintaining, or operating an underlying nonfinancial asset for a period of time in an exchange or exchange-like transaction based entirely on the asset's availability for use rather than on tolls, fees, or similar revenues, pursuant to </t>
    </r>
    <r>
      <rPr>
        <b/>
        <u/>
        <sz val="10"/>
        <rFont val="Times New Roman"/>
        <family val="1"/>
      </rPr>
      <t>GASBS No. 94</t>
    </r>
    <r>
      <rPr>
        <sz val="10"/>
        <rFont val="Times New Roman"/>
        <family val="1"/>
      </rPr>
      <t>?</t>
    </r>
    <r>
      <rPr>
        <b/>
        <sz val="10"/>
        <rFont val="Times New Roman"/>
        <family val="1"/>
      </rPr>
      <t xml:space="preserve">
</t>
    </r>
    <r>
      <rPr>
        <sz val="10"/>
        <rFont val="Times New Roman"/>
        <family val="1"/>
      </rPr>
      <t xml:space="preserve">
If </t>
    </r>
    <r>
      <rPr>
        <b/>
        <sz val="10"/>
        <rFont val="Times New Roman"/>
        <family val="1"/>
      </rPr>
      <t>yes</t>
    </r>
    <r>
      <rPr>
        <sz val="10"/>
        <rFont val="Times New Roman"/>
        <family val="1"/>
      </rPr>
      <t xml:space="preserve">, please provide general information relating to these arrangements.  </t>
    </r>
  </si>
  <si>
    <r>
      <rPr>
        <b/>
        <sz val="11"/>
        <rFont val="Times New Roman"/>
        <family val="1"/>
      </rPr>
      <t>Valuation Technique:</t>
    </r>
    <r>
      <rPr>
        <sz val="11"/>
        <rFont val="Times New Roman"/>
        <family val="1"/>
      </rPr>
      <t xml:space="preserve">  For items reported using the </t>
    </r>
    <r>
      <rPr>
        <b/>
        <u/>
        <sz val="11"/>
        <rFont val="Times New Roman"/>
        <family val="1"/>
      </rPr>
      <t>GASBS No. 72</t>
    </r>
    <r>
      <rPr>
        <b/>
        <sz val="11"/>
        <rFont val="Times New Roman"/>
        <family val="1"/>
      </rPr>
      <t xml:space="preserve"> </t>
    </r>
    <r>
      <rPr>
        <sz val="11"/>
        <rFont val="Times New Roman"/>
        <family val="1"/>
      </rPr>
      <t>hierarchy in question 14a above, has there been a change in valuation technique(s) from previous year?</t>
    </r>
  </si>
  <si>
    <r>
      <t xml:space="preserve">14) </t>
    </r>
    <r>
      <rPr>
        <b/>
        <sz val="11"/>
        <rFont val="Times New Roman"/>
        <family val="1"/>
      </rPr>
      <t xml:space="preserve"> Leases</t>
    </r>
    <r>
      <rPr>
        <sz val="11"/>
        <rFont val="Times New Roman"/>
        <family val="1"/>
      </rPr>
      <t xml:space="preserve"> - Amounts associated with lease transactions  (</t>
    </r>
    <r>
      <rPr>
        <b/>
        <u/>
        <sz val="11"/>
        <rFont val="Times New Roman"/>
        <family val="1"/>
      </rPr>
      <t>GASBS No. 87</t>
    </r>
    <r>
      <rPr>
        <sz val="11"/>
        <rFont val="Times New Roman"/>
        <family val="1"/>
      </rPr>
      <t>)</t>
    </r>
  </si>
  <si>
    <r>
      <t>16)</t>
    </r>
    <r>
      <rPr>
        <b/>
        <sz val="11"/>
        <rFont val="Times New Roman"/>
        <family val="1"/>
      </rPr>
      <t xml:space="preserve"> </t>
    </r>
    <r>
      <rPr>
        <b/>
        <sz val="10"/>
        <rFont val="Times New Roman"/>
        <family val="1"/>
      </rPr>
      <t>Leases</t>
    </r>
    <r>
      <rPr>
        <sz val="10"/>
        <rFont val="Times New Roman"/>
        <family val="1"/>
      </rPr>
      <t xml:space="preserve"> - Amounts associated with lease transactions (</t>
    </r>
    <r>
      <rPr>
        <b/>
        <u/>
        <sz val="10"/>
        <rFont val="Times New Roman"/>
        <family val="1"/>
      </rPr>
      <t>GASBS No. 87</t>
    </r>
    <r>
      <rPr>
        <sz val="10"/>
        <rFont val="Times New Roman"/>
        <family val="1"/>
      </rPr>
      <t>)</t>
    </r>
  </si>
  <si>
    <r>
      <t xml:space="preserve">17) </t>
    </r>
    <r>
      <rPr>
        <b/>
        <sz val="10"/>
        <rFont val="Times New Roman"/>
        <family val="1"/>
      </rPr>
      <t>Certain Arrangements Associated with Conduit Debt Obligations</t>
    </r>
    <r>
      <rPr>
        <sz val="10"/>
        <rFont val="Times New Roman"/>
        <family val="1"/>
      </rPr>
      <t>:</t>
    </r>
    <r>
      <rPr>
        <sz val="10"/>
        <color rgb="FF000000"/>
        <rFont val="Times New Roman"/>
        <family val="1"/>
      </rPr>
      <t>  In certain arrangements associated with conduit debt obligations where the issuer retains title to capital asset and third-party obligor has exclusive use of portions of the capital asset (</t>
    </r>
    <r>
      <rPr>
        <b/>
        <u/>
        <sz val="10"/>
        <color rgb="FF000000"/>
        <rFont val="Times New Roman"/>
        <family val="1"/>
      </rPr>
      <t>GASBS No. 91</t>
    </r>
    <r>
      <rPr>
        <sz val="10"/>
        <color rgb="FF000000"/>
        <rFont val="Times New Roman"/>
        <family val="1"/>
      </rPr>
      <t xml:space="preserve"> paragraphs 22 and 23) </t>
    </r>
  </si>
  <si>
    <r>
      <rPr>
        <sz val="10"/>
        <rFont val="Times New Roman"/>
        <family val="1"/>
      </rPr>
      <t>18)</t>
    </r>
    <r>
      <rPr>
        <b/>
        <sz val="10"/>
        <rFont val="Times New Roman"/>
        <family val="1"/>
      </rPr>
      <t xml:space="preserve"> Public-Private and Public-Public Partnerships Arrangements  (PPPs) including Service Concession Arrangements (SCAs)</t>
    </r>
    <r>
      <rPr>
        <sz val="10"/>
        <rFont val="Times New Roman"/>
        <family val="1"/>
      </rPr>
      <t xml:space="preserve"> - Amounts associated with PPPs, including SCAs, when a government is the</t>
    </r>
    <r>
      <rPr>
        <b/>
        <sz val="10"/>
        <rFont val="Times New Roman"/>
        <family val="1"/>
      </rPr>
      <t xml:space="preserve"> transferor</t>
    </r>
    <r>
      <rPr>
        <sz val="10"/>
        <rFont val="Times New Roman"/>
        <family val="1"/>
      </rPr>
      <t xml:space="preserve"> (</t>
    </r>
    <r>
      <rPr>
        <b/>
        <u/>
        <sz val="10"/>
        <rFont val="Times New Roman"/>
        <family val="1"/>
      </rPr>
      <t>GASBS No. 94</t>
    </r>
    <r>
      <rPr>
        <sz val="10"/>
        <rFont val="Times New Roman"/>
        <family val="1"/>
      </rPr>
      <t>)</t>
    </r>
  </si>
  <si>
    <r>
      <rPr>
        <b/>
        <sz val="10"/>
        <rFont val="Times New Roman"/>
        <family val="1"/>
      </rPr>
      <t>Service Concession Arrangements (SCAs)</t>
    </r>
    <r>
      <rPr>
        <sz val="10"/>
        <rFont val="Times New Roman"/>
        <family val="1"/>
      </rPr>
      <t xml:space="preserve">: Does the fund have any PPP arrangements that qualify as an SCA, where the fund is considered the transferor or operator pursuant to </t>
    </r>
    <r>
      <rPr>
        <b/>
        <u/>
        <sz val="10"/>
        <rFont val="Times New Roman"/>
        <family val="1"/>
      </rPr>
      <t>GASBS No. 94</t>
    </r>
    <r>
      <rPr>
        <sz val="10"/>
        <rFont val="Times New Roman"/>
        <family val="1"/>
      </rPr>
      <t xml:space="preserve"> requirements?
</t>
    </r>
    <r>
      <rPr>
        <i/>
        <sz val="10"/>
        <rFont val="Times New Roman"/>
        <family val="1"/>
      </rPr>
      <t>An SCA is a PPP arrangement between a transferor and an operator in which ALL of the following are met:</t>
    </r>
    <r>
      <rPr>
        <sz val="10"/>
        <rFont val="Times New Roman"/>
        <family val="1"/>
      </rPr>
      <t xml:space="preserve">
</t>
    </r>
    <r>
      <rPr>
        <i/>
        <sz val="10"/>
        <rFont val="Times New Roman"/>
        <family val="1"/>
      </rPr>
      <t xml:space="preserve">-the transfer conveys to the operator the right and related obligation to provide public services through the use and operation of an underlying PPP asset in exchange for significant consideration, such as an up-front payment, installment payments, new facility, or improvements to an existing facility
-the operator collects and is compensated by fees from third parties
-the transferor determines or has the ability to modify or approve which services the operator is required to provide, to whom to provide services, and the prices or rates that can be charged
-the transferor is entitled to significant residual interest in the service utility of the underlying PPP asset at the end of the arrangement
</t>
    </r>
    <r>
      <rPr>
        <sz val="10"/>
        <rFont val="Times New Roman"/>
        <family val="1"/>
      </rPr>
      <t xml:space="preserve">If </t>
    </r>
    <r>
      <rPr>
        <b/>
        <sz val="10"/>
        <rFont val="Times New Roman"/>
        <family val="1"/>
      </rPr>
      <t>yes</t>
    </r>
    <r>
      <rPr>
        <sz val="10"/>
        <rFont val="Times New Roman"/>
        <family val="1"/>
      </rPr>
      <t>, please provide the following information for all arrangements: general description, operator or transferor, installment payments, upfront payments, information relating to asset (new, existing, being constructed),  and any other information as deemed necessary.</t>
    </r>
  </si>
  <si>
    <r>
      <t>Amortization (</t>
    </r>
    <r>
      <rPr>
        <b/>
        <u/>
        <sz val="9"/>
        <rFont val="Times New Roman"/>
        <family val="1"/>
      </rPr>
      <t>GASBS No. 87</t>
    </r>
    <r>
      <rPr>
        <sz val="9"/>
        <rFont val="Times New Roman"/>
        <family val="1"/>
      </rPr>
      <t xml:space="preserve"> lease right-to-use intangible assets and </t>
    </r>
    <r>
      <rPr>
        <b/>
        <u/>
        <sz val="9"/>
        <rFont val="Times New Roman"/>
        <family val="1"/>
      </rPr>
      <t>GASBS No. 96</t>
    </r>
    <r>
      <rPr>
        <sz val="9"/>
        <rFont val="Times New Roman"/>
        <family val="1"/>
      </rPr>
      <t xml:space="preserve"> SBITA assets)</t>
    </r>
  </si>
  <si>
    <t>Note:</t>
  </si>
  <si>
    <t xml:space="preserve">Nondepreciable Capital Assets: </t>
  </si>
  <si>
    <r>
      <t>Answer the following questions.  (</t>
    </r>
    <r>
      <rPr>
        <b/>
        <u/>
        <sz val="11"/>
        <rFont val="Times New Roman"/>
        <family val="1"/>
      </rPr>
      <t>Note</t>
    </r>
    <r>
      <rPr>
        <sz val="11"/>
        <rFont val="Times New Roman"/>
        <family val="1"/>
      </rPr>
      <t xml:space="preserve">:  DOA may request additional information based on the answers provided.)  For additional preparation guidance, refer to the </t>
    </r>
    <r>
      <rPr>
        <b/>
        <sz val="11"/>
        <color indexed="12"/>
        <rFont val="Times New Roman"/>
        <family val="1"/>
      </rPr>
      <t>Authoritative Literature / Guidance for Preparation of GAAP Basis Fund Financial Statement Templates and CAPP Manual Topic No. 30325, Software and Other Intangible Assets</t>
    </r>
    <r>
      <rPr>
        <sz val="11"/>
        <rFont val="Times New Roman"/>
        <family val="1"/>
      </rPr>
      <t xml:space="preserve">, on DOA’s website at </t>
    </r>
    <r>
      <rPr>
        <b/>
        <u/>
        <sz val="11"/>
        <color indexed="12"/>
        <rFont val="Times New Roman"/>
        <family val="1"/>
      </rPr>
      <t>www.doa.virginia.gov</t>
    </r>
    <r>
      <rPr>
        <sz val="11"/>
        <rFont val="Times New Roman"/>
        <family val="1"/>
      </rPr>
      <t xml:space="preserve"> for additional information.
</t>
    </r>
    <r>
      <rPr>
        <b/>
        <u/>
        <sz val="11"/>
        <rFont val="Times New Roman"/>
        <family val="1"/>
      </rPr>
      <t>Note</t>
    </r>
    <r>
      <rPr>
        <sz val="11"/>
        <rFont val="Times New Roman"/>
        <family val="1"/>
      </rPr>
      <t>:  The questions below are only for intangible assets addressed in</t>
    </r>
    <r>
      <rPr>
        <b/>
        <u/>
        <sz val="11"/>
        <rFont val="Times New Roman"/>
        <family val="1"/>
      </rPr>
      <t xml:space="preserve"> GASBS No. 51</t>
    </r>
    <r>
      <rPr>
        <sz val="11"/>
        <rFont val="Times New Roman"/>
        <family val="1"/>
      </rPr>
      <t xml:space="preserve"> and do not include intangible right-to-use assets addressed in </t>
    </r>
    <r>
      <rPr>
        <b/>
        <u/>
        <sz val="11"/>
        <rFont val="Times New Roman"/>
        <family val="1"/>
      </rPr>
      <t>GASBS No. 87</t>
    </r>
    <r>
      <rPr>
        <sz val="11"/>
        <rFont val="Times New Roman"/>
        <family val="1"/>
      </rPr>
      <t xml:space="preserve">, </t>
    </r>
    <r>
      <rPr>
        <i/>
        <sz val="11"/>
        <rFont val="Times New Roman"/>
        <family val="1"/>
      </rPr>
      <t>Leases</t>
    </r>
    <r>
      <rPr>
        <sz val="11"/>
        <rFont val="Times New Roman"/>
        <family val="1"/>
      </rPr>
      <t xml:space="preserve">, </t>
    </r>
    <r>
      <rPr>
        <b/>
        <u/>
        <sz val="11"/>
        <rFont val="Times New Roman"/>
        <family val="1"/>
      </rPr>
      <t>GASBS No. 94</t>
    </r>
    <r>
      <rPr>
        <sz val="11"/>
        <rFont val="Times New Roman"/>
        <family val="1"/>
      </rPr>
      <t xml:space="preserve">, </t>
    </r>
    <r>
      <rPr>
        <i/>
        <sz val="11"/>
        <rFont val="Times New Roman"/>
        <family val="1"/>
      </rPr>
      <t>Public-Private and Public-Public Partnerships and Availability Payment Arrangements</t>
    </r>
    <r>
      <rPr>
        <sz val="11"/>
        <rFont val="Times New Roman"/>
        <family val="1"/>
      </rPr>
      <t xml:space="preserve">,  and </t>
    </r>
    <r>
      <rPr>
        <b/>
        <u/>
        <sz val="11"/>
        <rFont val="Times New Roman"/>
        <family val="1"/>
      </rPr>
      <t>GASBS No. 96</t>
    </r>
    <r>
      <rPr>
        <sz val="11"/>
        <rFont val="Times New Roman"/>
        <family val="1"/>
      </rPr>
      <t xml:space="preserve">, </t>
    </r>
    <r>
      <rPr>
        <i/>
        <sz val="11"/>
        <rFont val="Times New Roman"/>
        <family val="1"/>
      </rPr>
      <t>Subscription-Based Information Technology Arrangements</t>
    </r>
    <r>
      <rPr>
        <sz val="11"/>
        <rFont val="Times New Roman"/>
        <family val="1"/>
      </rPr>
      <t xml:space="preserve">.  In addition, </t>
    </r>
    <r>
      <rPr>
        <b/>
        <u/>
        <sz val="11"/>
        <rFont val="Times New Roman"/>
        <family val="1"/>
      </rPr>
      <t>GASBS No. 96</t>
    </r>
    <r>
      <rPr>
        <sz val="11"/>
        <rFont val="Times New Roman"/>
        <family val="1"/>
      </rPr>
      <t xml:space="preserve"> superseded Implementation Guide 2015-1 question 51.21 regarding multi-year licensing agreements.</t>
    </r>
  </si>
  <si>
    <r>
      <t xml:space="preserve">Does the fund have any pledged collateral for any </t>
    </r>
    <r>
      <rPr>
        <b/>
        <u/>
        <sz val="11"/>
        <rFont val="Times New Roman"/>
        <family val="1"/>
      </rPr>
      <t>GASBS No. 87</t>
    </r>
    <r>
      <rPr>
        <sz val="11"/>
        <rFont val="Times New Roman"/>
        <family val="1"/>
      </rPr>
      <t xml:space="preserve"> lease other than the underlying leased asset?
If </t>
    </r>
    <r>
      <rPr>
        <b/>
        <sz val="11"/>
        <rFont val="Times New Roman"/>
        <family val="1"/>
      </rPr>
      <t>yes</t>
    </r>
    <r>
      <rPr>
        <sz val="11"/>
        <rFont val="Times New Roman"/>
        <family val="1"/>
      </rPr>
      <t>, provide the description of the collateral.</t>
    </r>
  </si>
  <si>
    <r>
      <rPr>
        <b/>
        <sz val="10"/>
        <color theme="1"/>
        <rFont val="Times New Roman"/>
        <family val="1"/>
      </rPr>
      <t>Public-Private and Public-Public Partnerships (PPPs)</t>
    </r>
    <r>
      <rPr>
        <sz val="10"/>
        <color theme="1"/>
        <rFont val="Times New Roman"/>
        <family val="1"/>
      </rPr>
      <t xml:space="preserve">: Does the fund have any arrangements in place as the operator or transferor that qualify as a PPP pursuant to </t>
    </r>
    <r>
      <rPr>
        <b/>
        <u/>
        <sz val="10"/>
        <color theme="1"/>
        <rFont val="Times New Roman"/>
        <family val="1"/>
      </rPr>
      <t>GASBS No. 94</t>
    </r>
    <r>
      <rPr>
        <sz val="10"/>
        <color theme="1"/>
        <rFont val="Times New Roman"/>
        <family val="1"/>
      </rPr>
      <t xml:space="preserve"> requirements?  
</t>
    </r>
    <r>
      <rPr>
        <i/>
        <sz val="10"/>
        <color theme="1"/>
        <rFont val="Times New Roman"/>
        <family val="1"/>
      </rPr>
      <t xml:space="preserve">A PPP arrangement is when the transferor (a government) has contracted with an operator (nongovernmental or governmental entity) to provide public services by conveying to the operator control of the right to operate or use a nonfinancial asset , such as infrastructure or other capital asset (underlying PPP asset), for a period of time in an exchange or exchange-like transaction. </t>
    </r>
    <r>
      <rPr>
        <sz val="10"/>
        <color theme="1"/>
        <rFont val="Times New Roman"/>
        <family val="1"/>
      </rPr>
      <t xml:space="preserve">
If </t>
    </r>
    <r>
      <rPr>
        <b/>
        <sz val="10"/>
        <color theme="1"/>
        <rFont val="Times New Roman"/>
        <family val="1"/>
      </rPr>
      <t>yes</t>
    </r>
    <r>
      <rPr>
        <sz val="10"/>
        <color theme="1"/>
        <rFont val="Times New Roman"/>
        <family val="1"/>
      </rPr>
      <t>, please complete questions 19b-d.  DOA will reach out as necessary for additional information.</t>
    </r>
  </si>
  <si>
    <r>
      <rPr>
        <b/>
        <sz val="10"/>
        <rFont val="Times New Roman"/>
        <family val="1"/>
      </rPr>
      <t>Leases</t>
    </r>
    <r>
      <rPr>
        <sz val="10"/>
        <rFont val="Times New Roman"/>
        <family val="1"/>
      </rPr>
      <t xml:space="preserve">: Does the fund have any PPP arrangements that meet the definition of a lease pursuant to </t>
    </r>
    <r>
      <rPr>
        <b/>
        <u/>
        <sz val="10"/>
        <rFont val="Times New Roman"/>
        <family val="1"/>
      </rPr>
      <t>GASBS No. 87</t>
    </r>
    <r>
      <rPr>
        <sz val="10"/>
        <rFont val="Times New Roman"/>
        <family val="1"/>
      </rPr>
      <t xml:space="preserve">, </t>
    </r>
    <r>
      <rPr>
        <i/>
        <sz val="10"/>
        <rFont val="Times New Roman"/>
        <family val="1"/>
      </rPr>
      <t>Leases</t>
    </r>
    <r>
      <rPr>
        <sz val="10"/>
        <rFont val="Times New Roman"/>
        <family val="1"/>
      </rPr>
      <t xml:space="preserve"> and meets the following criteria, pursuant to </t>
    </r>
    <r>
      <rPr>
        <b/>
        <u/>
        <sz val="10"/>
        <rFont val="Times New Roman"/>
        <family val="1"/>
      </rPr>
      <t>GASBS No. 94</t>
    </r>
    <r>
      <rPr>
        <sz val="10"/>
        <rFont val="Times New Roman"/>
        <family val="1"/>
      </rPr>
      <t xml:space="preserve">?
</t>
    </r>
    <r>
      <rPr>
        <i/>
        <sz val="10"/>
        <rFont val="Times New Roman"/>
        <family val="1"/>
      </rPr>
      <t xml:space="preserve">-existing assets of the transferor are the only underlying PPP assets
-improvements are not required to be made by the operator to the underlying PPP asset
-the PPP does NOT meet the definition of an SCA (question 19b above)
</t>
    </r>
    <r>
      <rPr>
        <sz val="10"/>
        <rFont val="Times New Roman"/>
        <family val="1"/>
      </rPr>
      <t xml:space="preserve">If </t>
    </r>
    <r>
      <rPr>
        <b/>
        <sz val="10"/>
        <rFont val="Times New Roman"/>
        <family val="1"/>
      </rPr>
      <t>yes</t>
    </r>
    <r>
      <rPr>
        <sz val="10"/>
        <rFont val="Times New Roman"/>
        <family val="1"/>
      </rPr>
      <t xml:space="preserve">, please follow all lease reporting requirements per </t>
    </r>
    <r>
      <rPr>
        <b/>
        <u/>
        <sz val="10"/>
        <rFont val="Times New Roman"/>
        <family val="1"/>
      </rPr>
      <t>GASB No.87</t>
    </r>
    <r>
      <rPr>
        <sz val="10"/>
        <rFont val="Times New Roman"/>
        <family val="1"/>
      </rPr>
      <t xml:space="preserve">.  </t>
    </r>
  </si>
  <si>
    <t>Cannabis Control</t>
  </si>
  <si>
    <r>
      <t xml:space="preserve">If </t>
    </r>
    <r>
      <rPr>
        <b/>
        <sz val="11"/>
        <rFont val="Times New Roman"/>
        <family val="1"/>
      </rPr>
      <t>yes</t>
    </r>
    <r>
      <rPr>
        <sz val="11"/>
        <rFont val="Times New Roman"/>
        <family val="1"/>
      </rPr>
      <t>, please provide amounts and description.</t>
    </r>
  </si>
  <si>
    <t>For the Year Ended June 30, 2024</t>
  </si>
  <si>
    <t>Balance
June 30, 2024</t>
  </si>
  <si>
    <t>Balance June 30, 2024</t>
  </si>
  <si>
    <t>Provide the earliest issuance date for bonds outstanding at June 30, 2024</t>
  </si>
  <si>
    <t>Provide the most recent issuance date for bonds outstanding at June 30, 2024</t>
  </si>
  <si>
    <t>Provide the lowest interest rate applicable to bonds outstanding at June 30, 2024</t>
  </si>
  <si>
    <t>Provide the highest interest rate applicable to bonds outstanding at June 30, 2024</t>
  </si>
  <si>
    <t>Does the fund have any demand bonds outstanding as of June 30, 2024?</t>
  </si>
  <si>
    <t>Are any changes to the above wording required as of June 30, 2024?</t>
  </si>
  <si>
    <r>
      <t>Portion of Total Receivables To be Collected After</t>
    </r>
    <r>
      <rPr>
        <b/>
        <sz val="8"/>
        <rFont val="Times New Roman"/>
        <family val="1"/>
      </rPr>
      <t xml:space="preserve"> June 30, 2025</t>
    </r>
  </si>
  <si>
    <t>July 1, 2023</t>
  </si>
  <si>
    <t>June 30, 2024</t>
  </si>
  <si>
    <t>Balance
July 1, 2023</t>
  </si>
  <si>
    <t>Balance  July 1, 2023 (linked)</t>
  </si>
  <si>
    <t>2030-2034</t>
  </si>
  <si>
    <t>2040-2044</t>
  </si>
  <si>
    <t>2035-2039</t>
  </si>
  <si>
    <t>2045-2049</t>
  </si>
  <si>
    <t>2050-2054</t>
  </si>
  <si>
    <t>2055-2059</t>
  </si>
  <si>
    <t>2060-2064</t>
  </si>
  <si>
    <t>2065-2069</t>
  </si>
  <si>
    <t>2070-2074</t>
  </si>
  <si>
    <r>
      <t xml:space="preserve">Does the fund have any callable bonds outstanding as of June 30, 2024 that are callable by the creditor because there has been a violation of a provision of the debt agreement as of year-end or because the violation, if not cured within a specified grace period, will make the bonds callable (see </t>
    </r>
    <r>
      <rPr>
        <b/>
        <u/>
        <sz val="10"/>
        <rFont val="Times New Roman"/>
        <family val="1"/>
      </rPr>
      <t>GASBS No. 62</t>
    </r>
    <r>
      <rPr>
        <sz val="10"/>
        <rFont val="Times New Roman"/>
        <family val="1"/>
      </rPr>
      <t xml:space="preserve"> paragraph 34)? </t>
    </r>
  </si>
  <si>
    <t>Does the fund have any construction or other commitment contracts that aggregate to $5 million or more, as of June 30,2024? 
If yes, please provide contractually obligated and non-contractually obligated amounts separately and provide the total amount of those commitments below.
Note: Please do not include any amounts that are reported on the Statement of Net Position.</t>
  </si>
  <si>
    <t xml:space="preserve">Does the fund have any short-term leases that should be disclosed as Off-Balance Sheet obligations for FY 2024?  For Off-balance sheet obligation purposes, short-term leases are leases that have a calculated asset value of less than $50,000 or a lease period of 12 months or less, including all renewal options regardless of the likelihood of the options being exercised.
If yes, please provide the total present value lease obligation in aggregate for all short-term leases below.  </t>
  </si>
  <si>
    <t>Did the fund have any leases with a present value of $50,000 or greater that the fund has committed to at June 30, 2024 that are NOT included on Tab 5 as long-term liability because the lease term did not start during FY 2024?
If yes, provide a description and amounts of any lease commitments with a present value of $50,000 or greater for leases that have been committed to where the initial payment did not start during FY 2024.</t>
  </si>
  <si>
    <t xml:space="preserve">Does the fund have any short-term subscription-based information technology arrangements that should be disclosed as Off-Balance Sheet obligations for FY 2024?  For Off-balance sheet obligation purposes, short-term subscription-based information technology arrangements are subscriptions that have a calculated asset value of less than $5,000 or a subscription period of 12 months or less, including all renewal options regardless of the likelihood of the options being exercised.
If yes, please provide the total present value subscription obligation in aggregate for all short-term subscriptions below.  </t>
  </si>
  <si>
    <t>Did the fund have any subscription-based information technology arrangements with a present value of $5,000 or greater that the fund has committed to at June 30, 2024 that are NOT included on Tab 5 as a long-term liability because the subscription term did not start during FY 2024?
If yes, provide a description and amounts of any subscription commitments with a present value of $5,000 or greater for subscriptions that have been committed to where the initial payment did not start during FY 2024.</t>
  </si>
  <si>
    <t xml:space="preserve">Did the enterprise fund receive any donated commodities during fiscal year 2024 for which it had physical custody and for which it distributed or will distribute the inventory? </t>
  </si>
  <si>
    <t>After June 30, but before financial statements are issued, information may become available indicating that an asset was impaired or a material liability was incurred.  Adjustments to financial statements to reflect this information are required for amounts relating to conditions existing as of June 30, 2024.  An example of an adjustment is a loss on a trade receivable, which is confirmed by the bankruptcy of a customer.  Disclosure is necessary for events that do not relate to conditions at the balance sheet date, but make the financial statements misleading.  This disclosure should indicate the nature of the loss or loss contingency and give an estimate of the amount, or range, of loss or possible loss, or state that such an estimate cannot be made.  An example of a subsequent event requiring disclosure would be the issuance of long-term debt after the balance sheet date but before the statements were issued.</t>
  </si>
  <si>
    <t>Are there any voluntary termination benefits and / or involuntary termination benefits as of June 30, 2024 that must be recognized in accordance with this statement (i.e. early-retirement incentives, severance benefits, and other termination benefits)?  Note:  GASBS No. 47 excludes postemployment benefits (pensions &amp; OPEB), which are part of the compensation that employers offer in exchange for services received or unemployment compensation.</t>
  </si>
  <si>
    <t>Liability $ Amount as of June 30, 2024</t>
  </si>
  <si>
    <t xml:space="preserve">Significant Effect on Net Position for FY 2024:  If the answer to any items listed in Parts 13a and/or 13b is yes, is the difference between the deferred outflows of resources or the deferred inflows of resources and the balance of the related asset or liability significant?  If yes, provide an explanation of the effect on net position (i.e., net investment in capital assets, restricted net position, and/or unrestricted net position) as required by GASBS No. 63 paragraph 14. 
</t>
  </si>
  <si>
    <t>Fair Value:  Does the fund have items that are reported at fair value in accordance with GASBS No. 72 for FY 2024?</t>
  </si>
  <si>
    <t xml:space="preserve">Asset Retirement Obligations (ARO): Does the fund have asset retirement obligations that must be reported in accordance with this statement as of June 30, 2024?
If yes, provide the description, line item, and necessary disclosures. </t>
  </si>
  <si>
    <t>Does the fund have unused lines of credit external to the Commonwealth as of June 30, 2024?
Note: Do not include lines of credit with the Department of Treasury.</t>
  </si>
  <si>
    <t>Does the fund have assets pledged as collateral for debt as of June 30, 2024?</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</si>
  <si>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</si>
  <si>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</si>
  <si>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</si>
  <si>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</si>
  <si>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</si>
  <si>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</si>
  <si>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</si>
  <si>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</si>
  <si>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</si>
  <si>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</si>
  <si>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</si>
  <si>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</si>
  <si>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</si>
  <si>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</si>
  <si>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</si>
  <si>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</si>
  <si>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</si>
  <si>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</si>
  <si>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</si>
  <si>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</si>
  <si>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</si>
  <si>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</si>
  <si>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</si>
  <si>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</si>
  <si>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</si>
  <si>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</si>
  <si>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</si>
  <si>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</si>
  <si>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</si>
  <si>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</si>
  <si>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</si>
  <si>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</si>
  <si>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</si>
  <si>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</si>
  <si>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</si>
  <si>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</si>
  <si>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</si>
  <si>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</si>
  <si>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</si>
  <si>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</si>
  <si>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</si>
  <si>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</si>
  <si>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</si>
  <si>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</si>
  <si>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</si>
  <si>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</si>
  <si>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</si>
  <si>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</si>
  <si>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</si>
  <si>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</si>
  <si>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</si>
  <si>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</si>
  <si>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</si>
  <si>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</si>
  <si>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</si>
  <si>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</si>
  <si>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</si>
  <si>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</si>
  <si>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</si>
  <si>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</si>
  <si>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</si>
  <si>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</si>
  <si>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</si>
  <si>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</si>
  <si>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</si>
  <si>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</si>
  <si>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</si>
  <si>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</si>
  <si>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</si>
  <si>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</si>
  <si>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</si>
  <si>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</si>
  <si>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</si>
  <si>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</si>
  <si>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</si>
  <si>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</si>
  <si>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</si>
  <si>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</si>
  <si>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</si>
  <si>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</si>
  <si>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</si>
  <si>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</si>
  <si>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</si>
  <si>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</si>
  <si>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</si>
  <si>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</si>
  <si>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</si>
  <si>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r>
      <rPr>
        <b/>
        <u/>
        <sz val="10"/>
        <rFont val="Times New Roman"/>
        <family val="1"/>
      </rPr>
      <t>GASBS No. 100</t>
    </r>
    <r>
      <rPr>
        <sz val="10"/>
        <rFont val="Times New Roman"/>
        <family val="1"/>
      </rPr>
      <t xml:space="preserve">, </t>
    </r>
    <r>
      <rPr>
        <i/>
        <sz val="10"/>
        <rFont val="Times New Roman"/>
        <family val="1"/>
      </rPr>
      <t>Accounting Changes and Error Corrections</t>
    </r>
    <r>
      <rPr>
        <sz val="10"/>
        <rFont val="Times New Roman"/>
        <family val="1"/>
      </rPr>
      <t>. (Note: DOA may request additional information in a separate communication.)</t>
    </r>
  </si>
  <si>
    <t>Cayman Islands</t>
  </si>
  <si>
    <t>Chinese RMB</t>
  </si>
  <si>
    <t>Dominican Republic Peso</t>
  </si>
  <si>
    <t>United Arab Emirates Dollar</t>
  </si>
  <si>
    <t>Uruguayan Peso</t>
  </si>
  <si>
    <t>Ohter Capital Assets</t>
  </si>
  <si>
    <t>1. To correct Due to DHRM, Due to External Parties, and Payables related to the Lag Pay program.
Due to External Parties                       533
        A/P - Salaries                                    533
Cash Flow Impact:
Increase in A/P              2,536
Decrease in Due to External Parties (2,536)
2. To correct ABC's OPEB HIC Special Funding. ABC reduced expenses instead of recognizing a non-operating revenue. 
Personal Services Expenses              3,670,823
        Other Non-Operating Revenue                3,670,823
Cash Flow Impact:
Increase in Miscellaneous Non-Operating Income             3,670,823
3. To remove NOL Non Operating Revenue activity from Accounts Payable to Cash Flow. Cash Flow Only:
Increase in A/P                            196,023
Decrease Other (Net Cash Used by Operating Activities)                (196,023)</t>
  </si>
  <si>
    <t>1. To correct Due to DHRM, Due to External Parties, and Payables related to the Lag Pay Program.
Due to Other funds DHRM              10,248
A/P - Vendors                                  6,874
           Due to External Parties                      2,408
           A/P - Salaries                                  14,714
Cash Flow Impact: 
Increase in A/P                                                                    7,840
Decrease in Due to Other Funds                                     (10,248)
Increase in Due to External Parties (Fiduciary Funds)        2,408</t>
  </si>
  <si>
    <r>
      <rPr>
        <sz val="10"/>
        <rFont val="Arial"/>
        <family val="2"/>
      </rPr>
      <t xml:space="preserve">1. To correct Due to DHRM, Due to External Parties, and Payables related to the Lag Pay Program.   </t>
    </r>
    <r>
      <rPr>
        <b/>
        <sz val="10"/>
        <rFont val="Arial"/>
        <family val="2"/>
      </rPr>
      <t xml:space="preserve">            </t>
    </r>
    <r>
      <rPr>
        <b/>
        <u/>
        <sz val="10"/>
        <rFont val="Arial"/>
        <family val="2"/>
      </rPr>
      <t xml:space="preserve">
</t>
    </r>
    <r>
      <rPr>
        <sz val="10"/>
        <rFont val="Arial"/>
        <family val="2"/>
      </rPr>
      <t>Due to Other State Agencies                61,543
Due to External Parties                           3,509
         A/P - Salaries                                         65,052  
Cash Flow Impact:
Increase in A/P                                        65,052    
Decrease in Due to External Parties        (3,509) 
Decrease Due to Other Funds              (61,543)                    
2. To reclass a negative Other Operating Revenue to Other Operating Expense on the Cash Flow Part 1.
Cash Flow Only:
Increase in Other Operating Revenue               7,182
Decrease in OHter Operating Expense            (7,182)</t>
    </r>
  </si>
  <si>
    <t xml:space="preserve">1. To correct Due to DHRM, Due to External Parties, and Payables related to the Lag Pay program.
Due to Other Funds - DHRM              7,983
Due to External Parties                      1,844        
        A/P - Salaries                                       9,827
Cash Flow Impact:
Increase in A/P - Salaries                    9,827
Decrease in Due to Other Funds        (7,983)
Decrease in Due to External Parties   (1,844)
</t>
  </si>
  <si>
    <t>1. To Adjust LODA's Securities Lending Entry to agree to the Securities Lending Program
Income from Securities Lending              527
         Expenses from Securities Lending          527</t>
  </si>
  <si>
    <t>1. To correct Due to DHRM, Due to External Parties, and Payables related to the Lag Pay Program                       
Salaries/Wages Payable                                 426,813
         Due to Other State Agencies/Funds                  171,458                              
         Due to External Parties (Fid. funds)                    255,355                  
Cash Flow Impact:
Decrease in Accounts Payapble       (18,915)
Increase in Due to External Parties      21,393 
Decrease in Due to Other Funds         (2,478)
2. To reclass a negative Expenses
Rent, Insurance, and Other Related Charges            3,419,553
       Contractual Services                                                       3,419,553
3. To correct Restricted Net position for VSDP
Restricted for net Other Postemployment Benefit - VSDP        156,713
         Unrestricted                                                                                156,713
4. To correct net investment to net position
Unrestricted                                      53,000
               Net Investment in Capital Assets       53,000</t>
  </si>
  <si>
    <t xml:space="preserve">1. To adjust the Vendor Payable to fix prior year's cash flow issues. 
Cash Flow Impact:
Decrease in A/P  (1,664)
Increase in Due to External Parties    1,664
2.  To correct prior year cash flow errors (Cash Flow Part 2):
Increase in Compensated Absences Due Greater Than One Year             24,000
Decrease in Compensated Absences Due Within One Year                       (6,000)
Increase in A/P                                                                                               6,000                                                          
decrease in Due to Other Funds                                                                 (24,000)
3. To reclass Due to Other Funds and External Parties from Salaries Payable in order for Due to DHRM to agree to the Lag Pay Program.
A/P - Salaries                              3,124
         Due to External Parties                3,124
Cash Flow Impact:
Decrease in A/P                (3,124)
Increase in Due to External Parties   3,124 </t>
  </si>
  <si>
    <t>1. To correct Due to DHRM, Due to External Parties, and Payables related to the Lag Pay Program.
A/P - Vendors                                       8,666
Due to Other Funds DHRM                   9,206
              Due to External Parties                     2,187
             A/P Salaries                                     15,685
Cash Flow Impact:
Increase in A/P                                                                      7,019
Decrease in Due to Other Funds                                         (9,206)
Increase in Due to External Parties (Fiduciary Funds)          2,187</t>
  </si>
  <si>
    <t xml:space="preserve">1. To correct Lag Pay to agree to the Lag Pay program.
Due to Fiduciary Funds       434
           A/P Salaries/Wages                    434
Cash Flow Impact:
Decrease in A/P                                                   (834)
Increase in Due to Fiduciary Funds  Decrease     834
</t>
  </si>
  <si>
    <t xml:space="preserve">
N/A</t>
  </si>
  <si>
    <t xml:space="preserve">1. To correct Due to DHRM, Due to External Parties, and Payables related to the Lag Pay Program   
Due to Other State Agencies/Funds           33,121
A/P - Salaries / Wages                                    934     
       Due to External Parties                                     34,055                                 
Cash Flow Impact
Decrease in A/P                                        (934)
Decrease in Due to Other Funds         (33,121)
Increase in Due to External Parties       34,055
2. To adjust VSDP OPEB Restricted Net Position amounts.
Restricted Net Position - VSDP                259,991     
      Unrestricted Net Position                                  259,991
3. To move S/L revenue from operating Interest to Non-operating Income from S/L Transactions
Interest, Dividends, Rents and Other Investment Income        33,506 
     Income From Security Lending Transaction                                    33,506
Cash Flow Impact:
Increase Interest, Dividends, Rents and Other Investment Income         33,506
4. To reverse prior year's cash flow adjustment. 
Cash Flow Impact: 
Decease in Miscellaneous Non-Operating Income                       (55,057)
Increase in Net OPEB LIablity Due Greater than One Year            55,057
</t>
  </si>
  <si>
    <t>1. To adjust E-911's Securities Lending Entry to agree to the Securities Lending Program.
 Income from Securities Lending              7,160
        Expenses from Securities Lending           7,160
2. To correct Due to DHRM, Due to External Parties, and Payables related to the Lag Pay Program.
A/P Vendors                                         2,260
Due to Other funds DHRM                    1,859
            Due to External Parties                           532
            A/P Salaries                                         3,587
Cash Flow Impact
Increase in A/P                                                                           1,327
Decrease in Due to Other Funds                                              (1,859)
Increase in Due to External Parties (Fiduciary Funds)                  532
3. To Correct Net Investment Net Position.
Unrestricted                                       110,000
         Net Investment in Capital Assets               110,000</t>
  </si>
  <si>
    <t>TAB 1A-Parts 6-11, 1B, &amp; 1C</t>
  </si>
  <si>
    <t>If yes, provide a description of the demand bonds and outstanding balance as of June 30, 2024.    DOA may request additional information in a separate communication to obtain certain information/disclosures described in GASB Interpretation 1.
Note:  Per GASB Interpretation 1 paragraph 2, demand bonds are debt issuances that have demand (“put”) provisions as one of their features.  The demand provisions give the bondholder the right to require the issuer or its agent to redeem the bonds within a certain period after giving notice.   Demand bonds must be considered a current liability if all criteria in GASB  Interpretation 1 paragraph 10 are not met.</t>
  </si>
  <si>
    <r>
      <t xml:space="preserve">Derivative Instruments as of June 30, 2024 - Did the fund have any derivative instruments during FY 2024 as defined in </t>
    </r>
    <r>
      <rPr>
        <b/>
        <u/>
        <sz val="11"/>
        <rFont val="Times New Roman"/>
        <family val="1"/>
      </rPr>
      <t>GASBS No. 53</t>
    </r>
    <r>
      <rPr>
        <sz val="11"/>
        <rFont val="Times New Roman"/>
        <family val="1"/>
      </rPr>
      <t>?  
If yes, DOA will provide a separate communication.</t>
    </r>
  </si>
  <si>
    <t>Explanations for Restatement:</t>
  </si>
  <si>
    <t>Type of Restatement</t>
  </si>
  <si>
    <r>
      <t xml:space="preserve">Per </t>
    </r>
    <r>
      <rPr>
        <b/>
        <strike/>
        <u/>
        <sz val="10"/>
        <rFont val="Times New Roman"/>
        <family val="1"/>
      </rPr>
      <t>GASBS No. 53</t>
    </r>
    <r>
      <rPr>
        <b/>
        <strike/>
        <sz val="10"/>
        <rFont val="Times New Roman"/>
        <family val="1"/>
      </rPr>
      <t>, derivative instruments</t>
    </r>
    <r>
      <rPr>
        <strike/>
        <sz val="10"/>
        <rFont val="Times New Roman"/>
        <family val="1"/>
      </rPr>
      <t xml:space="preserve"> should be measured at fair value, except for fully benefit responsive-SGICs, which should be measured at contract value.  The derivative instrument classification depends on whether the derivative instrument represents assets or liabilities.  If the fund does not have a line item that properly classifies the derivative instrument, contact DOA for additional information. </t>
    </r>
    <r>
      <rPr>
        <b/>
        <strike/>
        <u/>
        <sz val="10"/>
        <rFont val="Times New Roman"/>
        <family val="1"/>
      </rPr>
      <t>GASBS No. 72</t>
    </r>
    <r>
      <rPr>
        <strike/>
        <sz val="10"/>
        <rFont val="Times New Roman"/>
        <family val="1"/>
      </rPr>
      <t xml:space="preserve"> amended </t>
    </r>
    <r>
      <rPr>
        <b/>
        <strike/>
        <u/>
        <sz val="10"/>
        <rFont val="Times New Roman"/>
        <family val="1"/>
      </rPr>
      <t>GASBS No. 53</t>
    </r>
    <r>
      <rPr>
        <strike/>
        <sz val="10"/>
        <rFont val="Times New Roman"/>
        <family val="1"/>
      </rPr>
      <t xml:space="preserve"> and requires fair value to be determined consistent with the requirements of </t>
    </r>
    <r>
      <rPr>
        <b/>
        <strike/>
        <u/>
        <sz val="10"/>
        <rFont val="Times New Roman"/>
        <family val="1"/>
      </rPr>
      <t>GASBS No. 72</t>
    </r>
    <r>
      <rPr>
        <strike/>
        <sz val="10"/>
        <rFont val="Times New Roman"/>
        <family val="1"/>
      </rPr>
      <t>.</t>
    </r>
  </si>
  <si>
    <r>
      <t>Change in fair values:  hedging derivative instrument - effective hedge</t>
    </r>
    <r>
      <rPr>
        <strike/>
        <sz val="10"/>
        <rFont val="Times New Roman"/>
        <family val="1"/>
      </rPr>
      <t>:   The "Deferred Outflows of Resources" and the  "Deferred Inflows of Resources" template line items are to report the change in fair values of hedging derivative instruments - effective hedges.</t>
    </r>
  </si>
  <si>
    <r>
      <t>Change in fair values:  investment derivative instrument - ineffective hedge &amp; investment derivative instrument -</t>
    </r>
    <r>
      <rPr>
        <strike/>
        <sz val="10"/>
        <rFont val="Times New Roman"/>
        <family val="1"/>
      </rPr>
      <t xml:space="preserve"> a) held primarily for the purpose of income or profit, and b) has a present service capacity based solely on its ability to generate cash.</t>
    </r>
  </si>
  <si>
    <r>
      <t xml:space="preserve">TAB 5-Part 1 &amp; </t>
    </r>
    <r>
      <rPr>
        <b/>
        <u/>
        <sz val="9"/>
        <color rgb="FFFF6600"/>
        <rFont val="Times New Roman"/>
        <family val="1"/>
      </rPr>
      <t>GASBS 75</t>
    </r>
    <r>
      <rPr>
        <sz val="9"/>
        <color indexed="53"/>
        <rFont val="Times New Roman"/>
        <family val="1"/>
      </rPr>
      <t xml:space="preserve"> submission</t>
    </r>
  </si>
  <si>
    <r>
      <t xml:space="preserve">TAB 5-Part 1 &amp; </t>
    </r>
    <r>
      <rPr>
        <b/>
        <u/>
        <sz val="9"/>
        <color rgb="FFFF6600"/>
        <rFont val="Times New Roman"/>
        <family val="1"/>
      </rPr>
      <t>GASBS 68</t>
    </r>
    <r>
      <rPr>
        <sz val="9"/>
        <color indexed="53"/>
        <rFont val="Times New Roman"/>
        <family val="1"/>
      </rPr>
      <t xml:space="preserve"> submission</t>
    </r>
  </si>
  <si>
    <t>Educational Benefits Expense (VCSP)</t>
  </si>
  <si>
    <t>Payments for Educational Benefits (VCSP)</t>
  </si>
  <si>
    <t xml:space="preserve">Brazilian Real </t>
  </si>
  <si>
    <t xml:space="preserve">Estonian Kroon </t>
  </si>
  <si>
    <t xml:space="preserve">Pakistani Rupee </t>
  </si>
  <si>
    <r>
      <t xml:space="preserve">Other non-lease and non-SBITA capital assets are depreciated on the straight-line basis over their useful lives.  Capital assets are stated at historical cost, or in some instances, estimated historical cost.  Donated capital assets received prior to fiscal year 2016 are stated at fair market value at the time of donation.  Pursuant to </t>
    </r>
    <r>
      <rPr>
        <b/>
        <u/>
        <sz val="8"/>
        <rFont val="Times New Roman"/>
        <family val="1"/>
      </rPr>
      <t>GASBS No. 72</t>
    </r>
    <r>
      <rPr>
        <sz val="8"/>
        <rFont val="Times New Roman"/>
        <family val="1"/>
      </rPr>
      <t xml:space="preserve">, </t>
    </r>
    <r>
      <rPr>
        <i/>
        <sz val="8"/>
        <rFont val="Times New Roman"/>
        <family val="1"/>
      </rPr>
      <t>Fair Value Measurement and Application</t>
    </r>
    <r>
      <rPr>
        <sz val="8"/>
        <rFont val="Times New Roman"/>
        <family val="1"/>
      </rPr>
      <t xml:space="preserve">, donated capital assets,  donated works of art, historical treasures, and similar assets, and capital assets received in a service concession arrangement are recorded at acquisition value except as noted in the following paragraph.
Other lease capital assets subject to the requirements of </t>
    </r>
    <r>
      <rPr>
        <b/>
        <u/>
        <sz val="8"/>
        <rFont val="Times New Roman"/>
        <family val="1"/>
      </rPr>
      <t>GASBS No. 87</t>
    </r>
    <r>
      <rPr>
        <sz val="8"/>
        <rFont val="Times New Roman"/>
        <family val="1"/>
      </rPr>
      <t xml:space="preserve"> are 1) recorded when the present value is $50,000 or greater, 2) the contract term is greater than 12 months, and 3) amortized based on the lease term or the asset useful life, whichever is shorter. 
Other Right-to-Use Subscription based assets subject to the requirements of </t>
    </r>
    <r>
      <rPr>
        <b/>
        <u/>
        <sz val="8"/>
        <rFont val="Times New Roman"/>
        <family val="1"/>
      </rPr>
      <t>GASBS No. 96</t>
    </r>
    <r>
      <rPr>
        <sz val="8"/>
        <rFont val="Times New Roman"/>
        <family val="1"/>
      </rPr>
      <t xml:space="preserve"> are 1) recorded when the present value is $5,000 or greater, 2) the contract term is greater than 12 months, and 3) amortized based on the subscription term or the asset useful life, whichever is shorter. 
</t>
    </r>
    <r>
      <rPr>
        <b/>
        <u/>
        <sz val="8"/>
        <rFont val="Times New Roman"/>
        <family val="1"/>
      </rPr>
      <t>GASBS No. 72</t>
    </r>
    <r>
      <rPr>
        <sz val="8"/>
        <rFont val="Times New Roman"/>
        <family val="1"/>
      </rPr>
      <t xml:space="preserve"> did not amend </t>
    </r>
    <r>
      <rPr>
        <b/>
        <u/>
        <sz val="8"/>
        <rFont val="Times New Roman"/>
        <family val="1"/>
      </rPr>
      <t>GASBS No. 48</t>
    </r>
    <r>
      <rPr>
        <sz val="8"/>
        <rFont val="Times New Roman"/>
        <family val="1"/>
      </rPr>
      <t xml:space="preserve">: </t>
    </r>
    <r>
      <rPr>
        <i/>
        <sz val="8"/>
        <rFont val="Times New Roman"/>
        <family val="1"/>
      </rPr>
      <t xml:space="preserve">Sales and Pledges of Receivables and Future Revenues and Intra - Entity Transfers of Assets and Future Revenues, </t>
    </r>
    <r>
      <rPr>
        <sz val="8"/>
        <rFont val="Times New Roman"/>
        <family val="1"/>
      </rPr>
      <t>and requires that donated, purchased, or transferred capital assets between entities of the Commonwealth are now considered intra-entity transfers.  Therefore, the transfer of capital assets should occur at the carrying value of the transfer.  The easiest way for accomplishing the transfer is to have the acquiring agency record the asset at its original historical cost and acquisition date.</t>
    </r>
  </si>
  <si>
    <t>Also, provide any insurance recoveries recognized in fiscal year 2024 that are included in the impairment loss calculation.</t>
  </si>
  <si>
    <r>
      <t xml:space="preserve">The purpose of </t>
    </r>
    <r>
      <rPr>
        <b/>
        <u/>
        <sz val="10"/>
        <rFont val="Times New Roman"/>
        <family val="1"/>
      </rPr>
      <t>GASBS No. 53</t>
    </r>
    <r>
      <rPr>
        <sz val="10"/>
        <rFont val="Times New Roman"/>
        <family val="1"/>
      </rPr>
      <t xml:space="preserve"> is to provide financial reporting standards for derivative instruments.  The following GASB Statements have amended </t>
    </r>
    <r>
      <rPr>
        <b/>
        <u/>
        <sz val="10"/>
        <rFont val="Times New Roman"/>
        <family val="1"/>
      </rPr>
      <t>GASBS No. 53</t>
    </r>
    <r>
      <rPr>
        <sz val="10"/>
        <rFont val="Times New Roman"/>
        <family val="1"/>
      </rPr>
      <t xml:space="preserve"> and should be considered when </t>
    </r>
    <r>
      <rPr>
        <b/>
        <u/>
        <sz val="10"/>
        <rFont val="Times New Roman"/>
        <family val="1"/>
      </rPr>
      <t>GASBS No. 53</t>
    </r>
    <r>
      <rPr>
        <sz val="10"/>
        <rFont val="Times New Roman"/>
        <family val="1"/>
      </rPr>
      <t xml:space="preserve"> is referenced below:</t>
    </r>
    <r>
      <rPr>
        <b/>
        <u/>
        <sz val="10"/>
        <rFont val="Times New Roman"/>
        <family val="1"/>
      </rPr>
      <t xml:space="preserve">
</t>
    </r>
    <r>
      <rPr>
        <sz val="10"/>
        <rFont val="Times New Roman"/>
        <family val="1"/>
      </rPr>
      <t>-</t>
    </r>
    <r>
      <rPr>
        <b/>
        <u/>
        <sz val="10"/>
        <rFont val="Times New Roman"/>
        <family val="1"/>
      </rPr>
      <t>GASBS No. 59</t>
    </r>
    <r>
      <rPr>
        <sz val="10"/>
        <rFont val="Times New Roman"/>
        <family val="1"/>
      </rPr>
      <t xml:space="preserve">, </t>
    </r>
    <r>
      <rPr>
        <i/>
        <sz val="10"/>
        <rFont val="Times New Roman"/>
        <family val="1"/>
      </rPr>
      <t>Financial Instruments Omnibus</t>
    </r>
    <r>
      <rPr>
        <sz val="10"/>
        <rFont val="Times New Roman"/>
        <family val="1"/>
      </rPr>
      <t>, 
-</t>
    </r>
    <r>
      <rPr>
        <b/>
        <u/>
        <sz val="10"/>
        <rFont val="Times New Roman"/>
        <family val="1"/>
      </rPr>
      <t>GASBS No. 64</t>
    </r>
    <r>
      <rPr>
        <sz val="10"/>
        <rFont val="Times New Roman"/>
        <family val="1"/>
      </rPr>
      <t xml:space="preserve">, </t>
    </r>
    <r>
      <rPr>
        <i/>
        <sz val="10"/>
        <rFont val="Times New Roman"/>
        <family val="1"/>
      </rPr>
      <t>Derivative Instruments: Application of Hedge Accounting Termination Provisions—an amendment of GASB Statement No. 53,</t>
    </r>
    <r>
      <rPr>
        <sz val="10"/>
        <rFont val="Times New Roman"/>
        <family val="1"/>
      </rPr>
      <t xml:space="preserve"> </t>
    </r>
    <r>
      <rPr>
        <i/>
        <sz val="10"/>
        <rFont val="Times New Roman"/>
        <family val="1"/>
      </rPr>
      <t xml:space="preserve">
</t>
    </r>
    <r>
      <rPr>
        <sz val="10"/>
        <rFont val="Times New Roman"/>
        <family val="1"/>
      </rPr>
      <t>-</t>
    </r>
    <r>
      <rPr>
        <b/>
        <u/>
        <sz val="10"/>
        <rFont val="Times New Roman"/>
        <family val="1"/>
      </rPr>
      <t>GASBS No. 72</t>
    </r>
    <r>
      <rPr>
        <sz val="10"/>
        <rFont val="Times New Roman"/>
        <family val="1"/>
      </rPr>
      <t xml:space="preserve">, </t>
    </r>
    <r>
      <rPr>
        <i/>
        <sz val="10"/>
        <rFont val="Times New Roman"/>
        <family val="1"/>
      </rPr>
      <t xml:space="preserve">Fair Value Measurement and Application,
</t>
    </r>
    <r>
      <rPr>
        <sz val="10"/>
        <rFont val="Times New Roman"/>
        <family val="1"/>
      </rPr>
      <t>-</t>
    </r>
    <r>
      <rPr>
        <b/>
        <u/>
        <sz val="10"/>
        <rFont val="Times New Roman"/>
        <family val="1"/>
      </rPr>
      <t>GASBS No. 86</t>
    </r>
    <r>
      <rPr>
        <sz val="10"/>
        <rFont val="Times New Roman"/>
        <family val="1"/>
      </rPr>
      <t xml:space="preserve">, </t>
    </r>
    <r>
      <rPr>
        <i/>
        <sz val="10"/>
        <rFont val="Times New Roman"/>
        <family val="1"/>
      </rPr>
      <t>Certain Debt Extinguishment Issues,</t>
    </r>
    <r>
      <rPr>
        <sz val="10"/>
        <rFont val="Times New Roman"/>
        <family val="1"/>
      </rPr>
      <t xml:space="preserve">
-</t>
    </r>
    <r>
      <rPr>
        <b/>
        <u/>
        <sz val="10"/>
        <rFont val="Times New Roman"/>
        <family val="1"/>
      </rPr>
      <t>GASBS No. 93</t>
    </r>
    <r>
      <rPr>
        <sz val="10"/>
        <rFont val="Times New Roman"/>
        <family val="1"/>
      </rPr>
      <t xml:space="preserve">, </t>
    </r>
    <r>
      <rPr>
        <i/>
        <sz val="10"/>
        <rFont val="Times New Roman"/>
        <family val="1"/>
      </rPr>
      <t>Replacement of Interbank Offered Rates</t>
    </r>
    <r>
      <rPr>
        <sz val="10"/>
        <rFont val="Times New Roman"/>
        <family val="1"/>
      </rPr>
      <t>, and 
-</t>
    </r>
    <r>
      <rPr>
        <b/>
        <u/>
        <sz val="10"/>
        <rFont val="Times New Roman"/>
        <family val="1"/>
      </rPr>
      <t>GASBS No. 99,</t>
    </r>
    <r>
      <rPr>
        <i/>
        <sz val="10"/>
        <rFont val="Times New Roman"/>
        <family val="1"/>
      </rPr>
      <t xml:space="preserve"> Omnibus 2022.</t>
    </r>
  </si>
  <si>
    <r>
      <t xml:space="preserve">Intangible Assets as of June 30, 2024:  Does the enterprise fund have intangible assets as of June 30, 2024 as defined in </t>
    </r>
    <r>
      <rPr>
        <b/>
        <u/>
        <sz val="11"/>
        <rFont val="Times New Roman"/>
        <family val="1"/>
      </rPr>
      <t>GASBS No. 51</t>
    </r>
    <r>
      <rPr>
        <sz val="11"/>
        <rFont val="Times New Roman"/>
        <family val="1"/>
      </rPr>
      <t xml:space="preserve">?  If </t>
    </r>
    <r>
      <rPr>
        <b/>
        <sz val="11"/>
        <rFont val="Times New Roman"/>
        <family val="1"/>
      </rPr>
      <t>yes</t>
    </r>
    <r>
      <rPr>
        <sz val="11"/>
        <rFont val="Times New Roman"/>
        <family val="1"/>
      </rPr>
      <t xml:space="preserve">, answer question 11b and 11c.  </t>
    </r>
  </si>
  <si>
    <r>
      <rPr>
        <b/>
        <u/>
        <sz val="11"/>
        <rFont val="Times New Roman"/>
        <family val="1"/>
      </rPr>
      <t>GASBS No. 63</t>
    </r>
    <r>
      <rPr>
        <sz val="11"/>
        <rFont val="Times New Roman"/>
        <family val="1"/>
      </rPr>
      <t xml:space="preserve"> provides financial reporting guidance for the presentation of deferred outflows of resources and deferred inflows of resources, which are distinct from assets and liabilities, and their effects on a government’s net position.   Concepts Statement No. 4 states that the recognition of deferred outflows of resources and deferred inflows of resources should be limited to those instances identified by the GASB in authoritative pronouncements.    The following GASB statements require the reporting of deferred outflows of resources and/or deferred inflows of resources:  
-</t>
    </r>
    <r>
      <rPr>
        <b/>
        <u/>
        <sz val="11"/>
        <rFont val="Times New Roman"/>
        <family val="1"/>
      </rPr>
      <t>GASBS No. 53</t>
    </r>
    <r>
      <rPr>
        <sz val="11"/>
        <rFont val="Times New Roman"/>
        <family val="1"/>
      </rPr>
      <t xml:space="preserve">, </t>
    </r>
    <r>
      <rPr>
        <i/>
        <sz val="11"/>
        <rFont val="Times New Roman"/>
        <family val="1"/>
      </rPr>
      <t>Accounting and Financial Reporting for Derivative Instruments</t>
    </r>
    <r>
      <rPr>
        <sz val="11"/>
        <rFont val="Times New Roman"/>
        <family val="1"/>
      </rPr>
      <t>, 
-</t>
    </r>
    <r>
      <rPr>
        <b/>
        <u/>
        <sz val="11"/>
        <rFont val="Times New Roman"/>
        <family val="1"/>
      </rPr>
      <t>GASBS No. 65</t>
    </r>
    <r>
      <rPr>
        <sz val="11"/>
        <rFont val="Times New Roman"/>
        <family val="1"/>
      </rPr>
      <t xml:space="preserve">, </t>
    </r>
    <r>
      <rPr>
        <i/>
        <sz val="11"/>
        <rFont val="Times New Roman"/>
        <family val="1"/>
      </rPr>
      <t>Items Previously Reported as Assets and Liabilities,</t>
    </r>
    <r>
      <rPr>
        <sz val="11"/>
        <rFont val="Times New Roman"/>
        <family val="1"/>
      </rPr>
      <t xml:space="preserve">
-</t>
    </r>
    <r>
      <rPr>
        <b/>
        <u/>
        <sz val="11"/>
        <rFont val="Times New Roman"/>
        <family val="1"/>
      </rPr>
      <t>GASBS No. 68</t>
    </r>
    <r>
      <rPr>
        <sz val="11"/>
        <rFont val="Times New Roman"/>
        <family val="1"/>
      </rPr>
      <t>,</t>
    </r>
    <r>
      <rPr>
        <i/>
        <sz val="11"/>
        <rFont val="Times New Roman"/>
        <family val="1"/>
      </rPr>
      <t xml:space="preserve"> Accounting and Financial Reporting for Pensions--an amendment of </t>
    </r>
    <r>
      <rPr>
        <b/>
        <u/>
        <sz val="11"/>
        <rFont val="Times New Roman"/>
        <family val="1"/>
      </rPr>
      <t>GASBS No. 27</t>
    </r>
    <r>
      <rPr>
        <sz val="11"/>
        <rFont val="Times New Roman"/>
        <family val="1"/>
      </rPr>
      <t>,</t>
    </r>
    <r>
      <rPr>
        <i/>
        <sz val="11"/>
        <rFont val="Times New Roman"/>
        <family val="1"/>
      </rPr>
      <t xml:space="preserve"> as amended by </t>
    </r>
    <r>
      <rPr>
        <b/>
        <u/>
        <sz val="11"/>
        <rFont val="Times New Roman"/>
        <family val="1"/>
      </rPr>
      <t>GASBS No. 73,</t>
    </r>
    <r>
      <rPr>
        <sz val="11"/>
        <rFont val="Times New Roman"/>
        <family val="1"/>
      </rPr>
      <t xml:space="preserve">
-</t>
    </r>
    <r>
      <rPr>
        <b/>
        <u/>
        <sz val="11"/>
        <rFont val="Times New Roman"/>
        <family val="1"/>
      </rPr>
      <t>GASBS No. 69</t>
    </r>
    <r>
      <rPr>
        <sz val="11"/>
        <rFont val="Times New Roman"/>
        <family val="1"/>
      </rPr>
      <t xml:space="preserve">, </t>
    </r>
    <r>
      <rPr>
        <i/>
        <sz val="11"/>
        <rFont val="Times New Roman"/>
        <family val="1"/>
      </rPr>
      <t xml:space="preserve">Government Combinations and Disposals of Government Operations, 
</t>
    </r>
    <r>
      <rPr>
        <sz val="11"/>
        <rFont val="Times New Roman"/>
        <family val="1"/>
      </rPr>
      <t>-</t>
    </r>
    <r>
      <rPr>
        <b/>
        <u/>
        <sz val="11"/>
        <rFont val="Times New Roman"/>
        <family val="1"/>
      </rPr>
      <t>GASBS No. 75</t>
    </r>
    <r>
      <rPr>
        <i/>
        <sz val="11"/>
        <rFont val="Times New Roman"/>
        <family val="1"/>
      </rPr>
      <t xml:space="preserve">, Accounting and Financial Reporting for Postemployment Benefits Other Than Pensions,
</t>
    </r>
    <r>
      <rPr>
        <sz val="11"/>
        <rFont val="Times New Roman"/>
        <family val="1"/>
      </rPr>
      <t>-</t>
    </r>
    <r>
      <rPr>
        <b/>
        <u/>
        <sz val="11"/>
        <rFont val="Times New Roman"/>
        <family val="1"/>
      </rPr>
      <t>GASBS No. 81</t>
    </r>
    <r>
      <rPr>
        <i/>
        <sz val="11"/>
        <rFont val="Times New Roman"/>
        <family val="1"/>
      </rPr>
      <t xml:space="preserve">, Irrevocable Split-Interest Agreements, 
</t>
    </r>
    <r>
      <rPr>
        <b/>
        <sz val="11"/>
        <rFont val="Times New Roman"/>
        <family val="1"/>
      </rPr>
      <t>-</t>
    </r>
    <r>
      <rPr>
        <b/>
        <u/>
        <sz val="11"/>
        <rFont val="Times New Roman"/>
        <family val="1"/>
      </rPr>
      <t>GASBS No. 83</t>
    </r>
    <r>
      <rPr>
        <sz val="11"/>
        <rFont val="Times New Roman"/>
        <family val="1"/>
      </rPr>
      <t xml:space="preserve">, </t>
    </r>
    <r>
      <rPr>
        <i/>
        <sz val="11"/>
        <rFont val="Times New Roman"/>
        <family val="1"/>
      </rPr>
      <t>Certain Asset Retirement Obligations,</t>
    </r>
    <r>
      <rPr>
        <sz val="11"/>
        <rFont val="Times New Roman"/>
        <family val="1"/>
      </rPr>
      <t xml:space="preserve">
-</t>
    </r>
    <r>
      <rPr>
        <b/>
        <u/>
        <sz val="11"/>
        <rFont val="Times New Roman"/>
        <family val="1"/>
      </rPr>
      <t>GASBS No. 87</t>
    </r>
    <r>
      <rPr>
        <sz val="11"/>
        <rFont val="Times New Roman"/>
        <family val="1"/>
      </rPr>
      <t xml:space="preserve">, </t>
    </r>
    <r>
      <rPr>
        <i/>
        <sz val="11"/>
        <rFont val="Times New Roman"/>
        <family val="1"/>
      </rPr>
      <t>Leases,
-</t>
    </r>
    <r>
      <rPr>
        <b/>
        <u/>
        <sz val="11"/>
        <rFont val="Times New Roman"/>
        <family val="1"/>
      </rPr>
      <t>GASBS No. 91</t>
    </r>
    <r>
      <rPr>
        <i/>
        <sz val="11"/>
        <rFont val="Times New Roman"/>
        <family val="1"/>
      </rPr>
      <t>, Conduit Debt Obligations, 
-</t>
    </r>
    <r>
      <rPr>
        <b/>
        <u/>
        <sz val="11"/>
        <rFont val="Times New Roman"/>
        <family val="1"/>
      </rPr>
      <t>GASBS No. 94</t>
    </r>
    <r>
      <rPr>
        <i/>
        <sz val="11"/>
        <rFont val="Times New Roman"/>
        <family val="1"/>
      </rPr>
      <t>, Public-Private and Public-Public Partnerships and Availability Payment Arrangements,
-</t>
    </r>
    <r>
      <rPr>
        <b/>
        <u/>
        <sz val="11"/>
        <rFont val="Times New Roman"/>
        <family val="1"/>
      </rPr>
      <t>GASBS No. 99</t>
    </r>
    <r>
      <rPr>
        <i/>
        <sz val="11"/>
        <rFont val="Times New Roman"/>
        <family val="1"/>
      </rPr>
      <t>, Omnibus 2022.</t>
    </r>
    <r>
      <rPr>
        <sz val="11"/>
        <rFont val="Times New Roman"/>
        <family val="1"/>
      </rPr>
      <t xml:space="preserve">
</t>
    </r>
    <r>
      <rPr>
        <b/>
        <u/>
        <sz val="11"/>
        <rFont val="Times New Roman"/>
        <family val="1"/>
      </rPr>
      <t>GASBS No. 63</t>
    </r>
    <r>
      <rPr>
        <sz val="11"/>
        <rFont val="Times New Roman"/>
        <family val="1"/>
      </rPr>
      <t xml:space="preserve"> paragraph 13 requires disclosures in the notes to the financial statement for the different types of deferred amounts if amounts are aggregated in the statements and significant components of the total deferred amounts are obscured by aggregation on the face of the statements.  In addition </t>
    </r>
    <r>
      <rPr>
        <b/>
        <u/>
        <sz val="11"/>
        <rFont val="Times New Roman"/>
        <family val="1"/>
      </rPr>
      <t>GASBS No. 63</t>
    </r>
    <r>
      <rPr>
        <sz val="11"/>
        <rFont val="Times New Roman"/>
        <family val="1"/>
      </rPr>
      <t xml:space="preserve"> paragraph 14 requires a disclosure to explain the effect on net position for a significant difference between the deferred outflows of resources or the deferred inflows of resources and the related asset or liability.
Part 13 includes questions regarding the reporting of deferred outflows of resources and deferred inflows of resources.  </t>
    </r>
  </si>
  <si>
    <r>
      <t xml:space="preserve">Deferred Outflows of Resources for FY 2024:  Does the fund have any deferred outflows of resources to report as of June 30, 2024?  If </t>
    </r>
    <r>
      <rPr>
        <b/>
        <sz val="11"/>
        <rFont val="Times New Roman"/>
        <family val="1"/>
      </rPr>
      <t>yes</t>
    </r>
    <r>
      <rPr>
        <sz val="11"/>
        <rFont val="Times New Roman"/>
        <family val="1"/>
      </rPr>
      <t>, provide amount.   If amount is different from the amount reported on the template, make corrections as necessary.</t>
    </r>
  </si>
  <si>
    <r>
      <t xml:space="preserve">11) </t>
    </r>
    <r>
      <rPr>
        <b/>
        <sz val="11"/>
        <rFont val="Times New Roman"/>
        <family val="1"/>
      </rPr>
      <t>Other Postemployment Benefits-Related</t>
    </r>
    <r>
      <rPr>
        <sz val="11"/>
        <rFont val="Times New Roman"/>
        <family val="1"/>
      </rPr>
      <t xml:space="preserve"> - DHRM other postemployment benefit plan - Pre-Medicare Retiree Healthcare </t>
    </r>
    <r>
      <rPr>
        <b/>
        <sz val="11"/>
        <rFont val="Times New Roman"/>
        <family val="1"/>
      </rPr>
      <t>(</t>
    </r>
    <r>
      <rPr>
        <b/>
        <u/>
        <sz val="11"/>
        <rFont val="Times New Roman"/>
        <family val="1"/>
      </rPr>
      <t>GASBS No. 75</t>
    </r>
    <r>
      <rPr>
        <b/>
        <sz val="11"/>
        <rFont val="Times New Roman"/>
        <family val="1"/>
      </rPr>
      <t>)</t>
    </r>
  </si>
  <si>
    <r>
      <t xml:space="preserve">15)  </t>
    </r>
    <r>
      <rPr>
        <b/>
        <sz val="10"/>
        <rFont val="Times New Roman"/>
        <family val="1"/>
      </rPr>
      <t>Public-Private and Public-Public Partnerships Arrangements (PPPs) NOT including Service Concession Arrangements (SCAs)</t>
    </r>
    <r>
      <rPr>
        <sz val="10"/>
        <rFont val="Times New Roman"/>
        <family val="1"/>
      </rPr>
      <t xml:space="preserve"> -  Amounts associated with PPPs, not including SCAs, when the government as the </t>
    </r>
    <r>
      <rPr>
        <b/>
        <sz val="10"/>
        <rFont val="Times New Roman"/>
        <family val="1"/>
      </rPr>
      <t>operator</t>
    </r>
    <r>
      <rPr>
        <sz val="10"/>
        <rFont val="Times New Roman"/>
        <family val="1"/>
      </rPr>
      <t xml:space="preserve"> purchases or constructs the new underlying PPP asset to be transferred to transferor  (</t>
    </r>
    <r>
      <rPr>
        <b/>
        <u/>
        <sz val="10"/>
        <rFont val="Times New Roman"/>
        <family val="1"/>
      </rPr>
      <t xml:space="preserve">GASBS No. 94, </t>
    </r>
    <r>
      <rPr>
        <sz val="10"/>
        <rFont val="Times New Roman"/>
        <family val="1"/>
      </rPr>
      <t>as amended by</t>
    </r>
    <r>
      <rPr>
        <b/>
        <u/>
        <sz val="10"/>
        <rFont val="Times New Roman"/>
        <family val="1"/>
      </rPr>
      <t xml:space="preserve"> GASBS No.99</t>
    </r>
    <r>
      <rPr>
        <b/>
        <sz val="10"/>
        <rFont val="Times New Roman"/>
        <family val="1"/>
      </rPr>
      <t xml:space="preserve"> </t>
    </r>
    <r>
      <rPr>
        <sz val="10"/>
        <rFont val="Times New Roman"/>
        <family val="1"/>
      </rPr>
      <t>paragraph 22)</t>
    </r>
  </si>
  <si>
    <r>
      <t xml:space="preserve">Deferred Inflows of Resources for FY 2024:  Does the fund have any deferred inflows of resources to report as of June 30, 2024?  If </t>
    </r>
    <r>
      <rPr>
        <b/>
        <sz val="11"/>
        <rFont val="Times New Roman"/>
        <family val="1"/>
      </rPr>
      <t>yes</t>
    </r>
    <r>
      <rPr>
        <sz val="11"/>
        <rFont val="Times New Roman"/>
        <family val="1"/>
      </rPr>
      <t xml:space="preserve">, provide the amounts below.   If amount is different from the amount reported on the template, make corrections as necessary.
</t>
    </r>
  </si>
  <si>
    <r>
      <t xml:space="preserve">14)  </t>
    </r>
    <r>
      <rPr>
        <b/>
        <sz val="11"/>
        <rFont val="Times New Roman"/>
        <family val="1"/>
      </rPr>
      <t>Other Postemployment Benefits-Related</t>
    </r>
    <r>
      <rPr>
        <sz val="11"/>
        <rFont val="Times New Roman"/>
        <family val="1"/>
      </rPr>
      <t xml:space="preserve"> - DHRM other postemployment benefit plan - Pre-Medicare Retiree Healthcare </t>
    </r>
    <r>
      <rPr>
        <b/>
        <sz val="11"/>
        <rFont val="Times New Roman"/>
        <family val="1"/>
      </rPr>
      <t>(</t>
    </r>
    <r>
      <rPr>
        <b/>
        <u/>
        <sz val="11"/>
        <rFont val="Times New Roman"/>
        <family val="1"/>
      </rPr>
      <t>GASBS No. 75</t>
    </r>
    <r>
      <rPr>
        <b/>
        <sz val="11"/>
        <rFont val="Times New Roman"/>
        <family val="1"/>
      </rPr>
      <t>)</t>
    </r>
  </si>
  <si>
    <r>
      <t xml:space="preserve">Recurring and Nonrecurring Fair Value Measurements: Are items measured at fair value on a recurring basis in accordance with </t>
    </r>
    <r>
      <rPr>
        <b/>
        <u/>
        <sz val="11"/>
        <rFont val="Times New Roman"/>
        <family val="1"/>
      </rPr>
      <t>GASBS No. 72</t>
    </r>
    <r>
      <rPr>
        <sz val="11"/>
        <rFont val="Times New Roman"/>
        <family val="1"/>
      </rPr>
      <t xml:space="preserve"> for FY 2024? </t>
    </r>
  </si>
  <si>
    <r>
      <t xml:space="preserve">Net Asset Value:  Does the fund have items that are permitted to be reported, and which are reported, at net asset value (NAV) per share (or its equivalent) in accordance with </t>
    </r>
    <r>
      <rPr>
        <b/>
        <u/>
        <sz val="11"/>
        <rFont val="Times New Roman"/>
        <family val="1"/>
      </rPr>
      <t>GASBS No. 72</t>
    </r>
    <r>
      <rPr>
        <sz val="11"/>
        <rFont val="Times New Roman"/>
        <family val="1"/>
      </rPr>
      <t xml:space="preserve"> for FY 2024?</t>
    </r>
  </si>
  <si>
    <r>
      <t xml:space="preserve">Does the fund have any of the following lease arrangements that must be reported in accordance with this statement as of June 30, 2024?
Sublease transactions
Sale-leaseback transactions
Lease-leaseback transactions
If </t>
    </r>
    <r>
      <rPr>
        <b/>
        <sz val="11"/>
        <rFont val="Times New Roman"/>
        <family val="1"/>
      </rPr>
      <t>yes</t>
    </r>
    <r>
      <rPr>
        <sz val="11"/>
        <rFont val="Times New Roman"/>
        <family val="1"/>
      </rPr>
      <t xml:space="preserve">, provide the description, line item, and necessary disclosures. </t>
    </r>
  </si>
  <si>
    <r>
      <t>If</t>
    </r>
    <r>
      <rPr>
        <b/>
        <sz val="11"/>
        <rFont val="Times New Roman"/>
        <family val="1"/>
      </rPr>
      <t xml:space="preserve"> yes</t>
    </r>
    <r>
      <rPr>
        <sz val="11"/>
        <rFont val="Times New Roman"/>
        <family val="1"/>
      </rPr>
      <t>, then provide the debt item and a description of the assets pledged as collateral for the debt as of June 30, 2024.</t>
    </r>
  </si>
  <si>
    <r>
      <t xml:space="preserve">Does the fund have any Conduit Debt that will need to be reported in FY 2024 pursuant to </t>
    </r>
    <r>
      <rPr>
        <b/>
        <u/>
        <sz val="11"/>
        <color theme="1"/>
        <rFont val="Times New Roman"/>
        <family val="1"/>
      </rPr>
      <t>GASBS No. 91</t>
    </r>
    <r>
      <rPr>
        <sz val="11"/>
        <color theme="1"/>
        <rFont val="Times New Roman"/>
        <family val="1"/>
      </rPr>
      <t xml:space="preserve">, Conduit Debt Obligations? If yes, provide a brief description, including any type of commitment for the obligation.  DOA may request additional information in a separate communication.
Refer to GASB's website at www.gasb.org for information regarding </t>
    </r>
    <r>
      <rPr>
        <b/>
        <u/>
        <sz val="11"/>
        <color theme="1"/>
        <rFont val="Times New Roman"/>
        <family val="1"/>
      </rPr>
      <t>GASBS No. 91</t>
    </r>
    <r>
      <rPr>
        <sz val="11"/>
        <color theme="1"/>
        <rFont val="Times New Roman"/>
        <family val="1"/>
      </rPr>
      <t xml:space="preserve">. </t>
    </r>
    <r>
      <rPr>
        <b/>
        <u/>
        <sz val="11"/>
        <color theme="1"/>
        <rFont val="Times New Roman"/>
        <family val="1"/>
      </rPr>
      <t>GASB No. 94</t>
    </r>
    <r>
      <rPr>
        <sz val="11"/>
        <color theme="1"/>
        <rFont val="Times New Roman"/>
        <family val="1"/>
      </rPr>
      <t xml:space="preserve">, </t>
    </r>
    <r>
      <rPr>
        <i/>
        <sz val="11"/>
        <color theme="1"/>
        <rFont val="Times New Roman"/>
        <family val="1"/>
      </rPr>
      <t>Public-Private and Public-Public Partnerships and Availability Payment Arrangements</t>
    </r>
    <r>
      <rPr>
        <sz val="11"/>
        <color theme="1"/>
        <rFont val="Times New Roman"/>
        <family val="1"/>
      </rPr>
      <t xml:space="preserve">, includes amendments to </t>
    </r>
    <r>
      <rPr>
        <b/>
        <u/>
        <sz val="11"/>
        <color theme="1"/>
        <rFont val="Times New Roman"/>
        <family val="1"/>
      </rPr>
      <t>GASBS No. 91</t>
    </r>
    <r>
      <rPr>
        <sz val="11"/>
        <color theme="1"/>
        <rFont val="Times New Roman"/>
        <family val="1"/>
      </rPr>
      <t>.</t>
    </r>
  </si>
  <si>
    <r>
      <rPr>
        <b/>
        <u/>
        <sz val="10"/>
        <rFont val="Times New Roman"/>
        <family val="1"/>
      </rPr>
      <t>GASBS No. 94</t>
    </r>
    <r>
      <rPr>
        <sz val="10"/>
        <rFont val="Times New Roman"/>
        <family val="1"/>
      </rPr>
      <t xml:space="preserve"> requires the recognition, measurement and disclosure of information about public-private, public-public partnerships and availability payment arrangements. This statement encompasses service concession arrangements and other similar types of arrangements.  This statement is for entities using the current financial resources measurement focus and the economic resources measurement focus. Therefore, it applies to governmental fund financial statements, the proprietary fund financial statements, Component Units, Higher Education and government wide statements. This statement supersedes </t>
    </r>
    <r>
      <rPr>
        <b/>
        <u/>
        <sz val="10"/>
        <rFont val="Times New Roman"/>
        <family val="1"/>
      </rPr>
      <t>GASBS No. 60</t>
    </r>
    <r>
      <rPr>
        <sz val="10"/>
        <rFont val="Times New Roman"/>
        <family val="1"/>
      </rPr>
      <t xml:space="preserve">, Accounting and Financial Reporting for Service Concession Arrangements, and amends </t>
    </r>
    <r>
      <rPr>
        <b/>
        <u/>
        <sz val="10"/>
        <rFont val="Times New Roman"/>
        <family val="1"/>
      </rPr>
      <t>GASBS No. 87</t>
    </r>
    <r>
      <rPr>
        <sz val="10"/>
        <rFont val="Times New Roman"/>
        <family val="1"/>
      </rPr>
      <t xml:space="preserve">, Leases. 
</t>
    </r>
    <r>
      <rPr>
        <b/>
        <u/>
        <sz val="10"/>
        <rFont val="Times New Roman"/>
        <family val="1"/>
      </rPr>
      <t>GASBS No. 99</t>
    </r>
    <r>
      <rPr>
        <sz val="10"/>
        <rFont val="Times New Roman"/>
        <family val="1"/>
      </rPr>
      <t xml:space="preserve">, Omnibus 2022, amended </t>
    </r>
    <r>
      <rPr>
        <b/>
        <u/>
        <sz val="10"/>
        <rFont val="Times New Roman"/>
        <family val="1"/>
      </rPr>
      <t>GASBS No. 94</t>
    </r>
    <r>
      <rPr>
        <sz val="10"/>
        <rFont val="Times New Roman"/>
        <family val="1"/>
      </rPr>
      <t xml:space="preserve"> paragraphs 10, 28, 45, and 47.  Refer to GASB's website at www.gasb.org for information.
Refer to GASB's website at www.gasb.org for information regarding </t>
    </r>
    <r>
      <rPr>
        <b/>
        <u/>
        <sz val="10"/>
        <rFont val="Times New Roman"/>
        <family val="1"/>
      </rPr>
      <t>GASBS No. 94</t>
    </r>
    <r>
      <rPr>
        <sz val="10"/>
        <rFont val="Times New Roman"/>
        <family val="1"/>
      </rPr>
      <t>.</t>
    </r>
  </si>
  <si>
    <r>
      <t>Does the fund have any of the following that require</t>
    </r>
    <r>
      <rPr>
        <b/>
        <u/>
        <sz val="10"/>
        <rFont val="Times New Roman"/>
        <family val="1"/>
      </rPr>
      <t xml:space="preserve"> GASBS No. 100 </t>
    </r>
    <r>
      <rPr>
        <sz val="10"/>
        <rFont val="Times New Roman"/>
        <family val="1"/>
      </rPr>
      <t xml:space="preserve">disclosures as of June 30, 2024: change in accounting estimate, reclassification from a change in accounting principle, and / or reclassification from an error correction?
If </t>
    </r>
    <r>
      <rPr>
        <b/>
        <sz val="10"/>
        <rFont val="Times New Roman"/>
        <family val="1"/>
      </rPr>
      <t>yes</t>
    </r>
    <r>
      <rPr>
        <sz val="10"/>
        <rFont val="Times New Roman"/>
        <family val="1"/>
      </rPr>
      <t xml:space="preserve">, provide an amount, a brief description and the applicable </t>
    </r>
    <r>
      <rPr>
        <b/>
        <u/>
        <sz val="10"/>
        <rFont val="Times New Roman"/>
        <family val="1"/>
      </rPr>
      <t>GASBS No. 100</t>
    </r>
    <r>
      <rPr>
        <sz val="10"/>
        <rFont val="Times New Roman"/>
        <family val="1"/>
      </rPr>
      <t xml:space="preserve"> disclosures below.</t>
    </r>
  </si>
  <si>
    <r>
      <rPr>
        <b/>
        <u/>
        <sz val="10"/>
        <rFont val="Times New Roman"/>
        <family val="1"/>
      </rPr>
      <t>GASBS No. 100</t>
    </r>
    <r>
      <rPr>
        <sz val="10"/>
        <rFont val="Times New Roman"/>
        <family val="1"/>
      </rPr>
      <t xml:space="preserve">, </t>
    </r>
    <r>
      <rPr>
        <i/>
        <sz val="10"/>
        <rFont val="Times New Roman"/>
        <family val="1"/>
      </rPr>
      <t>Accounting Changes and Error Corrections</t>
    </r>
    <r>
      <rPr>
        <sz val="10"/>
        <rFont val="Times New Roman"/>
        <family val="1"/>
      </rPr>
      <t xml:space="preserve">. (Note: DOA may request additional information in a separate communication.)
For any restatements shown above, please provide any required disclosures per </t>
    </r>
    <r>
      <rPr>
        <b/>
        <u/>
        <sz val="10"/>
        <rFont val="Times New Roman"/>
        <family val="1"/>
      </rPr>
      <t>GASBS No. 100</t>
    </r>
    <r>
      <rPr>
        <sz val="10"/>
        <rFont val="Times New Roman"/>
        <family val="1"/>
      </rPr>
      <t>.</t>
    </r>
  </si>
  <si>
    <r>
      <t xml:space="preserve">  Long-term Subscription-based Information Technology 
 Arrangements Liabilities (</t>
    </r>
    <r>
      <rPr>
        <b/>
        <u/>
        <sz val="10"/>
        <rFont val="Times New Roman"/>
        <family val="1"/>
      </rPr>
      <t>GASBS No. 96</t>
    </r>
    <r>
      <rPr>
        <sz val="10"/>
        <rFont val="Times New Roman"/>
        <family val="1"/>
      </rPr>
      <t>)</t>
    </r>
  </si>
  <si>
    <t>Increase (Decrease) in Educational Benefits Payable (VCSP)</t>
  </si>
  <si>
    <t>A)   Possible Impairment of Capital Assets:  As of June 30, 2024, did this fund have an event or change in circumstances</t>
  </si>
  <si>
    <t>*This formula is for Answer Required for restatement, do not delete*</t>
  </si>
  <si>
    <t>Lottery prizes payable represent the future annual prize payments valued at cost plus accrued interest (current value of securities held to</t>
  </si>
  <si>
    <t>maturity) of the assets funding the payments.</t>
  </si>
  <si>
    <r>
      <t xml:space="preserve">If </t>
    </r>
    <r>
      <rPr>
        <b/>
        <sz val="10"/>
        <rFont val="Times New Roman"/>
        <family val="1"/>
      </rPr>
      <t>yes</t>
    </r>
    <r>
      <rPr>
        <sz val="10"/>
        <rFont val="Times New Roman"/>
        <family val="1"/>
      </rPr>
      <t xml:space="preserve">, provide a description of the callable bonds, outstanding balance as of year-end, description of the violation that caused the bonds to become callable, and whether they must be considered a current liability because neither of the conditions listed in </t>
    </r>
    <r>
      <rPr>
        <b/>
        <u/>
        <sz val="10"/>
        <rFont val="Times New Roman"/>
        <family val="1"/>
      </rPr>
      <t>GASBS No. 62</t>
    </r>
    <r>
      <rPr>
        <sz val="10"/>
        <rFont val="Times New Roman"/>
        <family val="1"/>
      </rPr>
      <t xml:space="preserve"> paragraphs 34a and 34b are met.  DOA may request additional information in a separate communication.  </t>
    </r>
  </si>
  <si>
    <r>
      <t xml:space="preserve">Perpetual licensing agreements or assets that are considered internally generated:  Does the enterprise fund have any perpetual licensing agreements or assets that are internally generated that need to be reported as an intangible asset in accordance with </t>
    </r>
    <r>
      <rPr>
        <b/>
        <u/>
        <sz val="11"/>
        <rFont val="Times New Roman"/>
        <family val="1"/>
      </rPr>
      <t>GASBS No. 51</t>
    </r>
    <r>
      <rPr>
        <sz val="11"/>
        <rFont val="Times New Roman"/>
        <family val="1"/>
      </rPr>
      <t xml:space="preserve"> as of June 30, 2024 (Note:  Refer to the applicable Implementation Guide issued by GASB)? 
Note:  Maintenance CONTRACT payments should not be included in this section.
If </t>
    </r>
    <r>
      <rPr>
        <b/>
        <sz val="11"/>
        <rFont val="Times New Roman"/>
        <family val="1"/>
      </rPr>
      <t>yes</t>
    </r>
    <r>
      <rPr>
        <sz val="11"/>
        <rFont val="Times New Roman"/>
        <family val="1"/>
      </rPr>
      <t>, provide the following: description, month/year the agreement was entered into, annual required payment, and intangible asset amount.</t>
    </r>
  </si>
  <si>
    <t>For ACFR purposes, the Commonwealth capitalizes all equipment  that in the aggregate have a cost or value greater than or equal to $50,000 and an expected useful life of greater than two years.  For ACFR purposes, the Commonwealth capitalizes all other non-lease/non-SBITA capital assets that have a cost or value greater than or equal to $100,000 and an expected useful life of greater than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</si>
</sst>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_);_(* \(#,##0\);_(* &quot;-&quot;??_);_(@_)"/>
    <numFmt numFmtId="166" formatCode="mmmm\ dd"/>
    <numFmt numFmtId="167" formatCode="mm/dd/yy"/>
    <numFmt numFmtId="168" formatCode="&quot;$&quot;#,##0\ ;\(&quot;$&quot;#,##0\)"/>
    <numFmt numFmtId="169" formatCode="0_);[Red]\(0\)"/>
    <numFmt numFmtId="170" formatCode="#,##0;\-#,##0"/>
    <numFmt numFmtId="171" formatCode="#,##0.0;\-#,##0.0"/>
    <numFmt numFmtId="172" formatCode="#,##0.00;\-#,##0.00"/>
    <numFmt numFmtId="173" formatCode="#,##0.000;\-#,##0.000"/>
    <numFmt numFmtId="174" formatCode="#,##0.0000;\-#,##0.0000"/>
    <numFmt numFmtId="175" formatCode="#,##0.00000;\-#,##0.00000"/>
    <numFmt numFmtId="176" formatCode="#,##0.000000;\-#,##0.000000"/>
    <numFmt numFmtId="177" formatCode="#,##0.0000000;\-#,##0.0000000"/>
    <numFmt numFmtId="178" formatCode="#,##0.00000000;\-#,##0.00000000"/>
    <numFmt numFmtId="179" formatCode="#,##0.000000000;\-#,##0.000000000"/>
    <numFmt numFmtId="180" formatCode="#,##0.0000000000;\-#,##0.0000000000"/>
    <numFmt numFmtId="181" formatCode="mm/dd/yyyy"/>
    <numFmt numFmtId="182" formatCode="[&lt;=9999999]###\-####;\(###\)\ ###\-####"/>
    <numFmt numFmtId="183" formatCode="mm/dd/yy;@"/>
    <numFmt numFmtId="184" formatCode="0_);\(0\)"/>
  </numFmts>
  <fonts count="1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2"/>
    </font>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7.5"/>
      <color indexed="12"/>
      <name val="Courier"/>
      <family val="3"/>
    </font>
    <font>
      <sz val="8"/>
      <name val="Times New Roman"/>
      <family val="1"/>
    </font>
    <font>
      <b/>
      <sz val="12"/>
      <name val="Times New Roman"/>
      <family val="1"/>
    </font>
    <font>
      <sz val="12"/>
      <name val="Times New Roman"/>
      <family val="1"/>
    </font>
    <font>
      <u/>
      <sz val="12"/>
      <name val="Times New Roman"/>
      <family val="1"/>
    </font>
    <font>
      <i/>
      <sz val="12"/>
      <name val="Times New Roman"/>
      <family val="1"/>
    </font>
    <font>
      <sz val="8"/>
      <color indexed="81"/>
      <name val="Tahoma"/>
      <family val="2"/>
    </font>
    <font>
      <b/>
      <sz val="8"/>
      <color indexed="81"/>
      <name val="Tahoma"/>
      <family val="2"/>
    </font>
    <font>
      <b/>
      <sz val="9"/>
      <color indexed="81"/>
      <name val="Arial"/>
      <family val="2"/>
    </font>
    <font>
      <sz val="9"/>
      <color indexed="81"/>
      <name val="Arial"/>
      <family val="2"/>
    </font>
    <font>
      <sz val="8"/>
      <color indexed="81"/>
      <name val="Arial"/>
      <family val="2"/>
    </font>
    <font>
      <sz val="8"/>
      <name val="Times New Roman"/>
      <family val="1"/>
    </font>
    <font>
      <i/>
      <sz val="8"/>
      <name val="Times New Roman"/>
      <family val="1"/>
    </font>
    <font>
      <b/>
      <sz val="8"/>
      <name val="Times New Roman"/>
      <family val="1"/>
    </font>
    <font>
      <sz val="8"/>
      <color indexed="10"/>
      <name val="Times New Roman"/>
      <family val="1"/>
    </font>
    <font>
      <b/>
      <sz val="9"/>
      <name val="Times New Roman"/>
      <family val="1"/>
    </font>
    <font>
      <sz val="10"/>
      <name val="Times New Roman"/>
      <family val="1"/>
    </font>
    <font>
      <sz val="9"/>
      <name val="Times New Roman"/>
      <family val="1"/>
    </font>
    <font>
      <b/>
      <sz val="10"/>
      <name val="Times New Roman"/>
      <family val="1"/>
    </font>
    <font>
      <sz val="9"/>
      <color indexed="10"/>
      <name val="Times New Roman"/>
      <family val="1"/>
    </font>
    <font>
      <sz val="9"/>
      <color indexed="12"/>
      <name val="Times New Roman"/>
      <family val="1"/>
    </font>
    <font>
      <sz val="9"/>
      <color indexed="53"/>
      <name val="Times New Roman"/>
      <family val="1"/>
    </font>
    <font>
      <b/>
      <sz val="9"/>
      <color indexed="12"/>
      <name val="Times New Roman"/>
      <family val="1"/>
    </font>
    <font>
      <sz val="10"/>
      <color indexed="53"/>
      <name val="Times New Roman"/>
      <family val="1"/>
    </font>
    <font>
      <sz val="10"/>
      <color indexed="10"/>
      <name val="Times New Roman"/>
      <family val="1"/>
    </font>
    <font>
      <b/>
      <u/>
      <sz val="9"/>
      <name val="Times New Roman"/>
      <family val="1"/>
    </font>
    <font>
      <sz val="12"/>
      <color indexed="24"/>
      <name val="Arial"/>
      <family val="2"/>
    </font>
    <font>
      <b/>
      <sz val="14"/>
      <color indexed="24"/>
      <name val="Arial"/>
      <family val="2"/>
    </font>
    <font>
      <b/>
      <sz val="12"/>
      <color indexed="24"/>
      <name val="Arial"/>
      <family val="2"/>
    </font>
    <font>
      <sz val="10"/>
      <color indexed="14"/>
      <name val="Times New Roman"/>
      <family val="1"/>
    </font>
    <font>
      <b/>
      <sz val="8"/>
      <color indexed="10"/>
      <name val="Times New Roman"/>
      <family val="1"/>
    </font>
    <font>
      <sz val="8"/>
      <name val="Arial"/>
      <family val="2"/>
    </font>
    <font>
      <b/>
      <u/>
      <sz val="10"/>
      <name val="Times New Roman"/>
      <family val="1"/>
    </font>
    <font>
      <sz val="9"/>
      <color indexed="81"/>
      <name val="Tahoma"/>
      <family val="2"/>
    </font>
    <font>
      <b/>
      <sz val="11"/>
      <name val="Times New Roman"/>
      <family val="1"/>
    </font>
    <font>
      <sz val="8"/>
      <color indexed="81"/>
      <name val="Times New Roman"/>
      <family val="1"/>
    </font>
    <font>
      <b/>
      <sz val="8"/>
      <color indexed="81"/>
      <name val="Times New Roman"/>
      <family val="1"/>
    </font>
    <font>
      <sz val="10"/>
      <color indexed="81"/>
      <name val="Times New Roman"/>
      <family val="1"/>
    </font>
    <font>
      <b/>
      <sz val="9"/>
      <color indexed="10"/>
      <name val="Times New Roman"/>
      <family val="1"/>
    </font>
    <font>
      <sz val="10"/>
      <name val="Times New Roman"/>
      <family val="1"/>
    </font>
    <font>
      <sz val="8"/>
      <name val="Arial"/>
      <family val="2"/>
    </font>
    <font>
      <sz val="10"/>
      <name val="Arial"/>
      <family val="2"/>
    </font>
    <font>
      <sz val="9"/>
      <color indexed="39"/>
      <name val="Times New Roman"/>
      <family val="1"/>
    </font>
    <font>
      <b/>
      <sz val="9"/>
      <color indexed="39"/>
      <name val="Times New Roman"/>
      <family val="1"/>
    </font>
    <font>
      <b/>
      <u/>
      <sz val="8"/>
      <name val="Times New Roman"/>
      <family val="1"/>
    </font>
    <font>
      <b/>
      <u/>
      <sz val="12"/>
      <name val="Times New Roman"/>
      <family val="1"/>
    </font>
    <font>
      <sz val="9"/>
      <name val="Arial"/>
      <family val="2"/>
    </font>
    <font>
      <b/>
      <u/>
      <sz val="8"/>
      <color indexed="81"/>
      <name val="Times New Roman"/>
      <family val="1"/>
    </font>
    <font>
      <b/>
      <u/>
      <sz val="9"/>
      <color indexed="12"/>
      <name val="Times New Roman"/>
      <family val="1"/>
    </font>
    <font>
      <b/>
      <u/>
      <sz val="8"/>
      <color indexed="10"/>
      <name val="Times New Roman"/>
      <family val="1"/>
    </font>
    <font>
      <b/>
      <sz val="10"/>
      <name val="Arial"/>
      <family val="2"/>
    </font>
    <font>
      <sz val="10"/>
      <color indexed="8"/>
      <name val="Arial"/>
      <family val="2"/>
    </font>
    <font>
      <b/>
      <u/>
      <sz val="12"/>
      <color indexed="12"/>
      <name val="Times New Roman"/>
      <family val="1"/>
    </font>
    <font>
      <u/>
      <sz val="10"/>
      <color indexed="12"/>
      <name val="Arial"/>
      <family val="2"/>
    </font>
    <font>
      <b/>
      <u/>
      <sz val="8"/>
      <color indexed="12"/>
      <name val="Times New Roman"/>
      <family val="1"/>
    </font>
    <font>
      <b/>
      <u/>
      <sz val="10"/>
      <color indexed="12"/>
      <name val="Arial"/>
      <family val="2"/>
    </font>
    <font>
      <b/>
      <sz val="10"/>
      <color indexed="10"/>
      <name val="Times New Roman"/>
      <family val="1"/>
    </font>
    <font>
      <sz val="10"/>
      <name val="Arial"/>
      <family val="2"/>
    </font>
    <font>
      <b/>
      <u val="singleAccounting"/>
      <sz val="8"/>
      <name val="Times New Roman"/>
      <family val="1"/>
    </font>
    <font>
      <sz val="10"/>
      <color indexed="81"/>
      <name val="Tahoma"/>
      <family val="2"/>
    </font>
    <font>
      <b/>
      <u/>
      <sz val="10"/>
      <color indexed="81"/>
      <name val="Tahoma"/>
      <family val="2"/>
    </font>
    <font>
      <b/>
      <sz val="10"/>
      <color indexed="81"/>
      <name val="Tahoma"/>
      <family val="2"/>
    </font>
    <font>
      <b/>
      <sz val="10"/>
      <color indexed="81"/>
      <name val="Arial"/>
      <family val="2"/>
    </font>
    <font>
      <sz val="10"/>
      <color indexed="81"/>
      <name val="Arial"/>
      <family val="2"/>
    </font>
    <font>
      <b/>
      <u/>
      <sz val="10"/>
      <color indexed="12"/>
      <name val="Times New Roman"/>
      <family val="1"/>
    </font>
    <font>
      <i/>
      <sz val="10"/>
      <name val="Times New Roman"/>
      <family val="1"/>
    </font>
    <font>
      <sz val="9"/>
      <name val="Arial"/>
      <family val="2"/>
    </font>
    <font>
      <u/>
      <sz val="9"/>
      <color indexed="12"/>
      <name val="Arial"/>
      <family val="2"/>
    </font>
    <font>
      <sz val="10"/>
      <color indexed="10"/>
      <name val="Arial"/>
      <family val="2"/>
    </font>
    <font>
      <sz val="10"/>
      <color indexed="12"/>
      <name val="Times New Roman"/>
      <family val="1"/>
    </font>
    <font>
      <sz val="10"/>
      <color indexed="48"/>
      <name val="Times New Roman"/>
      <family val="1"/>
    </font>
    <font>
      <sz val="10"/>
      <color indexed="39"/>
      <name val="Times New Roman"/>
      <family val="1"/>
    </font>
    <font>
      <b/>
      <sz val="10"/>
      <color indexed="12"/>
      <name val="Times New Roman"/>
      <family val="1"/>
    </font>
    <font>
      <u/>
      <sz val="10"/>
      <color indexed="12"/>
      <name val="Times New Roman"/>
      <family val="1"/>
    </font>
    <font>
      <sz val="10"/>
      <color rgb="FFFF0000"/>
      <name val="Arial"/>
      <family val="2"/>
    </font>
    <font>
      <b/>
      <u/>
      <sz val="10"/>
      <name val="Arial"/>
      <family val="2"/>
    </font>
    <font>
      <sz val="11"/>
      <name val="Times New Roman"/>
      <family val="1"/>
    </font>
    <font>
      <sz val="12"/>
      <name val="Arial"/>
      <family val="2"/>
    </font>
    <font>
      <b/>
      <sz val="9"/>
      <color indexed="81"/>
      <name val="Tahoma"/>
      <family val="2"/>
    </font>
    <font>
      <b/>
      <u/>
      <sz val="11"/>
      <name val="Times New Roman"/>
      <family val="1"/>
    </font>
    <font>
      <i/>
      <sz val="11"/>
      <name val="Times New Roman"/>
      <family val="1"/>
    </font>
    <font>
      <u/>
      <sz val="11"/>
      <name val="Times New Roman"/>
      <family val="1"/>
    </font>
    <font>
      <b/>
      <sz val="11"/>
      <color indexed="12"/>
      <name val="Times New Roman"/>
      <family val="1"/>
    </font>
    <font>
      <b/>
      <sz val="11"/>
      <color indexed="10"/>
      <name val="Times New Roman"/>
      <family val="1"/>
    </font>
    <font>
      <b/>
      <u/>
      <sz val="11"/>
      <color indexed="12"/>
      <name val="Times New Roman"/>
      <family val="1"/>
    </font>
    <font>
      <sz val="11"/>
      <name val="Arial"/>
      <family val="2"/>
    </font>
    <font>
      <b/>
      <sz val="10"/>
      <color rgb="FFFF0000"/>
      <name val="Times New Roman"/>
      <family val="1"/>
    </font>
    <font>
      <b/>
      <u/>
      <sz val="9"/>
      <color indexed="81"/>
      <name val="Arial"/>
      <family val="2"/>
    </font>
    <font>
      <b/>
      <u/>
      <sz val="10"/>
      <color indexed="8"/>
      <name val="Times New Roman"/>
      <family val="1"/>
    </font>
    <font>
      <sz val="8"/>
      <color indexed="8"/>
      <name val="Times New Roman"/>
      <family val="1"/>
    </font>
    <font>
      <sz val="10"/>
      <color indexed="8"/>
      <name val="Times New Roman"/>
      <family val="1"/>
    </font>
    <font>
      <b/>
      <sz val="10"/>
      <color indexed="8"/>
      <name val="Times New Roman"/>
      <family val="1"/>
    </font>
    <font>
      <sz val="10"/>
      <name val="Arial Unicode MS"/>
      <family val="2"/>
    </font>
    <font>
      <b/>
      <sz val="10"/>
      <name val="Arial Unicode MS"/>
      <family val="2"/>
    </font>
    <font>
      <sz val="10.5"/>
      <name val="Times New Roman"/>
      <family val="1"/>
    </font>
    <font>
      <u/>
      <sz val="9"/>
      <color indexed="81"/>
      <name val="Tahoma"/>
      <family val="2"/>
    </font>
    <font>
      <b/>
      <sz val="11"/>
      <color rgb="FFFF0000"/>
      <name val="Times New Roman"/>
      <family val="1"/>
    </font>
    <font>
      <sz val="10"/>
      <name val="Arial Unicode MS"/>
      <family val="2"/>
    </font>
    <font>
      <sz val="11"/>
      <color rgb="FF3333FF"/>
      <name val="Times New Roman"/>
      <family val="1"/>
    </font>
    <font>
      <strike/>
      <sz val="9"/>
      <name val="Times New Roman"/>
      <family val="1"/>
    </font>
    <font>
      <strike/>
      <sz val="9"/>
      <color indexed="12"/>
      <name val="Times New Roman"/>
      <family val="1"/>
    </font>
    <font>
      <sz val="11"/>
      <color theme="1"/>
      <name val="Times New Roman"/>
      <family val="2"/>
    </font>
    <font>
      <strike/>
      <sz val="11"/>
      <name val="Times New Roman"/>
      <family val="1"/>
    </font>
    <font>
      <b/>
      <strike/>
      <sz val="11"/>
      <name val="Times New Roman"/>
      <family val="1"/>
    </font>
    <font>
      <b/>
      <strike/>
      <u/>
      <sz val="11"/>
      <name val="Times New Roman"/>
      <family val="1"/>
    </font>
    <font>
      <strike/>
      <sz val="10"/>
      <name val="Times New Roman"/>
      <family val="1"/>
    </font>
    <font>
      <strike/>
      <sz val="12"/>
      <name val="Times New Roman"/>
      <family val="1"/>
    </font>
    <font>
      <b/>
      <strike/>
      <sz val="11"/>
      <color indexed="12"/>
      <name val="Times New Roman"/>
      <family val="1"/>
    </font>
    <font>
      <strike/>
      <u/>
      <sz val="11"/>
      <name val="Times New Roman"/>
      <family val="1"/>
    </font>
    <font>
      <strike/>
      <sz val="11"/>
      <name val="Arial"/>
      <family val="2"/>
    </font>
    <font>
      <strike/>
      <sz val="10"/>
      <name val="Arial"/>
      <family val="2"/>
    </font>
    <font>
      <i/>
      <strike/>
      <sz val="11"/>
      <name val="Times New Roman"/>
      <family val="1"/>
    </font>
    <font>
      <strike/>
      <sz val="11"/>
      <color theme="1"/>
      <name val="Times New Roman"/>
      <family val="1"/>
    </font>
    <font>
      <b/>
      <strike/>
      <sz val="11"/>
      <color theme="1"/>
      <name val="Times New Roman"/>
      <family val="1"/>
    </font>
    <font>
      <b/>
      <strike/>
      <u/>
      <sz val="11"/>
      <color theme="1"/>
      <name val="Times New Roman"/>
      <family val="1"/>
    </font>
    <font>
      <sz val="9"/>
      <color indexed="81"/>
      <name val="Times New Roman"/>
      <family val="1"/>
    </font>
    <font>
      <u/>
      <sz val="10"/>
      <name val="Times New Roman"/>
      <family val="1"/>
    </font>
    <font>
      <sz val="11"/>
      <color theme="1"/>
      <name val="Times New Roman"/>
      <family val="1"/>
    </font>
    <font>
      <b/>
      <sz val="11"/>
      <color theme="1"/>
      <name val="Times New Roman"/>
      <family val="1"/>
    </font>
    <font>
      <b/>
      <u/>
      <sz val="11"/>
      <color indexed="10"/>
      <name val="Times New Roman"/>
      <family val="1"/>
    </font>
    <font>
      <sz val="11"/>
      <color rgb="FFFF0000"/>
      <name val="Times New Roman"/>
      <family val="1"/>
    </font>
    <font>
      <b/>
      <u/>
      <sz val="9"/>
      <color indexed="81"/>
      <name val="Tahoma"/>
      <family val="2"/>
    </font>
    <font>
      <b/>
      <strike/>
      <u/>
      <sz val="9"/>
      <name val="Times New Roman"/>
      <family val="1"/>
    </font>
    <font>
      <b/>
      <strike/>
      <sz val="9"/>
      <name val="Times New Roman"/>
      <family val="1"/>
    </font>
    <font>
      <b/>
      <strike/>
      <sz val="9"/>
      <color indexed="10"/>
      <name val="Times New Roman"/>
      <family val="1"/>
    </font>
    <font>
      <b/>
      <u/>
      <sz val="10"/>
      <color indexed="10"/>
      <name val="Times New Roman"/>
      <family val="1"/>
    </font>
    <font>
      <b/>
      <u/>
      <sz val="8"/>
      <color indexed="81"/>
      <name val="Tahoma"/>
      <family val="2"/>
    </font>
    <font>
      <b/>
      <sz val="10"/>
      <color indexed="81"/>
      <name val="Times New Roman"/>
      <family val="1"/>
    </font>
    <font>
      <u val="singleAccounting"/>
      <sz val="10"/>
      <color indexed="12"/>
      <name val="Times New Roman"/>
      <family val="1"/>
    </font>
    <font>
      <b/>
      <sz val="10"/>
      <color rgb="FFFF0000"/>
      <name val="Arial"/>
      <family val="2"/>
    </font>
    <font>
      <sz val="10"/>
      <color theme="1"/>
      <name val="Times New Roman"/>
      <family val="1"/>
    </font>
    <font>
      <b/>
      <u/>
      <sz val="10"/>
      <color theme="1"/>
      <name val="Times New Roman"/>
      <family val="1"/>
    </font>
    <font>
      <i/>
      <sz val="10"/>
      <color theme="1"/>
      <name val="Times New Roman"/>
      <family val="1"/>
    </font>
    <font>
      <b/>
      <sz val="10"/>
      <color theme="1"/>
      <name val="Times New Roman"/>
      <family val="1"/>
    </font>
    <font>
      <sz val="10"/>
      <color rgb="FF000000"/>
      <name val="Times New Roman"/>
      <family val="1"/>
    </font>
    <font>
      <b/>
      <u/>
      <sz val="10"/>
      <color rgb="FF000000"/>
      <name val="Times New Roman"/>
      <family val="1"/>
    </font>
    <font>
      <sz val="11"/>
      <color indexed="12"/>
      <name val="Times New Roman"/>
      <family val="1"/>
    </font>
    <font>
      <sz val="10"/>
      <color rgb="FF000000"/>
      <name val="Tahoma"/>
      <family val="2"/>
    </font>
    <font>
      <sz val="12"/>
      <color theme="1"/>
      <name val="Times New Roman"/>
      <family val="2"/>
    </font>
    <font>
      <b/>
      <strike/>
      <u/>
      <sz val="10"/>
      <name val="Times New Roman"/>
      <family val="1"/>
    </font>
    <font>
      <b/>
      <strike/>
      <sz val="10"/>
      <name val="Times New Roman"/>
      <family val="1"/>
    </font>
    <font>
      <b/>
      <u/>
      <sz val="9"/>
      <color rgb="FFFF6600"/>
      <name val="Times New Roman"/>
      <family val="1"/>
    </font>
    <font>
      <b/>
      <u/>
      <sz val="11"/>
      <color theme="1"/>
      <name val="Times New Roman"/>
      <family val="1"/>
    </font>
    <font>
      <i/>
      <sz val="11"/>
      <color theme="1"/>
      <name val="Times New Roman"/>
      <family val="1"/>
    </font>
    <font>
      <sz val="8"/>
      <color indexed="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
      <patternFill patternType="solid">
        <fgColor theme="5" tint="0.79998168889431442"/>
        <bgColor indexed="64"/>
      </patternFill>
    </fill>
  </fills>
  <borders count="3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1">
    <xf numFmtId="0" fontId="0" fillId="0" borderId="0"/>
    <xf numFmtId="43" fontId="14" fillId="0" borderId="0" applyFont="0" applyFill="0" applyBorder="0" applyAlignment="0" applyProtection="0"/>
    <xf numFmtId="3" fontId="41" fillId="0" borderId="0" applyFont="0" applyFill="0" applyBorder="0" applyAlignment="0" applyProtection="0"/>
    <xf numFmtId="168" fontId="41" fillId="0" borderId="0" applyFont="0" applyFill="0" applyBorder="0" applyAlignment="0" applyProtection="0"/>
    <xf numFmtId="0" fontId="41" fillId="0" borderId="0" applyFont="0" applyFill="0" applyBorder="0" applyAlignment="0" applyProtection="0"/>
    <xf numFmtId="2" fontId="4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6" fillId="0" borderId="0"/>
    <xf numFmtId="0" fontId="16" fillId="0" borderId="0"/>
    <xf numFmtId="0" fontId="66" fillId="0" borderId="0"/>
    <xf numFmtId="0" fontId="54" fillId="0" borderId="0"/>
    <xf numFmtId="170" fontId="14" fillId="0" borderId="0"/>
    <xf numFmtId="180" fontId="14" fillId="0" borderId="0"/>
    <xf numFmtId="171" fontId="14" fillId="0" borderId="0"/>
    <xf numFmtId="172" fontId="14" fillId="0" borderId="0"/>
    <xf numFmtId="173" fontId="14" fillId="0" borderId="0"/>
    <xf numFmtId="174" fontId="14" fillId="0" borderId="0"/>
    <xf numFmtId="175" fontId="14" fillId="0" borderId="0"/>
    <xf numFmtId="176" fontId="14" fillId="0" borderId="0"/>
    <xf numFmtId="177" fontId="14" fillId="0" borderId="0"/>
    <xf numFmtId="178" fontId="14" fillId="0" borderId="0"/>
    <xf numFmtId="179" fontId="14" fillId="0" borderId="0"/>
    <xf numFmtId="9" fontId="14" fillId="0" borderId="0" applyFont="0" applyFill="0" applyBorder="0" applyAlignment="0" applyProtection="0"/>
    <xf numFmtId="49" fontId="14" fillId="0" borderId="0"/>
    <xf numFmtId="0" fontId="41" fillId="0" borderId="1" applyNumberFormat="0" applyFont="0" applyFill="0" applyAlignment="0" applyProtection="0"/>
    <xf numFmtId="0" fontId="31" fillId="0" borderId="0"/>
    <xf numFmtId="0" fontId="31" fillId="0" borderId="0"/>
    <xf numFmtId="0" fontId="14" fillId="0" borderId="0"/>
    <xf numFmtId="0" fontId="14" fillId="0" borderId="0"/>
    <xf numFmtId="0" fontId="13" fillId="0" borderId="0"/>
    <xf numFmtId="43" fontId="14"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9" fontId="14" fillId="0" borderId="0" applyFont="0" applyFill="0" applyBorder="0" applyAlignment="0" applyProtection="0"/>
    <xf numFmtId="0" fontId="41" fillId="0" borderId="1" applyNumberFormat="0" applyFont="0" applyFill="0" applyAlignment="0" applyProtection="0"/>
    <xf numFmtId="0" fontId="14" fillId="0" borderId="0"/>
    <xf numFmtId="0" fontId="12" fillId="0" borderId="0"/>
    <xf numFmtId="0" fontId="14"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112"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116" fillId="0" borderId="0"/>
    <xf numFmtId="0" fontId="31" fillId="0" borderId="0"/>
    <xf numFmtId="43" fontId="46" fillId="0" borderId="0" applyFont="0" applyFill="0" applyBorder="0" applyAlignment="0" applyProtection="0"/>
    <xf numFmtId="43" fontId="14"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xf numFmtId="0" fontId="8" fillId="0" borderId="0"/>
    <xf numFmtId="0" fontId="14"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46" fillId="0" borderId="0"/>
    <xf numFmtId="0" fontId="46" fillId="0" borderId="0"/>
    <xf numFmtId="0" fontId="14" fillId="0" borderId="0"/>
    <xf numFmtId="9" fontId="46" fillId="0" borderId="0" applyFont="0" applyFill="0" applyBorder="0" applyAlignment="0" applyProtection="0"/>
    <xf numFmtId="0" fontId="41" fillId="0" borderId="0"/>
    <xf numFmtId="0" fontId="41" fillId="0" borderId="1" applyNumberFormat="0" applyFont="0" applyFill="0" applyAlignment="0" applyProtection="0"/>
    <xf numFmtId="0" fontId="107" fillId="0" borderId="0"/>
    <xf numFmtId="43" fontId="7" fillId="0" borderId="0" applyFont="0" applyFill="0" applyBorder="0" applyAlignment="0" applyProtection="0"/>
    <xf numFmtId="0" fontId="6" fillId="0" borderId="0"/>
    <xf numFmtId="0" fontId="6" fillId="0" borderId="0"/>
    <xf numFmtId="0" fontId="14" fillId="0" borderId="0"/>
    <xf numFmtId="0" fontId="7" fillId="0" borderId="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46"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4" fillId="0" borderId="0"/>
    <xf numFmtId="180" fontId="14" fillId="0" borderId="0"/>
    <xf numFmtId="171" fontId="14" fillId="0" borderId="0"/>
    <xf numFmtId="172" fontId="14" fillId="0" borderId="0"/>
    <xf numFmtId="173" fontId="14" fillId="0" borderId="0"/>
    <xf numFmtId="174" fontId="14" fillId="0" borderId="0"/>
    <xf numFmtId="175" fontId="14" fillId="0" borderId="0"/>
    <xf numFmtId="176" fontId="14" fillId="0" borderId="0"/>
    <xf numFmtId="177" fontId="14" fillId="0" borderId="0"/>
    <xf numFmtId="178" fontId="14" fillId="0" borderId="0"/>
    <xf numFmtId="179" fontId="14" fillId="0" borderId="0"/>
    <xf numFmtId="9" fontId="14" fillId="0" borderId="0" applyFont="0" applyFill="0" applyBorder="0" applyAlignment="0" applyProtection="0"/>
    <xf numFmtId="9" fontId="46" fillId="0" borderId="0" applyFont="0" applyFill="0" applyBorder="0" applyAlignment="0" applyProtection="0"/>
    <xf numFmtId="49" fontId="14"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07"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4" fillId="0" borderId="0"/>
    <xf numFmtId="0" fontId="153" fillId="0" borderId="0"/>
  </cellStyleXfs>
  <cellXfs count="1433">
    <xf numFmtId="0" fontId="0" fillId="0" borderId="0" xfId="0"/>
    <xf numFmtId="41" fontId="32" fillId="2" borderId="2" xfId="0" applyNumberFormat="1" applyFont="1" applyFill="1" applyBorder="1" applyProtection="1">
      <protection locked="0"/>
    </xf>
    <xf numFmtId="41" fontId="26" fillId="2" borderId="2" xfId="1" applyNumberFormat="1" applyFont="1" applyFill="1" applyBorder="1" applyAlignment="1" applyProtection="1">
      <alignment horizontal="right"/>
      <protection locked="0"/>
    </xf>
    <xf numFmtId="0" fontId="31" fillId="2" borderId="2" xfId="0" applyFont="1" applyFill="1" applyBorder="1" applyAlignment="1" applyProtection="1">
      <alignment wrapText="1"/>
      <protection locked="0"/>
    </xf>
    <xf numFmtId="0" fontId="31" fillId="2" borderId="2" xfId="0" applyFont="1" applyFill="1" applyBorder="1" applyAlignment="1" applyProtection="1">
      <alignment horizontal="center"/>
      <protection locked="0"/>
    </xf>
    <xf numFmtId="41" fontId="32" fillId="0" borderId="0" xfId="0" applyNumberFormat="1" applyFont="1"/>
    <xf numFmtId="0" fontId="31" fillId="2" borderId="2" xfId="0" applyFont="1" applyFill="1" applyBorder="1" applyAlignment="1" applyProtection="1">
      <alignment vertical="top" wrapText="1"/>
      <protection locked="0"/>
    </xf>
    <xf numFmtId="165" fontId="26" fillId="0" borderId="0" xfId="1" applyNumberFormat="1" applyFont="1" applyFill="1" applyBorder="1" applyAlignment="1" applyProtection="1">
      <alignment horizontal="right"/>
    </xf>
    <xf numFmtId="0" fontId="28" fillId="0" borderId="0" xfId="0" applyFont="1"/>
    <xf numFmtId="0" fontId="26" fillId="0" borderId="0" xfId="0" applyFont="1" applyAlignment="1">
      <alignment horizontal="left"/>
    </xf>
    <xf numFmtId="0" fontId="26" fillId="0" borderId="0" xfId="0" applyFont="1"/>
    <xf numFmtId="0" fontId="26" fillId="0" borderId="0" xfId="0" applyFont="1" applyAlignment="1">
      <alignment horizontal="center"/>
    </xf>
    <xf numFmtId="0" fontId="31" fillId="0" borderId="0" xfId="0" applyFont="1"/>
    <xf numFmtId="0" fontId="33" fillId="0" borderId="0" xfId="0" applyFont="1"/>
    <xf numFmtId="44" fontId="31" fillId="0" borderId="0" xfId="0" applyNumberFormat="1" applyFont="1"/>
    <xf numFmtId="3" fontId="30" fillId="0" borderId="4" xfId="1" applyNumberFormat="1" applyFont="1" applyBorder="1" applyAlignment="1" applyProtection="1">
      <alignment horizontal="center" wrapText="1"/>
    </xf>
    <xf numFmtId="41" fontId="32" fillId="2" borderId="5" xfId="0" applyNumberFormat="1" applyFont="1" applyFill="1" applyBorder="1" applyProtection="1">
      <protection locked="0"/>
    </xf>
    <xf numFmtId="41" fontId="32" fillId="2" borderId="3" xfId="0" applyNumberFormat="1" applyFont="1" applyFill="1" applyBorder="1" applyProtection="1">
      <protection locked="0"/>
    </xf>
    <xf numFmtId="0" fontId="31" fillId="0" borderId="4" xfId="0" applyFont="1" applyBorder="1"/>
    <xf numFmtId="0" fontId="32" fillId="0" borderId="0" xfId="0" applyFont="1"/>
    <xf numFmtId="0" fontId="30" fillId="0" borderId="0" xfId="0" applyFont="1" applyAlignment="1">
      <alignment horizontal="left"/>
    </xf>
    <xf numFmtId="0" fontId="32" fillId="0" borderId="0" xfId="0" applyFont="1" applyAlignment="1">
      <alignment horizontal="left" wrapText="1"/>
    </xf>
    <xf numFmtId="0" fontId="32" fillId="0" borderId="0" xfId="0" applyFont="1" applyAlignment="1">
      <alignment horizontal="right"/>
    </xf>
    <xf numFmtId="0" fontId="32" fillId="0" borderId="4" xfId="0" applyFont="1" applyBorder="1"/>
    <xf numFmtId="164" fontId="30" fillId="0" borderId="0" xfId="0" applyNumberFormat="1" applyFont="1" applyAlignment="1">
      <alignment horizontal="left"/>
    </xf>
    <xf numFmtId="0" fontId="30" fillId="0" borderId="0" xfId="0" applyFont="1" applyAlignment="1">
      <alignment horizontal="center"/>
    </xf>
    <xf numFmtId="0" fontId="40" fillId="0" borderId="0" xfId="0" applyFont="1" applyAlignment="1">
      <alignment horizontal="center"/>
    </xf>
    <xf numFmtId="0" fontId="32" fillId="0" borderId="0" xfId="0" applyFont="1" applyAlignment="1">
      <alignment horizontal="center"/>
    </xf>
    <xf numFmtId="0" fontId="30" fillId="0" borderId="4" xfId="0" applyFont="1" applyBorder="1"/>
    <xf numFmtId="0" fontId="30" fillId="0" borderId="4" xfId="0" applyFont="1" applyBorder="1" applyAlignment="1">
      <alignment horizontal="center"/>
    </xf>
    <xf numFmtId="0" fontId="36" fillId="0" borderId="0" xfId="0" applyFont="1" applyAlignment="1">
      <alignment horizontal="right"/>
    </xf>
    <xf numFmtId="0" fontId="35" fillId="0" borderId="0" xfId="0" applyFont="1"/>
    <xf numFmtId="41" fontId="32" fillId="0" borderId="6" xfId="0" applyNumberFormat="1" applyFont="1" applyBorder="1"/>
    <xf numFmtId="0" fontId="35" fillId="0" borderId="0" xfId="0" applyFont="1" applyAlignment="1">
      <alignment horizontal="left"/>
    </xf>
    <xf numFmtId="0" fontId="30" fillId="0" borderId="0" xfId="0" applyFont="1"/>
    <xf numFmtId="164" fontId="30" fillId="0" borderId="0" xfId="0" quotePrefix="1" applyNumberFormat="1" applyFont="1" applyAlignment="1">
      <alignment horizontal="left"/>
    </xf>
    <xf numFmtId="0" fontId="34" fillId="0" borderId="0" xfId="0" applyFont="1" applyAlignment="1">
      <alignment horizontal="right"/>
    </xf>
    <xf numFmtId="41" fontId="32" fillId="0" borderId="7" xfId="0" applyNumberFormat="1" applyFont="1" applyBorder="1"/>
    <xf numFmtId="0" fontId="30" fillId="0" borderId="4" xfId="0" applyFont="1" applyBorder="1" applyAlignment="1">
      <alignment horizontal="left"/>
    </xf>
    <xf numFmtId="0" fontId="32" fillId="0" borderId="0" xfId="0" applyFont="1" applyAlignment="1">
      <alignment horizontal="left"/>
    </xf>
    <xf numFmtId="41" fontId="32" fillId="0" borderId="0" xfId="0" applyNumberFormat="1" applyFont="1" applyAlignment="1">
      <alignment horizontal="center" wrapText="1"/>
    </xf>
    <xf numFmtId="0" fontId="32" fillId="0" borderId="0" xfId="0" applyFont="1" applyAlignment="1">
      <alignment wrapText="1"/>
    </xf>
    <xf numFmtId="0" fontId="32" fillId="0" borderId="0" xfId="0" applyFont="1" applyAlignment="1">
      <alignment horizontal="center" wrapText="1"/>
    </xf>
    <xf numFmtId="41" fontId="30" fillId="0" borderId="0" xfId="0" applyNumberFormat="1" applyFont="1" applyAlignment="1">
      <alignment horizontal="center"/>
    </xf>
    <xf numFmtId="41" fontId="30" fillId="0" borderId="4" xfId="0" applyNumberFormat="1" applyFont="1" applyBorder="1" applyAlignment="1">
      <alignment horizontal="center"/>
    </xf>
    <xf numFmtId="0" fontId="37" fillId="0" borderId="0" xfId="0" applyFont="1" applyAlignment="1">
      <alignment horizontal="left"/>
    </xf>
    <xf numFmtId="0" fontId="32" fillId="0" borderId="0" xfId="0" applyFont="1" applyAlignment="1">
      <alignment horizontal="right" wrapText="1"/>
    </xf>
    <xf numFmtId="0" fontId="35" fillId="0" borderId="0" xfId="0" applyFont="1" applyAlignment="1">
      <alignment horizontal="right"/>
    </xf>
    <xf numFmtId="0" fontId="30" fillId="0" borderId="2" xfId="0" applyFont="1" applyBorder="1"/>
    <xf numFmtId="38" fontId="28" fillId="0" borderId="8" xfId="14" applyNumberFormat="1" applyFont="1" applyBorder="1" applyAlignment="1">
      <alignment horizontal="left"/>
    </xf>
    <xf numFmtId="38" fontId="28" fillId="0" borderId="0" xfId="14" applyNumberFormat="1" applyFont="1" applyAlignment="1">
      <alignment horizontal="left"/>
    </xf>
    <xf numFmtId="0" fontId="26" fillId="0" borderId="0" xfId="14" applyFont="1"/>
    <xf numFmtId="0" fontId="28" fillId="0" borderId="0" xfId="0" applyFont="1" applyAlignment="1">
      <alignment horizontal="left"/>
    </xf>
    <xf numFmtId="38" fontId="26" fillId="0" borderId="0" xfId="14" applyNumberFormat="1" applyFont="1"/>
    <xf numFmtId="164" fontId="28" fillId="0" borderId="0" xfId="0" applyNumberFormat="1" applyFont="1" applyAlignment="1">
      <alignment horizontal="left"/>
    </xf>
    <xf numFmtId="0" fontId="27" fillId="0" borderId="4" xfId="14" applyFont="1" applyBorder="1"/>
    <xf numFmtId="38" fontId="26" fillId="0" borderId="4" xfId="14" applyNumberFormat="1" applyFont="1" applyBorder="1"/>
    <xf numFmtId="0" fontId="26" fillId="0" borderId="4" xfId="14" applyFont="1" applyBorder="1"/>
    <xf numFmtId="0" fontId="28" fillId="0" borderId="0" xfId="14" applyFont="1"/>
    <xf numFmtId="38" fontId="28" fillId="0" borderId="4" xfId="14" applyNumberFormat="1" applyFont="1" applyBorder="1" applyAlignment="1">
      <alignment horizontal="center" wrapText="1"/>
    </xf>
    <xf numFmtId="38" fontId="26" fillId="0" borderId="6" xfId="14" applyNumberFormat="1" applyFont="1" applyBorder="1" applyAlignment="1">
      <alignment horizontal="center" wrapText="1"/>
    </xf>
    <xf numFmtId="37" fontId="26" fillId="0" borderId="0" xfId="14" applyNumberFormat="1" applyFont="1"/>
    <xf numFmtId="0" fontId="26" fillId="0" borderId="0" xfId="14" applyFont="1" applyAlignment="1">
      <alignment wrapText="1"/>
    </xf>
    <xf numFmtId="0" fontId="29" fillId="0" borderId="0" xfId="14" applyFont="1"/>
    <xf numFmtId="41" fontId="26" fillId="0" borderId="6" xfId="1" applyNumberFormat="1" applyFont="1" applyBorder="1" applyAlignment="1" applyProtection="1">
      <alignment horizontal="right"/>
    </xf>
    <xf numFmtId="41" fontId="26" fillId="0" borderId="0" xfId="1" applyNumberFormat="1" applyFont="1" applyAlignment="1" applyProtection="1">
      <alignment horizontal="right"/>
    </xf>
    <xf numFmtId="0" fontId="28" fillId="0" borderId="0" xfId="14" applyFont="1" applyAlignment="1">
      <alignment wrapText="1"/>
    </xf>
    <xf numFmtId="41" fontId="26" fillId="0" borderId="7" xfId="1" applyNumberFormat="1" applyFont="1" applyBorder="1" applyAlignment="1" applyProtection="1">
      <alignment horizontal="right"/>
    </xf>
    <xf numFmtId="41" fontId="26" fillId="0" borderId="2" xfId="14" applyNumberFormat="1" applyFont="1" applyBorder="1"/>
    <xf numFmtId="0" fontId="26" fillId="0" borderId="0" xfId="14" applyFont="1" applyAlignment="1">
      <alignment horizontal="center"/>
    </xf>
    <xf numFmtId="41" fontId="26" fillId="0" borderId="7" xfId="14" applyNumberFormat="1" applyFont="1" applyBorder="1" applyAlignment="1">
      <alignment horizontal="right"/>
    </xf>
    <xf numFmtId="41" fontId="26" fillId="2" borderId="2" xfId="14" applyNumberFormat="1" applyFont="1" applyFill="1" applyBorder="1" applyProtection="1">
      <protection locked="0"/>
    </xf>
    <xf numFmtId="0" fontId="26" fillId="0" borderId="0" xfId="13" applyFont="1"/>
    <xf numFmtId="0" fontId="30" fillId="0" borderId="0" xfId="0" applyFont="1" applyAlignment="1">
      <alignment horizontal="left" vertical="top"/>
    </xf>
    <xf numFmtId="0" fontId="28" fillId="0" borderId="0" xfId="13" applyFont="1" applyAlignment="1">
      <alignment horizontal="left" vertical="top"/>
    </xf>
    <xf numFmtId="0" fontId="28" fillId="0" borderId="0" xfId="13" applyFont="1" applyAlignment="1">
      <alignment horizontal="centerContinuous"/>
    </xf>
    <xf numFmtId="165" fontId="28" fillId="0" borderId="0" xfId="1" applyNumberFormat="1" applyFont="1" applyBorder="1" applyAlignment="1" applyProtection="1">
      <alignment horizontal="centerContinuous"/>
    </xf>
    <xf numFmtId="165" fontId="26" fillId="0" borderId="0" xfId="1" applyNumberFormat="1" applyFont="1" applyBorder="1" applyProtection="1"/>
    <xf numFmtId="0" fontId="26" fillId="0" borderId="0" xfId="13" applyFont="1" applyAlignment="1">
      <alignment vertical="center"/>
    </xf>
    <xf numFmtId="0" fontId="28" fillId="0" borderId="0" xfId="13" applyFont="1" applyAlignment="1">
      <alignment horizontal="centerContinuous" vertical="center"/>
    </xf>
    <xf numFmtId="165" fontId="28" fillId="0" borderId="0" xfId="1" applyNumberFormat="1" applyFont="1" applyAlignment="1" applyProtection="1">
      <alignment horizontal="centerContinuous" vertical="center"/>
    </xf>
    <xf numFmtId="165" fontId="26" fillId="0" borderId="0" xfId="1" applyNumberFormat="1" applyFont="1" applyAlignment="1" applyProtection="1">
      <alignment vertical="center"/>
    </xf>
    <xf numFmtId="164" fontId="32" fillId="0" borderId="0" xfId="0" applyNumberFormat="1" applyFont="1" applyAlignment="1">
      <alignment horizontal="left"/>
    </xf>
    <xf numFmtId="165" fontId="26" fillId="0" borderId="0" xfId="1" applyNumberFormat="1" applyFont="1" applyAlignment="1" applyProtection="1">
      <alignment horizontal="centerContinuous" vertical="center"/>
    </xf>
    <xf numFmtId="165" fontId="26" fillId="0" borderId="0" xfId="1" applyNumberFormat="1" applyFont="1" applyBorder="1" applyAlignment="1" applyProtection="1">
      <alignment horizontal="centerContinuous" vertical="center"/>
    </xf>
    <xf numFmtId="165" fontId="26" fillId="0" borderId="4" xfId="1" applyNumberFormat="1" applyFont="1" applyBorder="1" applyAlignment="1" applyProtection="1">
      <alignment horizontal="centerContinuous" vertical="center"/>
    </xf>
    <xf numFmtId="165" fontId="26" fillId="0" borderId="0" xfId="1" applyNumberFormat="1" applyFont="1" applyProtection="1"/>
    <xf numFmtId="41" fontId="26" fillId="0" borderId="0" xfId="13" applyNumberFormat="1" applyFont="1" applyAlignment="1">
      <alignment horizontal="right"/>
    </xf>
    <xf numFmtId="165" fontId="26" fillId="0" borderId="0" xfId="1" applyNumberFormat="1" applyFont="1" applyAlignment="1" applyProtection="1">
      <alignment horizontal="right"/>
    </xf>
    <xf numFmtId="41" fontId="26" fillId="0" borderId="4" xfId="13" applyNumberFormat="1" applyFont="1" applyBorder="1" applyAlignment="1">
      <alignment horizontal="right"/>
    </xf>
    <xf numFmtId="41" fontId="26" fillId="0" borderId="4" xfId="1" applyNumberFormat="1" applyFont="1" applyBorder="1" applyAlignment="1" applyProtection="1">
      <alignment horizontal="right"/>
    </xf>
    <xf numFmtId="0" fontId="29" fillId="0" borderId="0" xfId="13" applyFont="1"/>
    <xf numFmtId="0" fontId="26" fillId="0" borderId="0" xfId="13" applyFont="1" applyAlignment="1">
      <alignment horizontal="left"/>
    </xf>
    <xf numFmtId="0" fontId="26" fillId="0" borderId="4" xfId="13" applyFont="1" applyBorder="1"/>
    <xf numFmtId="165" fontId="26" fillId="0" borderId="4" xfId="1" applyNumberFormat="1" applyFont="1" applyBorder="1" applyProtection="1"/>
    <xf numFmtId="0" fontId="26" fillId="0" borderId="10" xfId="13" applyFont="1" applyBorder="1"/>
    <xf numFmtId="165" fontId="26" fillId="0" borderId="0" xfId="1" applyNumberFormat="1" applyFont="1" applyFill="1" applyProtection="1"/>
    <xf numFmtId="0" fontId="26" fillId="0" borderId="11" xfId="13" applyFont="1" applyBorder="1"/>
    <xf numFmtId="165" fontId="26" fillId="0" borderId="12" xfId="1" applyNumberFormat="1" applyFont="1" applyBorder="1" applyProtection="1"/>
    <xf numFmtId="165" fontId="26" fillId="0" borderId="0" xfId="1" quotePrefix="1" applyNumberFormat="1" applyFont="1" applyBorder="1" applyAlignment="1" applyProtection="1">
      <alignment horizontal="right"/>
    </xf>
    <xf numFmtId="0" fontId="26" fillId="0" borderId="13" xfId="13" applyFont="1" applyBorder="1"/>
    <xf numFmtId="165" fontId="26" fillId="0" borderId="14" xfId="1" applyNumberFormat="1" applyFont="1" applyBorder="1" applyProtection="1"/>
    <xf numFmtId="0" fontId="33" fillId="0" borderId="0" xfId="0" applyFont="1" applyAlignment="1">
      <alignment horizontal="left" vertical="top" wrapText="1"/>
    </xf>
    <xf numFmtId="0" fontId="31" fillId="0" borderId="0" xfId="0" applyFont="1" applyAlignment="1">
      <alignment horizontal="left" vertical="top" wrapText="1"/>
    </xf>
    <xf numFmtId="0" fontId="40" fillId="0" borderId="0" xfId="14" applyFont="1"/>
    <xf numFmtId="0" fontId="45" fillId="0" borderId="0" xfId="14" applyFont="1"/>
    <xf numFmtId="0" fontId="30" fillId="0" borderId="0" xfId="14" applyFont="1"/>
    <xf numFmtId="0" fontId="28" fillId="0" borderId="0" xfId="13" applyFont="1" applyAlignment="1">
      <alignment horizontal="left" vertical="top" wrapText="1"/>
    </xf>
    <xf numFmtId="165" fontId="26" fillId="0" borderId="0" xfId="1" applyNumberFormat="1" applyFont="1" applyFill="1" applyBorder="1" applyProtection="1"/>
    <xf numFmtId="0" fontId="38" fillId="0" borderId="0" xfId="0" applyFont="1" applyAlignment="1">
      <alignment horizontal="center"/>
    </xf>
    <xf numFmtId="0" fontId="31" fillId="0" borderId="0" xfId="0" applyFont="1" applyAlignment="1">
      <alignment horizontal="center" wrapText="1"/>
    </xf>
    <xf numFmtId="0" fontId="31" fillId="0" borderId="0" xfId="0" applyFont="1" applyAlignment="1">
      <alignment horizontal="center"/>
    </xf>
    <xf numFmtId="0" fontId="31" fillId="0" borderId="2" xfId="0" applyFont="1" applyBorder="1" applyAlignment="1">
      <alignment horizontal="center"/>
    </xf>
    <xf numFmtId="0" fontId="31" fillId="0" borderId="4" xfId="0" applyFont="1" applyBorder="1" applyAlignment="1">
      <alignment horizontal="center"/>
    </xf>
    <xf numFmtId="41" fontId="31" fillId="0" borderId="0" xfId="0" applyNumberFormat="1" applyFont="1"/>
    <xf numFmtId="41" fontId="26" fillId="0" borderId="2" xfId="1" applyNumberFormat="1" applyFont="1" applyFill="1" applyBorder="1" applyAlignment="1" applyProtection="1">
      <alignment horizontal="right"/>
    </xf>
    <xf numFmtId="0" fontId="31" fillId="0" borderId="15" xfId="0" applyFont="1" applyBorder="1"/>
    <xf numFmtId="0" fontId="31" fillId="0" borderId="16" xfId="0" applyFont="1" applyBorder="1"/>
    <xf numFmtId="0" fontId="31" fillId="0" borderId="11" xfId="0" applyFont="1" applyBorder="1"/>
    <xf numFmtId="0" fontId="31" fillId="0" borderId="13" xfId="0" applyFont="1" applyBorder="1"/>
    <xf numFmtId="0" fontId="28" fillId="0" borderId="0" xfId="13" applyFont="1"/>
    <xf numFmtId="0" fontId="28" fillId="0" borderId="0" xfId="13" applyFont="1" applyAlignment="1">
      <alignment vertical="center"/>
    </xf>
    <xf numFmtId="0" fontId="17" fillId="0" borderId="0" xfId="0" applyFont="1"/>
    <xf numFmtId="167" fontId="28" fillId="0" borderId="8" xfId="14" applyNumberFormat="1" applyFont="1" applyBorder="1" applyAlignment="1">
      <alignment horizontal="left"/>
    </xf>
    <xf numFmtId="0" fontId="18" fillId="0" borderId="0" xfId="0" applyFont="1" applyAlignment="1">
      <alignment vertical="top" wrapText="1"/>
    </xf>
    <xf numFmtId="0" fontId="18" fillId="0" borderId="0" xfId="0" applyFont="1"/>
    <xf numFmtId="0" fontId="31" fillId="0" borderId="0" xfId="0" applyFont="1" applyAlignment="1">
      <alignment vertical="top" wrapText="1"/>
    </xf>
    <xf numFmtId="0" fontId="18" fillId="0" borderId="0" xfId="0" applyFont="1" applyAlignment="1">
      <alignment vertical="top"/>
    </xf>
    <xf numFmtId="0" fontId="17" fillId="0" borderId="0" xfId="0" applyFont="1" applyAlignment="1">
      <alignment horizontal="center" vertical="top" wrapText="1"/>
    </xf>
    <xf numFmtId="0" fontId="19" fillId="0" borderId="0" xfId="0" applyFont="1" applyAlignment="1">
      <alignment vertical="top" wrapText="1"/>
    </xf>
    <xf numFmtId="0" fontId="17" fillId="0" borderId="2" xfId="0" applyFont="1" applyBorder="1" applyAlignment="1">
      <alignment horizontal="center" wrapText="1"/>
    </xf>
    <xf numFmtId="0" fontId="18" fillId="0" borderId="2" xfId="0" applyFont="1" applyBorder="1" applyAlignment="1">
      <alignment horizontal="center" vertical="top" wrapText="1"/>
    </xf>
    <xf numFmtId="0" fontId="18" fillId="0" borderId="2" xfId="0" applyFont="1" applyBorder="1" applyAlignment="1">
      <alignment horizontal="left" vertical="top" wrapText="1"/>
    </xf>
    <xf numFmtId="0" fontId="18" fillId="0" borderId="0" xfId="0" applyFont="1" applyAlignment="1">
      <alignment horizontal="left"/>
    </xf>
    <xf numFmtId="0" fontId="17" fillId="0" borderId="0" xfId="0" applyFont="1" applyAlignment="1">
      <alignment vertical="top" wrapText="1"/>
    </xf>
    <xf numFmtId="0" fontId="18" fillId="0" borderId="2" xfId="0" applyFont="1" applyBorder="1" applyAlignment="1">
      <alignment horizontal="center" vertical="top"/>
    </xf>
    <xf numFmtId="0" fontId="18" fillId="0" borderId="0" xfId="0" applyFont="1" applyAlignment="1">
      <alignment horizontal="center" vertical="top"/>
    </xf>
    <xf numFmtId="0" fontId="18" fillId="0" borderId="2" xfId="0" applyFont="1" applyBorder="1" applyAlignment="1">
      <alignment vertical="top" wrapText="1"/>
    </xf>
    <xf numFmtId="164" fontId="34" fillId="0" borderId="0" xfId="0" applyNumberFormat="1" applyFont="1" applyAlignment="1">
      <alignment horizontal="left"/>
    </xf>
    <xf numFmtId="164" fontId="32" fillId="0" borderId="4" xfId="0" applyNumberFormat="1" applyFont="1" applyBorder="1" applyAlignment="1">
      <alignment horizontal="left"/>
    </xf>
    <xf numFmtId="0" fontId="26" fillId="0" borderId="4" xfId="13" applyFont="1" applyBorder="1" applyAlignment="1">
      <alignment vertical="center"/>
    </xf>
    <xf numFmtId="0" fontId="28" fillId="0" borderId="4" xfId="13" applyFont="1" applyBorder="1" applyAlignment="1">
      <alignment horizontal="centerContinuous" vertical="center"/>
    </xf>
    <xf numFmtId="0" fontId="39" fillId="0" borderId="0" xfId="0" applyFont="1"/>
    <xf numFmtId="0" fontId="31" fillId="0" borderId="0" xfId="0" applyFont="1" applyAlignment="1">
      <alignment wrapText="1"/>
    </xf>
    <xf numFmtId="3" fontId="30" fillId="0" borderId="0" xfId="0" applyNumberFormat="1" applyFont="1" applyAlignment="1">
      <alignment horizontal="left"/>
    </xf>
    <xf numFmtId="3" fontId="28" fillId="0" borderId="0" xfId="0" applyNumberFormat="1" applyFont="1" applyAlignment="1">
      <alignment horizontal="left"/>
    </xf>
    <xf numFmtId="0" fontId="26" fillId="0" borderId="0" xfId="0" applyFont="1" applyAlignment="1">
      <alignment wrapText="1"/>
    </xf>
    <xf numFmtId="37" fontId="26" fillId="0" borderId="0" xfId="0" applyNumberFormat="1" applyFont="1" applyAlignment="1">
      <alignment horizontal="right"/>
    </xf>
    <xf numFmtId="3" fontId="26" fillId="0" borderId="0" xfId="0" applyNumberFormat="1" applyFont="1" applyAlignment="1">
      <alignment horizontal="right"/>
    </xf>
    <xf numFmtId="37" fontId="26" fillId="0" borderId="0" xfId="0" applyNumberFormat="1" applyFont="1" applyAlignment="1">
      <alignment horizontal="center"/>
    </xf>
    <xf numFmtId="37" fontId="26" fillId="0" borderId="0" xfId="0" applyNumberFormat="1" applyFont="1" applyAlignment="1">
      <alignment horizontal="center" wrapText="1"/>
    </xf>
    <xf numFmtId="0" fontId="26" fillId="0" borderId="3" xfId="0" applyFont="1" applyBorder="1" applyAlignment="1">
      <alignment wrapText="1"/>
    </xf>
    <xf numFmtId="0" fontId="26" fillId="0" borderId="2" xfId="0" applyFont="1" applyBorder="1" applyAlignment="1">
      <alignment wrapText="1"/>
    </xf>
    <xf numFmtId="0" fontId="29" fillId="0" borderId="0" xfId="0" applyFont="1"/>
    <xf numFmtId="41" fontId="26" fillId="0" borderId="0" xfId="0" applyNumberFormat="1" applyFont="1" applyAlignment="1">
      <alignment horizontal="left" wrapText="1"/>
    </xf>
    <xf numFmtId="0" fontId="33" fillId="0" borderId="2" xfId="0" applyFont="1" applyBorder="1" applyAlignment="1">
      <alignment horizontal="center" wrapText="1"/>
    </xf>
    <xf numFmtId="0" fontId="33" fillId="0" borderId="0" xfId="0" applyFont="1" applyAlignment="1">
      <alignment horizontal="center" wrapText="1"/>
    </xf>
    <xf numFmtId="167" fontId="31" fillId="0" borderId="0" xfId="0" applyNumberFormat="1" applyFont="1" applyAlignment="1">
      <alignment horizontal="center"/>
    </xf>
    <xf numFmtId="43" fontId="31" fillId="0" borderId="0" xfId="1" applyFont="1" applyFill="1" applyBorder="1" applyAlignment="1" applyProtection="1">
      <alignment wrapText="1"/>
    </xf>
    <xf numFmtId="41" fontId="26" fillId="2" borderId="2" xfId="14" applyNumberFormat="1" applyFont="1" applyFill="1" applyBorder="1" applyAlignment="1" applyProtection="1">
      <alignment wrapText="1"/>
      <protection locked="0"/>
    </xf>
    <xf numFmtId="0" fontId="26" fillId="2" borderId="2" xfId="14"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41" fontId="26" fillId="0" borderId="0" xfId="1" applyNumberFormat="1" applyFont="1" applyFill="1" applyBorder="1" applyAlignment="1" applyProtection="1">
      <alignment horizontal="right"/>
    </xf>
    <xf numFmtId="41" fontId="31" fillId="0" borderId="10" xfId="1" applyNumberFormat="1" applyFont="1" applyBorder="1" applyProtection="1"/>
    <xf numFmtId="10" fontId="32" fillId="0" borderId="0" xfId="28" applyNumberFormat="1" applyFont="1" applyAlignment="1" applyProtection="1">
      <alignment horizontal="right"/>
    </xf>
    <xf numFmtId="10" fontId="32" fillId="0" borderId="6" xfId="28" applyNumberFormat="1" applyFont="1" applyBorder="1" applyAlignment="1" applyProtection="1">
      <alignment horizontal="right"/>
    </xf>
    <xf numFmtId="0" fontId="31" fillId="0" borderId="0" xfId="0" applyFont="1" applyAlignment="1">
      <alignment horizontal="left"/>
    </xf>
    <xf numFmtId="0" fontId="31" fillId="0" borderId="4" xfId="0" applyFont="1" applyBorder="1" applyAlignment="1">
      <alignment horizontal="left"/>
    </xf>
    <xf numFmtId="0" fontId="31" fillId="0" borderId="0" xfId="0" applyFont="1" applyAlignment="1">
      <alignment horizontal="right"/>
    </xf>
    <xf numFmtId="0" fontId="33" fillId="3" borderId="2" xfId="0" applyFont="1" applyFill="1" applyBorder="1" applyAlignment="1">
      <alignment horizontal="center"/>
    </xf>
    <xf numFmtId="0" fontId="47" fillId="0" borderId="0" xfId="0" applyFont="1"/>
    <xf numFmtId="37" fontId="31" fillId="0" borderId="0" xfId="0" applyNumberFormat="1" applyFont="1"/>
    <xf numFmtId="0" fontId="49" fillId="0" borderId="0" xfId="0" applyFont="1" applyAlignment="1">
      <alignment horizontal="left"/>
    </xf>
    <xf numFmtId="37" fontId="33" fillId="0" borderId="0" xfId="0" applyNumberFormat="1" applyFont="1" applyAlignment="1">
      <alignment horizontal="center" wrapText="1"/>
    </xf>
    <xf numFmtId="37" fontId="33" fillId="0" borderId="4" xfId="0" applyNumberFormat="1" applyFont="1" applyBorder="1" applyAlignment="1">
      <alignment horizontal="center" wrapText="1"/>
    </xf>
    <xf numFmtId="0" fontId="33" fillId="0" borderId="4" xfId="0" applyFont="1" applyBorder="1" applyAlignment="1">
      <alignment horizontal="center" wrapText="1"/>
    </xf>
    <xf numFmtId="0" fontId="33" fillId="0" borderId="0" xfId="29" applyNumberFormat="1" applyFont="1"/>
    <xf numFmtId="41" fontId="31" fillId="2" borderId="2" xfId="1" applyNumberFormat="1" applyFont="1" applyFill="1" applyBorder="1" applyProtection="1">
      <protection locked="0"/>
    </xf>
    <xf numFmtId="41" fontId="31" fillId="0" borderId="0" xfId="1" applyNumberFormat="1" applyFont="1" applyFill="1" applyBorder="1" applyProtection="1"/>
    <xf numFmtId="49" fontId="33" fillId="0" borderId="0" xfId="29" applyFont="1"/>
    <xf numFmtId="0" fontId="31" fillId="0" borderId="7" xfId="0" applyFont="1" applyBorder="1"/>
    <xf numFmtId="41" fontId="26" fillId="0" borderId="16" xfId="1" applyNumberFormat="1" applyFont="1" applyFill="1" applyBorder="1" applyAlignment="1" applyProtection="1">
      <alignment horizontal="right"/>
    </xf>
    <xf numFmtId="0" fontId="53" fillId="0" borderId="0" xfId="0" applyFont="1" applyAlignment="1">
      <alignment horizontal="center"/>
    </xf>
    <xf numFmtId="0" fontId="53" fillId="0" borderId="0" xfId="0" applyFont="1" applyAlignment="1">
      <alignment horizontal="center" wrapText="1"/>
    </xf>
    <xf numFmtId="0" fontId="26" fillId="2" borderId="2" xfId="14" applyFont="1" applyFill="1" applyBorder="1" applyAlignment="1" applyProtection="1">
      <alignment wrapText="1"/>
      <protection locked="0"/>
    </xf>
    <xf numFmtId="0" fontId="26" fillId="2" borderId="2" xfId="14" applyFont="1" applyFill="1" applyBorder="1" applyProtection="1">
      <protection locked="0"/>
    </xf>
    <xf numFmtId="41" fontId="31" fillId="0" borderId="7" xfId="1" applyNumberFormat="1" applyFont="1" applyBorder="1" applyProtection="1"/>
    <xf numFmtId="41" fontId="26" fillId="0" borderId="0" xfId="1" applyNumberFormat="1" applyFont="1" applyBorder="1" applyAlignment="1" applyProtection="1">
      <alignment horizontal="right"/>
    </xf>
    <xf numFmtId="41" fontId="26" fillId="0" borderId="0" xfId="1" applyNumberFormat="1" applyFont="1" applyProtection="1"/>
    <xf numFmtId="41" fontId="29" fillId="0" borderId="0" xfId="1" applyNumberFormat="1" applyFont="1" applyBorder="1" applyAlignment="1" applyProtection="1">
      <alignment horizontal="right"/>
    </xf>
    <xf numFmtId="41" fontId="29" fillId="0" borderId="0" xfId="1" applyNumberFormat="1" applyFont="1" applyAlignment="1" applyProtection="1">
      <alignment horizontal="right"/>
    </xf>
    <xf numFmtId="41" fontId="26" fillId="0" borderId="0" xfId="13" applyNumberFormat="1" applyFont="1"/>
    <xf numFmtId="41" fontId="26" fillId="0" borderId="4" xfId="13" applyNumberFormat="1" applyFont="1" applyBorder="1"/>
    <xf numFmtId="41" fontId="26" fillId="0" borderId="10" xfId="13" applyNumberFormat="1" applyFont="1" applyBorder="1"/>
    <xf numFmtId="41" fontId="26" fillId="0" borderId="0" xfId="14" applyNumberFormat="1" applyFont="1"/>
    <xf numFmtId="0" fontId="31" fillId="0" borderId="2" xfId="0" applyFont="1" applyBorder="1"/>
    <xf numFmtId="41" fontId="26" fillId="0" borderId="2" xfId="1" applyNumberFormat="1" applyFont="1" applyBorder="1" applyAlignment="1" applyProtection="1">
      <alignment horizontal="right"/>
    </xf>
    <xf numFmtId="41" fontId="32" fillId="0" borderId="4" xfId="0" applyNumberFormat="1" applyFont="1" applyBorder="1"/>
    <xf numFmtId="41" fontId="31" fillId="0" borderId="0" xfId="0" applyNumberFormat="1" applyFont="1" applyAlignment="1">
      <alignment horizontal="center" wrapText="1"/>
    </xf>
    <xf numFmtId="41" fontId="35" fillId="0" borderId="0" xfId="0" applyNumberFormat="1" applyFont="1"/>
    <xf numFmtId="41" fontId="33" fillId="0" borderId="0" xfId="0" applyNumberFormat="1" applyFont="1"/>
    <xf numFmtId="41" fontId="32" fillId="0" borderId="0" xfId="0" applyNumberFormat="1" applyFont="1" applyAlignment="1">
      <alignment horizontal="left"/>
    </xf>
    <xf numFmtId="41" fontId="32" fillId="0" borderId="0" xfId="0" applyNumberFormat="1" applyFont="1" applyAlignment="1">
      <alignment wrapText="1"/>
    </xf>
    <xf numFmtId="41" fontId="26" fillId="0" borderId="10" xfId="1" applyNumberFormat="1" applyFont="1" applyBorder="1" applyAlignment="1" applyProtection="1">
      <alignment horizontal="right"/>
    </xf>
    <xf numFmtId="41" fontId="31" fillId="2" borderId="2" xfId="1" applyNumberFormat="1" applyFont="1" applyFill="1" applyBorder="1" applyAlignment="1" applyProtection="1">
      <alignment horizontal="right"/>
      <protection locked="0"/>
    </xf>
    <xf numFmtId="41" fontId="31" fillId="0" borderId="2" xfId="1" applyNumberFormat="1" applyFont="1" applyFill="1" applyBorder="1" applyAlignment="1" applyProtection="1">
      <alignment horizontal="right"/>
    </xf>
    <xf numFmtId="41" fontId="31" fillId="0" borderId="7" xfId="1" applyNumberFormat="1" applyFont="1" applyBorder="1" applyAlignment="1" applyProtection="1">
      <alignment horizontal="right"/>
    </xf>
    <xf numFmtId="41" fontId="31" fillId="0" borderId="2" xfId="1" applyNumberFormat="1" applyFont="1" applyBorder="1" applyAlignment="1" applyProtection="1">
      <alignment horizontal="right"/>
    </xf>
    <xf numFmtId="41" fontId="31" fillId="0" borderId="2" xfId="0" applyNumberFormat="1" applyFont="1" applyBorder="1" applyAlignment="1">
      <alignment horizontal="right"/>
    </xf>
    <xf numFmtId="41" fontId="31" fillId="0" borderId="16" xfId="0" applyNumberFormat="1" applyFont="1" applyBorder="1"/>
    <xf numFmtId="41" fontId="31" fillId="0" borderId="10" xfId="0" applyNumberFormat="1" applyFont="1" applyBorder="1" applyAlignment="1">
      <alignment horizontal="right"/>
    </xf>
    <xf numFmtId="41" fontId="31" fillId="0" borderId="7" xfId="0" applyNumberFormat="1" applyFont="1" applyBorder="1" applyAlignment="1">
      <alignment horizontal="right"/>
    </xf>
    <xf numFmtId="41" fontId="31" fillId="0" borderId="16" xfId="0" applyNumberFormat="1" applyFont="1" applyBorder="1" applyAlignment="1">
      <alignment horizontal="right"/>
    </xf>
    <xf numFmtId="41" fontId="31" fillId="0" borderId="0" xfId="0" applyNumberFormat="1" applyFont="1" applyAlignment="1">
      <alignment horizontal="right"/>
    </xf>
    <xf numFmtId="169" fontId="26" fillId="2" borderId="2" xfId="14" applyNumberFormat="1" applyFont="1" applyFill="1" applyBorder="1" applyAlignment="1" applyProtection="1">
      <alignment vertical="top" wrapText="1"/>
      <protection locked="0"/>
    </xf>
    <xf numFmtId="169" fontId="26" fillId="2" borderId="2" xfId="14" applyNumberFormat="1" applyFont="1" applyFill="1" applyBorder="1" applyProtection="1">
      <protection locked="0"/>
    </xf>
    <xf numFmtId="41" fontId="26" fillId="0" borderId="0" xfId="1" applyNumberFormat="1" applyFont="1" applyBorder="1" applyProtection="1"/>
    <xf numFmtId="41" fontId="26" fillId="0" borderId="4" xfId="1" applyNumberFormat="1" applyFont="1" applyFill="1" applyBorder="1" applyAlignment="1" applyProtection="1">
      <alignment horizontal="right"/>
    </xf>
    <xf numFmtId="41" fontId="26" fillId="0" borderId="6" xfId="1" applyNumberFormat="1" applyFont="1" applyFill="1" applyBorder="1" applyAlignment="1" applyProtection="1">
      <alignment horizontal="right"/>
    </xf>
    <xf numFmtId="41" fontId="26" fillId="0" borderId="0" xfId="1" applyNumberFormat="1" applyFont="1" applyFill="1" applyProtection="1"/>
    <xf numFmtId="41" fontId="26" fillId="0" borderId="0" xfId="1" applyNumberFormat="1" applyFont="1" applyFill="1" applyAlignment="1" applyProtection="1">
      <alignment horizontal="right"/>
    </xf>
    <xf numFmtId="41" fontId="26" fillId="0" borderId="10" xfId="1" applyNumberFormat="1" applyFont="1" applyFill="1" applyBorder="1" applyAlignment="1" applyProtection="1">
      <alignment horizontal="right"/>
    </xf>
    <xf numFmtId="164" fontId="30" fillId="0" borderId="0" xfId="10" applyNumberFormat="1" applyFont="1" applyAlignment="1">
      <alignment horizontal="left"/>
    </xf>
    <xf numFmtId="0" fontId="32" fillId="0" borderId="0" xfId="10" applyFont="1"/>
    <xf numFmtId="0" fontId="57" fillId="0" borderId="0" xfId="0" applyFont="1"/>
    <xf numFmtId="10" fontId="32" fillId="0" borderId="0" xfId="28" applyNumberFormat="1" applyFont="1" applyFill="1" applyBorder="1" applyAlignment="1" applyProtection="1">
      <alignment horizontal="right"/>
    </xf>
    <xf numFmtId="41" fontId="32" fillId="0" borderId="2" xfId="0" applyNumberFormat="1" applyFont="1" applyBorder="1"/>
    <xf numFmtId="0" fontId="26" fillId="0" borderId="0" xfId="13" applyFont="1" applyAlignment="1">
      <alignment horizontal="right"/>
    </xf>
    <xf numFmtId="0" fontId="26" fillId="0" borderId="0" xfId="13" applyFont="1" applyAlignment="1">
      <alignment horizontal="right" vertical="center"/>
    </xf>
    <xf numFmtId="41" fontId="26" fillId="0" borderId="0" xfId="13" applyNumberFormat="1" applyFont="1" applyAlignment="1">
      <alignment horizontal="right" vertical="center"/>
    </xf>
    <xf numFmtId="0" fontId="58" fillId="0" borderId="0" xfId="0" applyFont="1" applyAlignment="1">
      <alignment horizontal="left"/>
    </xf>
    <xf numFmtId="0" fontId="58" fillId="0" borderId="0" xfId="0" applyFont="1"/>
    <xf numFmtId="0" fontId="31" fillId="2" borderId="2" xfId="0" applyFont="1" applyFill="1" applyBorder="1" applyAlignment="1" applyProtection="1">
      <alignment horizontal="left" wrapText="1"/>
      <protection locked="0"/>
    </xf>
    <xf numFmtId="38" fontId="28" fillId="0" borderId="2" xfId="14" applyNumberFormat="1" applyFont="1" applyBorder="1" applyAlignment="1">
      <alignment horizontal="left"/>
    </xf>
    <xf numFmtId="167" fontId="28" fillId="0" borderId="2" xfId="14" applyNumberFormat="1" applyFont="1" applyBorder="1" applyAlignment="1">
      <alignment horizontal="left"/>
    </xf>
    <xf numFmtId="0" fontId="27" fillId="0" borderId="0" xfId="13" applyFont="1"/>
    <xf numFmtId="165" fontId="26" fillId="0" borderId="0" xfId="1" applyNumberFormat="1" applyFont="1" applyFill="1" applyAlignment="1" applyProtection="1">
      <alignment horizontal="right"/>
    </xf>
    <xf numFmtId="165" fontId="26" fillId="0" borderId="0" xfId="1" applyNumberFormat="1" applyFont="1" applyAlignment="1" applyProtection="1">
      <alignment horizontal="center" wrapText="1"/>
    </xf>
    <xf numFmtId="165" fontId="29" fillId="0" borderId="0" xfId="1" applyNumberFormat="1" applyFont="1" applyFill="1" applyBorder="1" applyProtection="1"/>
    <xf numFmtId="0" fontId="26" fillId="0" borderId="0" xfId="13" applyFont="1" applyAlignment="1">
      <alignment horizontal="center" wrapText="1"/>
    </xf>
    <xf numFmtId="0" fontId="26" fillId="0" borderId="2" xfId="0" applyFont="1" applyBorder="1"/>
    <xf numFmtId="0" fontId="31" fillId="0" borderId="8" xfId="0" applyFont="1" applyBorder="1" applyAlignment="1">
      <alignment horizontal="left"/>
    </xf>
    <xf numFmtId="167" fontId="28" fillId="0" borderId="0" xfId="14" applyNumberFormat="1" applyFont="1" applyAlignment="1">
      <alignment horizontal="left"/>
    </xf>
    <xf numFmtId="0" fontId="56" fillId="0" borderId="0" xfId="10" applyFont="1"/>
    <xf numFmtId="3" fontId="56" fillId="0" borderId="0" xfId="1" applyNumberFormat="1" applyFont="1" applyFill="1" applyBorder="1" applyProtection="1"/>
    <xf numFmtId="0" fontId="31" fillId="0" borderId="0" xfId="10" applyFont="1" applyAlignment="1">
      <alignment vertical="top"/>
    </xf>
    <xf numFmtId="0" fontId="31" fillId="0" borderId="0" xfId="10" applyFont="1"/>
    <xf numFmtId="0" fontId="38" fillId="0" borderId="0" xfId="10" applyFont="1" applyAlignment="1">
      <alignment horizontal="center"/>
    </xf>
    <xf numFmtId="0" fontId="31" fillId="0" borderId="0" xfId="10" applyFont="1" applyAlignment="1">
      <alignment horizontal="center" wrapText="1"/>
    </xf>
    <xf numFmtId="0" fontId="64" fillId="0" borderId="0" xfId="14" applyFont="1"/>
    <xf numFmtId="0" fontId="59" fillId="0" borderId="0" xfId="13" applyFont="1"/>
    <xf numFmtId="0" fontId="59" fillId="0" borderId="0" xfId="0" applyFont="1"/>
    <xf numFmtId="10" fontId="32" fillId="0" borderId="0" xfId="28" applyNumberFormat="1" applyFont="1" applyBorder="1" applyAlignment="1" applyProtection="1">
      <alignment horizontal="right"/>
    </xf>
    <xf numFmtId="10" fontId="32" fillId="0" borderId="0" xfId="28" applyNumberFormat="1" applyFont="1" applyFill="1" applyAlignment="1" applyProtection="1">
      <alignment horizontal="right"/>
    </xf>
    <xf numFmtId="2" fontId="32" fillId="0" borderId="0" xfId="0" applyNumberFormat="1" applyFont="1"/>
    <xf numFmtId="41" fontId="32" fillId="0" borderId="6" xfId="0" applyNumberFormat="1" applyFont="1" applyBorder="1" applyAlignment="1">
      <alignment horizontal="right"/>
    </xf>
    <xf numFmtId="41" fontId="30" fillId="0" borderId="0" xfId="0" applyNumberFormat="1" applyFont="1" applyAlignment="1">
      <alignment horizontal="center" wrapText="1"/>
    </xf>
    <xf numFmtId="2" fontId="31" fillId="0" borderId="0" xfId="0" applyNumberFormat="1" applyFont="1"/>
    <xf numFmtId="0" fontId="30" fillId="0" borderId="0" xfId="0" applyFont="1" applyAlignment="1">
      <alignment horizontal="center" wrapText="1"/>
    </xf>
    <xf numFmtId="0" fontId="40" fillId="0" borderId="0" xfId="0" applyFont="1" applyAlignment="1">
      <alignment horizontal="center" wrapText="1"/>
    </xf>
    <xf numFmtId="41" fontId="31" fillId="0" borderId="2" xfId="0" applyNumberFormat="1" applyFont="1" applyBorder="1"/>
    <xf numFmtId="41" fontId="31" fillId="0" borderId="8" xfId="0" applyNumberFormat="1" applyFont="1" applyBorder="1"/>
    <xf numFmtId="0" fontId="31" fillId="0" borderId="5" xfId="0" applyFont="1" applyBorder="1"/>
    <xf numFmtId="41" fontId="28" fillId="0" borderId="2" xfId="13" applyNumberFormat="1" applyFont="1" applyBorder="1" applyAlignment="1">
      <alignment horizontal="centerContinuous" vertical="center"/>
    </xf>
    <xf numFmtId="0" fontId="31" fillId="0" borderId="0" xfId="0" applyFont="1" applyAlignment="1">
      <alignment horizontal="left" wrapText="1"/>
    </xf>
    <xf numFmtId="0" fontId="31" fillId="0" borderId="6" xfId="0" applyFont="1" applyBorder="1" applyAlignment="1">
      <alignment horizontal="left" wrapText="1"/>
    </xf>
    <xf numFmtId="0" fontId="31" fillId="0" borderId="16" xfId="0" applyFont="1" applyBorder="1" applyAlignment="1">
      <alignment horizontal="left" wrapText="1"/>
    </xf>
    <xf numFmtId="0" fontId="29" fillId="0" borderId="0" xfId="13" applyFont="1" applyAlignment="1">
      <alignment vertical="center"/>
    </xf>
    <xf numFmtId="165" fontId="28" fillId="0" borderId="0" xfId="1" applyNumberFormat="1" applyFont="1" applyAlignment="1" applyProtection="1">
      <alignment horizontal="right"/>
    </xf>
    <xf numFmtId="41" fontId="26" fillId="2" borderId="8" xfId="1" applyNumberFormat="1" applyFont="1" applyFill="1" applyBorder="1" applyAlignment="1" applyProtection="1">
      <alignment horizontal="right"/>
      <protection locked="0"/>
    </xf>
    <xf numFmtId="0" fontId="31" fillId="0" borderId="0" xfId="9" applyFont="1"/>
    <xf numFmtId="0" fontId="33" fillId="0" borderId="0" xfId="9" applyFont="1" applyAlignment="1">
      <alignment horizontal="right"/>
    </xf>
    <xf numFmtId="0" fontId="30" fillId="0" borderId="0" xfId="12" applyFont="1" applyAlignment="1">
      <alignment horizontal="left" vertical="top"/>
    </xf>
    <xf numFmtId="0" fontId="32" fillId="0" borderId="0" xfId="14" applyFont="1"/>
    <xf numFmtId="38" fontId="32" fillId="0" borderId="0" xfId="14" applyNumberFormat="1" applyFont="1"/>
    <xf numFmtId="0" fontId="34" fillId="0" borderId="0" xfId="0" applyFont="1"/>
    <xf numFmtId="41" fontId="31" fillId="0" borderId="2" xfId="1" applyNumberFormat="1" applyFont="1" applyBorder="1" applyProtection="1"/>
    <xf numFmtId="41" fontId="31" fillId="2" borderId="2" xfId="1" applyNumberFormat="1" applyFont="1" applyFill="1" applyBorder="1" applyProtection="1"/>
    <xf numFmtId="0" fontId="55" fillId="0" borderId="0" xfId="13" applyFont="1" applyAlignment="1">
      <alignment vertical="top" wrapText="1"/>
    </xf>
    <xf numFmtId="0" fontId="56" fillId="0" borderId="0" xfId="16" applyFont="1" applyAlignment="1">
      <alignment vertical="top" wrapText="1"/>
    </xf>
    <xf numFmtId="0" fontId="31" fillId="0" borderId="4" xfId="16" applyFont="1" applyBorder="1" applyAlignment="1">
      <alignment vertical="top" wrapText="1"/>
    </xf>
    <xf numFmtId="0" fontId="31" fillId="0" borderId="0" xfId="16" applyFont="1" applyAlignment="1">
      <alignment vertical="top" wrapText="1"/>
    </xf>
    <xf numFmtId="0" fontId="31" fillId="0" borderId="0" xfId="0" applyFont="1" applyAlignment="1">
      <alignment vertical="top"/>
    </xf>
    <xf numFmtId="41" fontId="71" fillId="0" borderId="0" xfId="0" applyNumberFormat="1" applyFont="1"/>
    <xf numFmtId="0" fontId="71" fillId="0" borderId="0" xfId="0" applyFont="1" applyAlignment="1">
      <alignment horizontal="right"/>
    </xf>
    <xf numFmtId="41" fontId="45" fillId="0" borderId="0" xfId="0" applyNumberFormat="1" applyFont="1" applyAlignment="1">
      <alignment horizontal="right"/>
    </xf>
    <xf numFmtId="41" fontId="26" fillId="0" borderId="7" xfId="1" quotePrefix="1" applyNumberFormat="1" applyFont="1" applyBorder="1" applyAlignment="1" applyProtection="1">
      <alignment horizontal="right"/>
    </xf>
    <xf numFmtId="41" fontId="45" fillId="0" borderId="0" xfId="14" quotePrefix="1" applyNumberFormat="1" applyFont="1"/>
    <xf numFmtId="41" fontId="45" fillId="0" borderId="0" xfId="1" quotePrefix="1" applyNumberFormat="1" applyFont="1" applyBorder="1" applyAlignment="1" applyProtection="1">
      <alignment horizontal="left"/>
    </xf>
    <xf numFmtId="0" fontId="45" fillId="0" borderId="0" xfId="0" applyFont="1" applyAlignment="1">
      <alignment horizontal="right"/>
    </xf>
    <xf numFmtId="41" fontId="45" fillId="0" borderId="0" xfId="14" quotePrefix="1" applyNumberFormat="1" applyFont="1" applyAlignment="1">
      <alignment horizontal="left"/>
    </xf>
    <xf numFmtId="41" fontId="45" fillId="0" borderId="0" xfId="14" quotePrefix="1" applyNumberFormat="1" applyFont="1" applyAlignment="1">
      <alignment horizontal="right"/>
    </xf>
    <xf numFmtId="41" fontId="31" fillId="0" borderId="2" xfId="1" quotePrefix="1" applyNumberFormat="1" applyFont="1" applyFill="1" applyBorder="1" applyAlignment="1" applyProtection="1">
      <alignment horizontal="right"/>
    </xf>
    <xf numFmtId="41" fontId="26" fillId="0" borderId="7" xfId="14" quotePrefix="1" applyNumberFormat="1" applyFont="1" applyBorder="1" applyAlignment="1">
      <alignment horizontal="right"/>
    </xf>
    <xf numFmtId="41" fontId="71" fillId="0" borderId="0" xfId="0" quotePrefix="1" applyNumberFormat="1" applyFont="1"/>
    <xf numFmtId="41" fontId="32" fillId="0" borderId="7" xfId="0" quotePrefix="1" applyNumberFormat="1" applyFont="1" applyBorder="1"/>
    <xf numFmtId="41" fontId="53" fillId="0" borderId="0" xfId="0" quotePrefix="1" applyNumberFormat="1" applyFont="1" applyAlignment="1">
      <alignment horizontal="left"/>
    </xf>
    <xf numFmtId="41" fontId="53" fillId="0" borderId="0" xfId="0" applyNumberFormat="1" applyFont="1" applyAlignment="1">
      <alignment horizontal="left"/>
    </xf>
    <xf numFmtId="42" fontId="71" fillId="0" borderId="0" xfId="1" applyNumberFormat="1" applyFont="1" applyFill="1" applyBorder="1" applyAlignment="1" applyProtection="1">
      <alignment horizontal="right"/>
    </xf>
    <xf numFmtId="0" fontId="53" fillId="0" borderId="0" xfId="14" applyFont="1" applyAlignment="1">
      <alignment horizontal="right"/>
    </xf>
    <xf numFmtId="41" fontId="53" fillId="0" borderId="0" xfId="14" applyNumberFormat="1" applyFont="1"/>
    <xf numFmtId="165" fontId="26" fillId="0" borderId="0" xfId="1" applyNumberFormat="1" applyFont="1" applyBorder="1" applyAlignment="1" applyProtection="1">
      <alignment horizontal="right"/>
    </xf>
    <xf numFmtId="0" fontId="31" fillId="0" borderId="0" xfId="13" applyFont="1"/>
    <xf numFmtId="0" fontId="33" fillId="0" borderId="2" xfId="0" applyFont="1" applyBorder="1"/>
    <xf numFmtId="0" fontId="33" fillId="0" borderId="2" xfId="0" applyFont="1" applyBorder="1" applyAlignment="1">
      <alignment wrapText="1"/>
    </xf>
    <xf numFmtId="41" fontId="26" fillId="0" borderId="4" xfId="13" applyNumberFormat="1" applyFont="1" applyBorder="1" applyAlignment="1">
      <alignment horizontal="right" vertical="center"/>
    </xf>
    <xf numFmtId="0" fontId="26" fillId="0" borderId="4" xfId="13" applyFont="1" applyBorder="1" applyAlignment="1">
      <alignment horizontal="right" vertical="center"/>
    </xf>
    <xf numFmtId="183" fontId="31" fillId="2" borderId="2" xfId="0" applyNumberFormat="1" applyFont="1" applyFill="1" applyBorder="1" applyAlignment="1" applyProtection="1">
      <alignment horizontal="center"/>
      <protection locked="0"/>
    </xf>
    <xf numFmtId="49" fontId="32" fillId="0" borderId="0" xfId="0" applyNumberFormat="1" applyFont="1" applyAlignment="1">
      <alignment horizontal="left"/>
    </xf>
    <xf numFmtId="41" fontId="32" fillId="2" borderId="2" xfId="0" applyNumberFormat="1" applyFont="1" applyFill="1" applyBorder="1"/>
    <xf numFmtId="0" fontId="53" fillId="2" borderId="2" xfId="0" applyFont="1" applyFill="1" applyBorder="1" applyAlignment="1">
      <alignment horizontal="center"/>
    </xf>
    <xf numFmtId="0" fontId="0" fillId="0" borderId="12" xfId="0" applyBorder="1" applyAlignment="1">
      <alignment horizontal="left"/>
    </xf>
    <xf numFmtId="0" fontId="33" fillId="0" borderId="0" xfId="0" applyFont="1" applyAlignment="1">
      <alignment horizontal="left" vertical="top"/>
    </xf>
    <xf numFmtId="0" fontId="33" fillId="0" borderId="0" xfId="13" applyFont="1" applyAlignment="1">
      <alignment horizontal="left" vertical="top" wrapText="1"/>
    </xf>
    <xf numFmtId="0" fontId="33" fillId="0" borderId="0" xfId="0" applyFont="1" applyAlignment="1">
      <alignment horizontal="left"/>
    </xf>
    <xf numFmtId="165" fontId="31" fillId="0" borderId="0" xfId="1" applyNumberFormat="1" applyFont="1" applyFill="1" applyBorder="1" applyProtection="1"/>
    <xf numFmtId="164" fontId="33" fillId="0" borderId="0" xfId="0" applyNumberFormat="1" applyFont="1" applyAlignment="1">
      <alignment horizontal="left"/>
    </xf>
    <xf numFmtId="0" fontId="31" fillId="0" borderId="0" xfId="13" applyFont="1" applyAlignment="1">
      <alignment vertical="center"/>
    </xf>
    <xf numFmtId="0" fontId="33" fillId="0" borderId="0" xfId="13" applyFont="1" applyAlignment="1">
      <alignment horizontal="centerContinuous" vertical="center"/>
    </xf>
    <xf numFmtId="165" fontId="33" fillId="0" borderId="0" xfId="1" applyNumberFormat="1" applyFont="1" applyFill="1" applyAlignment="1" applyProtection="1">
      <alignment horizontal="centerContinuous" vertical="center"/>
    </xf>
    <xf numFmtId="164" fontId="31" fillId="0" borderId="0" xfId="0" applyNumberFormat="1" applyFont="1" applyAlignment="1">
      <alignment horizontal="left"/>
    </xf>
    <xf numFmtId="164" fontId="33" fillId="0" borderId="0" xfId="10" applyNumberFormat="1" applyFont="1" applyAlignment="1">
      <alignment horizontal="left" vertical="top"/>
    </xf>
    <xf numFmtId="165" fontId="31" fillId="0" borderId="0" xfId="1" applyNumberFormat="1" applyFont="1" applyFill="1" applyBorder="1" applyAlignment="1" applyProtection="1">
      <alignment vertical="top"/>
    </xf>
    <xf numFmtId="0" fontId="33" fillId="0" borderId="0" xfId="10" applyFont="1"/>
    <xf numFmtId="0" fontId="56" fillId="0" borderId="0" xfId="0" applyFont="1" applyAlignment="1">
      <alignment wrapText="1"/>
    </xf>
    <xf numFmtId="0" fontId="65" fillId="0" borderId="0" xfId="10" applyFont="1"/>
    <xf numFmtId="0" fontId="56" fillId="0" borderId="0" xfId="13" applyFont="1"/>
    <xf numFmtId="165" fontId="56" fillId="0" borderId="0" xfId="1" applyNumberFormat="1" applyFont="1" applyProtection="1"/>
    <xf numFmtId="3" fontId="56" fillId="0" borderId="0" xfId="1" applyNumberFormat="1" applyFont="1" applyBorder="1" applyProtection="1"/>
    <xf numFmtId="0" fontId="33" fillId="0" borderId="4" xfId="0" applyFont="1" applyBorder="1"/>
    <xf numFmtId="0" fontId="31" fillId="0" borderId="0" xfId="0" quotePrefix="1" applyFont="1" applyAlignment="1">
      <alignment horizontal="right"/>
    </xf>
    <xf numFmtId="41" fontId="71" fillId="0" borderId="0" xfId="1" applyNumberFormat="1" applyFont="1" applyBorder="1" applyAlignment="1" applyProtection="1">
      <alignment horizontal="right"/>
    </xf>
    <xf numFmtId="41" fontId="31" fillId="0" borderId="4" xfId="0" applyNumberFormat="1" applyFont="1" applyBorder="1" applyAlignment="1">
      <alignment horizontal="center"/>
    </xf>
    <xf numFmtId="0" fontId="80" fillId="0" borderId="0" xfId="0" applyFont="1" applyAlignment="1">
      <alignment horizontal="center"/>
    </xf>
    <xf numFmtId="41" fontId="31" fillId="0" borderId="0" xfId="0" applyNumberFormat="1" applyFont="1" applyAlignment="1">
      <alignment horizontal="centerContinuous"/>
    </xf>
    <xf numFmtId="0" fontId="31" fillId="0" borderId="0" xfId="0" applyFont="1" applyAlignment="1">
      <alignment horizontal="right" wrapText="1"/>
    </xf>
    <xf numFmtId="0" fontId="33" fillId="0" borderId="0" xfId="13" applyFont="1"/>
    <xf numFmtId="0" fontId="33" fillId="0" borderId="0" xfId="13" applyFont="1" applyAlignment="1">
      <alignment vertical="center"/>
    </xf>
    <xf numFmtId="164" fontId="39" fillId="0" borderId="0" xfId="0" applyNumberFormat="1" applyFont="1" applyAlignment="1">
      <alignment horizontal="left"/>
    </xf>
    <xf numFmtId="164" fontId="31" fillId="0" borderId="4" xfId="0" applyNumberFormat="1" applyFont="1" applyBorder="1" applyAlignment="1">
      <alignment horizontal="left"/>
    </xf>
    <xf numFmtId="0" fontId="31" fillId="0" borderId="4" xfId="13" applyFont="1" applyBorder="1" applyAlignment="1">
      <alignment vertical="center"/>
    </xf>
    <xf numFmtId="0" fontId="33" fillId="0" borderId="4" xfId="13" applyFont="1" applyBorder="1" applyAlignment="1">
      <alignment horizontal="centerContinuous" vertical="center"/>
    </xf>
    <xf numFmtId="41" fontId="31" fillId="0" borderId="0" xfId="1" applyNumberFormat="1" applyFont="1" applyFill="1" applyBorder="1" applyAlignment="1" applyProtection="1">
      <alignment horizontal="right"/>
    </xf>
    <xf numFmtId="41" fontId="31" fillId="0" borderId="6" xfId="1" applyNumberFormat="1" applyFont="1" applyFill="1" applyBorder="1" applyAlignment="1" applyProtection="1">
      <alignment horizontal="right"/>
    </xf>
    <xf numFmtId="41" fontId="31" fillId="0" borderId="2" xfId="1" applyNumberFormat="1" applyFont="1" applyFill="1" applyBorder="1" applyProtection="1"/>
    <xf numFmtId="41" fontId="26" fillId="0" borderId="0" xfId="1" quotePrefix="1" applyNumberFormat="1" applyFont="1" applyBorder="1" applyAlignment="1" applyProtection="1">
      <alignment horizontal="right"/>
    </xf>
    <xf numFmtId="38" fontId="33" fillId="4" borderId="0" xfId="14" applyNumberFormat="1" applyFont="1" applyFill="1" applyAlignment="1">
      <alignment horizontal="left"/>
    </xf>
    <xf numFmtId="0" fontId="26" fillId="0" borderId="0" xfId="0" applyFont="1" applyAlignment="1">
      <alignment vertical="center" wrapText="1"/>
    </xf>
    <xf numFmtId="0" fontId="28" fillId="0" borderId="2" xfId="0" applyFont="1" applyBorder="1" applyAlignment="1">
      <alignment wrapText="1"/>
    </xf>
    <xf numFmtId="0" fontId="32" fillId="0" borderId="16" xfId="0" applyFont="1" applyBorder="1"/>
    <xf numFmtId="0" fontId="31" fillId="0" borderId="17" xfId="0" applyFont="1" applyBorder="1"/>
    <xf numFmtId="0" fontId="32" fillId="0" borderId="11" xfId="0" applyFont="1" applyBorder="1"/>
    <xf numFmtId="0" fontId="31" fillId="0" borderId="12" xfId="0" applyFont="1" applyBorder="1"/>
    <xf numFmtId="0" fontId="32" fillId="0" borderId="13" xfId="0" applyFont="1" applyBorder="1"/>
    <xf numFmtId="0" fontId="40" fillId="0" borderId="15" xfId="0" applyFont="1" applyBorder="1"/>
    <xf numFmtId="38" fontId="33" fillId="0" borderId="0" xfId="14" applyNumberFormat="1" applyFont="1" applyAlignment="1">
      <alignment horizontal="left"/>
    </xf>
    <xf numFmtId="182" fontId="33" fillId="0" borderId="0" xfId="14" applyNumberFormat="1" applyFont="1" applyAlignment="1">
      <alignment horizontal="left"/>
    </xf>
    <xf numFmtId="38" fontId="79" fillId="0" borderId="0" xfId="14" applyNumberFormat="1" applyFont="1" applyAlignment="1">
      <alignment horizontal="left"/>
    </xf>
    <xf numFmtId="183" fontId="33" fillId="0" borderId="0" xfId="14" applyNumberFormat="1" applyFont="1" applyAlignment="1">
      <alignment horizontal="left"/>
    </xf>
    <xf numFmtId="0" fontId="72" fillId="0" borderId="0" xfId="0" applyFont="1" applyAlignment="1">
      <alignment vertical="top" wrapText="1"/>
    </xf>
    <xf numFmtId="181" fontId="31" fillId="0" borderId="0" xfId="0" applyNumberFormat="1" applyFont="1" applyAlignment="1">
      <alignment horizontal="left"/>
    </xf>
    <xf numFmtId="10" fontId="31" fillId="0" borderId="0" xfId="0" applyNumberFormat="1" applyFont="1" applyAlignment="1">
      <alignment horizontal="left"/>
    </xf>
    <xf numFmtId="41" fontId="31" fillId="2" borderId="2" xfId="1" applyNumberFormat="1" applyFont="1" applyFill="1" applyBorder="1" applyAlignment="1" applyProtection="1">
      <alignment wrapText="1"/>
      <protection locked="0"/>
    </xf>
    <xf numFmtId="0" fontId="26" fillId="0" borderId="12" xfId="13" applyFont="1" applyBorder="1" applyAlignment="1">
      <alignment wrapText="1"/>
    </xf>
    <xf numFmtId="0" fontId="46" fillId="0" borderId="0" xfId="0" applyFont="1"/>
    <xf numFmtId="0" fontId="46" fillId="0" borderId="12" xfId="0" applyFont="1" applyBorder="1"/>
    <xf numFmtId="165" fontId="26" fillId="0" borderId="0" xfId="1" applyNumberFormat="1" applyFont="1" applyBorder="1" applyAlignment="1" applyProtection="1"/>
    <xf numFmtId="165" fontId="26" fillId="0" borderId="12" xfId="1" applyNumberFormat="1" applyFont="1" applyBorder="1" applyAlignment="1" applyProtection="1"/>
    <xf numFmtId="38" fontId="28" fillId="4" borderId="0" xfId="14" applyNumberFormat="1" applyFont="1" applyFill="1" applyAlignment="1">
      <alignment horizontal="left"/>
    </xf>
    <xf numFmtId="49" fontId="28" fillId="4" borderId="0" xfId="14" applyNumberFormat="1" applyFont="1" applyFill="1" applyAlignment="1">
      <alignment horizontal="left"/>
    </xf>
    <xf numFmtId="166" fontId="26" fillId="0" borderId="0" xfId="1" quotePrefix="1" applyNumberFormat="1" applyFont="1" applyBorder="1" applyAlignment="1" applyProtection="1">
      <alignment horizontal="center" vertical="center"/>
    </xf>
    <xf numFmtId="0" fontId="0" fillId="0" borderId="12" xfId="0" applyBorder="1" applyAlignment="1">
      <alignment horizontal="left" wrapText="1"/>
    </xf>
    <xf numFmtId="0" fontId="46" fillId="0" borderId="12" xfId="0" applyFont="1" applyBorder="1" applyAlignment="1">
      <alignment horizontal="left" wrapText="1"/>
    </xf>
    <xf numFmtId="182" fontId="28" fillId="0" borderId="0" xfId="14" applyNumberFormat="1" applyFont="1" applyAlignment="1">
      <alignment horizontal="left"/>
    </xf>
    <xf numFmtId="38" fontId="69" fillId="0" borderId="0" xfId="14" applyNumberFormat="1" applyFont="1" applyAlignment="1">
      <alignment horizontal="left"/>
    </xf>
    <xf numFmtId="183" fontId="28" fillId="0" borderId="0" xfId="14" applyNumberFormat="1" applyFont="1" applyAlignment="1">
      <alignment horizontal="left"/>
    </xf>
    <xf numFmtId="0" fontId="46" fillId="0" borderId="17" xfId="0" applyFont="1" applyBorder="1" applyAlignment="1">
      <alignment horizontal="left" wrapText="1"/>
    </xf>
    <xf numFmtId="37" fontId="26" fillId="0" borderId="0" xfId="1" applyNumberFormat="1" applyFont="1" applyFill="1" applyBorder="1" applyProtection="1"/>
    <xf numFmtId="165" fontId="26" fillId="0" borderId="21" xfId="1" applyNumberFormat="1" applyFont="1" applyFill="1" applyBorder="1" applyProtection="1"/>
    <xf numFmtId="37" fontId="26" fillId="0" borderId="21" xfId="1" applyNumberFormat="1" applyFont="1" applyFill="1" applyBorder="1" applyProtection="1"/>
    <xf numFmtId="0" fontId="26" fillId="0" borderId="0" xfId="13" applyFont="1" applyAlignment="1">
      <alignment horizontal="left" indent="1"/>
    </xf>
    <xf numFmtId="0" fontId="26" fillId="0" borderId="0" xfId="13" applyFont="1" applyAlignment="1">
      <alignment horizontal="left" indent="2"/>
    </xf>
    <xf numFmtId="49" fontId="30" fillId="0" borderId="0" xfId="0" applyNumberFormat="1" applyFont="1"/>
    <xf numFmtId="41" fontId="26" fillId="0" borderId="4" xfId="1" quotePrefix="1" applyNumberFormat="1" applyFont="1" applyBorder="1" applyAlignment="1" applyProtection="1">
      <alignment horizontal="right"/>
    </xf>
    <xf numFmtId="0" fontId="28" fillId="0" borderId="2" xfId="0" applyFont="1" applyBorder="1" applyAlignment="1">
      <alignment vertical="center" wrapText="1"/>
    </xf>
    <xf numFmtId="0" fontId="26" fillId="0" borderId="0" xfId="0" applyFont="1" applyAlignment="1">
      <alignment vertical="top" wrapText="1"/>
    </xf>
    <xf numFmtId="41" fontId="32" fillId="0" borderId="7" xfId="0" applyNumberFormat="1" applyFont="1" applyBorder="1" applyAlignment="1">
      <alignment wrapText="1"/>
    </xf>
    <xf numFmtId="41" fontId="32" fillId="0" borderId="10" xfId="0" applyNumberFormat="1" applyFont="1" applyBorder="1" applyAlignment="1">
      <alignment wrapText="1"/>
    </xf>
    <xf numFmtId="41" fontId="32" fillId="0" borderId="7" xfId="0" applyNumberFormat="1" applyFont="1" applyBorder="1" applyAlignment="1">
      <alignment horizontal="left" wrapText="1"/>
    </xf>
    <xf numFmtId="0" fontId="26" fillId="0" borderId="0" xfId="14" applyFont="1" applyAlignment="1">
      <alignment horizontal="center" wrapText="1"/>
    </xf>
    <xf numFmtId="41" fontId="65" fillId="0" borderId="0" xfId="0" applyNumberFormat="1" applyFont="1"/>
    <xf numFmtId="0" fontId="30" fillId="0" borderId="0" xfId="0" applyFont="1" applyAlignment="1">
      <alignment horizontal="left" wrapText="1"/>
    </xf>
    <xf numFmtId="38" fontId="26" fillId="2" borderId="2" xfId="1" applyNumberFormat="1" applyFont="1" applyFill="1" applyBorder="1" applyAlignment="1" applyProtection="1">
      <alignment horizontal="right"/>
      <protection locked="0"/>
    </xf>
    <xf numFmtId="41" fontId="26" fillId="2" borderId="2" xfId="1" applyNumberFormat="1" applyFont="1" applyFill="1" applyBorder="1" applyProtection="1">
      <protection locked="0"/>
    </xf>
    <xf numFmtId="41" fontId="26" fillId="2" borderId="13" xfId="1" applyNumberFormat="1" applyFont="1" applyFill="1" applyBorder="1" applyProtection="1">
      <protection locked="0"/>
    </xf>
    <xf numFmtId="41" fontId="26" fillId="2" borderId="8" xfId="13" applyNumberFormat="1" applyFont="1" applyFill="1" applyBorder="1" applyProtection="1">
      <protection locked="0"/>
    </xf>
    <xf numFmtId="38" fontId="31" fillId="2" borderId="2" xfId="0" applyNumberFormat="1" applyFont="1" applyFill="1" applyBorder="1" applyAlignment="1" applyProtection="1">
      <alignment horizontal="center"/>
      <protection locked="0"/>
    </xf>
    <xf numFmtId="41" fontId="14" fillId="0" borderId="0" xfId="0" applyNumberFormat="1" applyFont="1"/>
    <xf numFmtId="41" fontId="33" fillId="0" borderId="0" xfId="0" applyNumberFormat="1" applyFont="1" applyAlignment="1">
      <alignment horizontal="left"/>
    </xf>
    <xf numFmtId="41" fontId="33" fillId="0" borderId="4" xfId="0" applyNumberFormat="1" applyFont="1" applyBorder="1"/>
    <xf numFmtId="41" fontId="31" fillId="0" borderId="4" xfId="0" applyNumberFormat="1" applyFont="1" applyBorder="1"/>
    <xf numFmtId="41" fontId="31" fillId="0" borderId="18" xfId="0" applyNumberFormat="1" applyFont="1" applyBorder="1" applyAlignment="1">
      <alignment horizontal="center" wrapText="1"/>
    </xf>
    <xf numFmtId="41" fontId="31" fillId="0" borderId="2" xfId="0" applyNumberFormat="1" applyFont="1" applyBorder="1" applyProtection="1">
      <protection locked="0"/>
    </xf>
    <xf numFmtId="41" fontId="31" fillId="0" borderId="5" xfId="0" applyNumberFormat="1" applyFont="1" applyBorder="1" applyProtection="1">
      <protection locked="0"/>
    </xf>
    <xf numFmtId="41" fontId="84" fillId="0" borderId="0" xfId="0" applyNumberFormat="1" applyFont="1"/>
    <xf numFmtId="41" fontId="31" fillId="0" borderId="6" xfId="0" applyNumberFormat="1" applyFont="1" applyBorder="1"/>
    <xf numFmtId="41" fontId="31" fillId="0" borderId="5" xfId="0" applyNumberFormat="1" applyFont="1" applyBorder="1"/>
    <xf numFmtId="41" fontId="85" fillId="0" borderId="0" xfId="0" applyNumberFormat="1" applyFont="1"/>
    <xf numFmtId="41" fontId="31" fillId="0" borderId="3" xfId="0" applyNumberFormat="1" applyFont="1" applyBorder="1"/>
    <xf numFmtId="41" fontId="84" fillId="0" borderId="0" xfId="0" applyNumberFormat="1" applyFont="1" applyAlignment="1">
      <alignment horizontal="left"/>
    </xf>
    <xf numFmtId="41" fontId="33" fillId="0" borderId="0" xfId="0" quotePrefix="1" applyNumberFormat="1" applyFont="1" applyAlignment="1">
      <alignment horizontal="left"/>
    </xf>
    <xf numFmtId="41" fontId="31" fillId="0" borderId="0" xfId="0" applyNumberFormat="1" applyFont="1" applyAlignment="1">
      <alignment horizontal="center"/>
    </xf>
    <xf numFmtId="41" fontId="31" fillId="0" borderId="18" xfId="0" applyNumberFormat="1" applyFont="1" applyBorder="1" applyAlignment="1">
      <alignment horizontal="center"/>
    </xf>
    <xf numFmtId="0" fontId="84" fillId="0" borderId="0" xfId="0" applyFont="1"/>
    <xf numFmtId="0" fontId="86" fillId="0" borderId="0" xfId="0" applyFont="1"/>
    <xf numFmtId="41" fontId="84" fillId="0" borderId="0" xfId="0" applyNumberFormat="1" applyFont="1" applyAlignment="1">
      <alignment horizontal="center"/>
    </xf>
    <xf numFmtId="41" fontId="33" fillId="0" borderId="4" xfId="0" applyNumberFormat="1" applyFont="1" applyBorder="1" applyAlignment="1">
      <alignment horizontal="left"/>
    </xf>
    <xf numFmtId="41" fontId="31" fillId="0" borderId="0" xfId="0" applyNumberFormat="1" applyFont="1" applyAlignment="1">
      <alignment horizontal="left"/>
    </xf>
    <xf numFmtId="41" fontId="31" fillId="2" borderId="0" xfId="0" applyNumberFormat="1" applyFont="1" applyFill="1"/>
    <xf numFmtId="41" fontId="31" fillId="2" borderId="0" xfId="0" applyNumberFormat="1" applyFont="1" applyFill="1" applyAlignment="1">
      <alignment horizontal="left"/>
    </xf>
    <xf numFmtId="41" fontId="33" fillId="0" borderId="4" xfId="0" quotePrefix="1" applyNumberFormat="1" applyFont="1" applyBorder="1" applyAlignment="1">
      <alignment horizontal="left"/>
    </xf>
    <xf numFmtId="41" fontId="31" fillId="0" borderId="0" xfId="0" applyNumberFormat="1" applyFont="1" applyAlignment="1">
      <alignment wrapText="1"/>
    </xf>
    <xf numFmtId="41" fontId="87" fillId="0" borderId="0" xfId="0" applyNumberFormat="1" applyFont="1" applyAlignment="1">
      <alignment horizontal="left"/>
    </xf>
    <xf numFmtId="0" fontId="84" fillId="0" borderId="0" xfId="0" applyFont="1" applyAlignment="1">
      <alignment horizontal="left"/>
    </xf>
    <xf numFmtId="49" fontId="31" fillId="0" borderId="0" xfId="0" applyNumberFormat="1" applyFont="1"/>
    <xf numFmtId="49" fontId="31" fillId="0" borderId="18" xfId="0" applyNumberFormat="1" applyFont="1" applyBorder="1" applyAlignment="1">
      <alignment horizontal="center" wrapText="1"/>
    </xf>
    <xf numFmtId="49" fontId="31" fillId="0" borderId="0" xfId="0" applyNumberFormat="1" applyFont="1" applyAlignment="1">
      <alignment horizontal="center" wrapText="1"/>
    </xf>
    <xf numFmtId="41" fontId="31" fillId="0" borderId="0" xfId="13" applyNumberFormat="1" applyFont="1"/>
    <xf numFmtId="0" fontId="31" fillId="0" borderId="0" xfId="13" applyFont="1" applyAlignment="1">
      <alignment horizontal="left" indent="1"/>
    </xf>
    <xf numFmtId="41" fontId="31" fillId="0" borderId="0" xfId="13" applyNumberFormat="1" applyFont="1" applyAlignment="1">
      <alignment horizontal="left" indent="1"/>
    </xf>
    <xf numFmtId="0" fontId="31" fillId="0" borderId="0" xfId="13" applyFont="1" applyAlignment="1">
      <alignment horizontal="left" indent="2"/>
    </xf>
    <xf numFmtId="41" fontId="31" fillId="0" borderId="0" xfId="13" applyNumberFormat="1" applyFont="1" applyAlignment="1">
      <alignment horizontal="left"/>
    </xf>
    <xf numFmtId="41" fontId="31" fillId="0" borderId="10" xfId="0" applyNumberFormat="1" applyFont="1" applyBorder="1"/>
    <xf numFmtId="41" fontId="83" fillId="0" borderId="2" xfId="0" applyNumberFormat="1" applyFont="1" applyBorder="1" applyAlignment="1">
      <alignment vertical="top"/>
    </xf>
    <xf numFmtId="0" fontId="16" fillId="0" borderId="0" xfId="13"/>
    <xf numFmtId="0" fontId="17" fillId="0" borderId="0" xfId="0" applyFont="1" applyAlignment="1">
      <alignment horizontal="center"/>
    </xf>
    <xf numFmtId="38" fontId="16" fillId="0" borderId="6" xfId="14" applyNumberFormat="1" applyBorder="1" applyAlignment="1">
      <alignment horizontal="center" wrapText="1"/>
    </xf>
    <xf numFmtId="3" fontId="30" fillId="0" borderId="0" xfId="1" applyNumberFormat="1" applyFont="1" applyBorder="1" applyAlignment="1" applyProtection="1">
      <alignment horizontal="center" wrapText="1"/>
    </xf>
    <xf numFmtId="3" fontId="16" fillId="0" borderId="4" xfId="0" applyNumberFormat="1" applyFont="1" applyBorder="1" applyAlignment="1">
      <alignment horizontal="center" wrapText="1"/>
    </xf>
    <xf numFmtId="0" fontId="16" fillId="0" borderId="2" xfId="0" applyFont="1" applyBorder="1" applyAlignment="1">
      <alignment wrapText="1"/>
    </xf>
    <xf numFmtId="0" fontId="84" fillId="0" borderId="0" xfId="0" applyFont="1" applyAlignment="1">
      <alignment horizontal="right"/>
    </xf>
    <xf numFmtId="41" fontId="31" fillId="6" borderId="2" xfId="0" applyNumberFormat="1" applyFont="1" applyFill="1" applyBorder="1"/>
    <xf numFmtId="41" fontId="31" fillId="0" borderId="22" xfId="0" applyNumberFormat="1" applyFont="1" applyBorder="1" applyAlignment="1">
      <alignment horizontal="center"/>
    </xf>
    <xf numFmtId="41" fontId="31" fillId="0" borderId="7" xfId="0" applyNumberFormat="1" applyFont="1" applyBorder="1"/>
    <xf numFmtId="0" fontId="32" fillId="0" borderId="2" xfId="0" applyFont="1" applyBorder="1" applyAlignment="1">
      <alignment wrapText="1"/>
    </xf>
    <xf numFmtId="0" fontId="32" fillId="0" borderId="2" xfId="0" applyFont="1" applyBorder="1"/>
    <xf numFmtId="41" fontId="32" fillId="7" borderId="0" xfId="0" applyNumberFormat="1" applyFont="1" applyFill="1"/>
    <xf numFmtId="0" fontId="31" fillId="0" borderId="0" xfId="9" applyFont="1" applyAlignment="1">
      <alignment horizontal="justify" wrapText="1"/>
    </xf>
    <xf numFmtId="0" fontId="30" fillId="0" borderId="0" xfId="9" applyFont="1"/>
    <xf numFmtId="38" fontId="32" fillId="0" borderId="0" xfId="14" applyNumberFormat="1" applyFont="1" applyAlignment="1">
      <alignment horizontal="left" vertical="top"/>
    </xf>
    <xf numFmtId="0" fontId="31" fillId="0" borderId="0" xfId="32"/>
    <xf numFmtId="49" fontId="31" fillId="0" borderId="0" xfId="32" applyNumberFormat="1" applyAlignment="1">
      <alignment horizontal="left" vertical="top" wrapText="1"/>
    </xf>
    <xf numFmtId="0" fontId="33" fillId="0" borderId="0" xfId="9" applyFont="1"/>
    <xf numFmtId="0" fontId="31" fillId="0" borderId="0" xfId="9" applyFont="1" applyAlignment="1">
      <alignment horizontal="center" wrapText="1"/>
    </xf>
    <xf numFmtId="0" fontId="31" fillId="0" borderId="0" xfId="33" applyFont="1"/>
    <xf numFmtId="0" fontId="31" fillId="0" borderId="0" xfId="33" applyFont="1" applyAlignment="1">
      <alignment vertical="top" wrapText="1"/>
    </xf>
    <xf numFmtId="0" fontId="33" fillId="0" borderId="0" xfId="33" applyFont="1" applyAlignment="1">
      <alignment vertical="top" wrapText="1"/>
    </xf>
    <xf numFmtId="0" fontId="31" fillId="0" borderId="0" xfId="33" applyFont="1" applyAlignment="1">
      <alignment horizontal="center" vertical="top" wrapText="1"/>
    </xf>
    <xf numFmtId="0" fontId="33" fillId="0" borderId="0" xfId="33" applyFont="1"/>
    <xf numFmtId="0" fontId="31" fillId="0" borderId="0" xfId="12" applyFont="1" applyAlignment="1">
      <alignment horizontal="right" vertical="top"/>
    </xf>
    <xf numFmtId="183" fontId="31" fillId="2" borderId="2" xfId="33" applyNumberFormat="1" applyFont="1" applyFill="1" applyBorder="1" applyProtection="1">
      <protection locked="0"/>
    </xf>
    <xf numFmtId="10" fontId="32" fillId="0" borderId="2" xfId="0" applyNumberFormat="1" applyFont="1" applyBorder="1"/>
    <xf numFmtId="0" fontId="32" fillId="0" borderId="2" xfId="0" applyFont="1" applyBorder="1" applyAlignment="1">
      <alignment horizontal="left"/>
    </xf>
    <xf numFmtId="0" fontId="32" fillId="0" borderId="2" xfId="0" applyFont="1" applyBorder="1" applyAlignment="1">
      <alignment horizontal="left" wrapText="1"/>
    </xf>
    <xf numFmtId="0" fontId="61" fillId="0" borderId="0" xfId="0" applyFont="1"/>
    <xf numFmtId="0" fontId="14" fillId="0" borderId="2" xfId="0" applyFont="1" applyBorder="1"/>
    <xf numFmtId="0" fontId="31" fillId="0" borderId="9" xfId="0" applyFont="1" applyBorder="1" applyAlignment="1">
      <alignment vertical="top" wrapText="1"/>
    </xf>
    <xf numFmtId="0" fontId="31" fillId="0" borderId="2" xfId="0" applyFont="1" applyBorder="1" applyAlignment="1">
      <alignment vertical="top" wrapText="1"/>
    </xf>
    <xf numFmtId="0" fontId="31" fillId="0" borderId="9" xfId="0" applyFont="1" applyBorder="1"/>
    <xf numFmtId="0" fontId="31" fillId="2" borderId="2" xfId="33" applyFont="1" applyFill="1" applyBorder="1" applyAlignment="1" applyProtection="1">
      <alignment horizontal="center" vertical="center" wrapText="1"/>
      <protection locked="0"/>
    </xf>
    <xf numFmtId="41" fontId="91" fillId="0" borderId="2" xfId="0" applyNumberFormat="1" applyFont="1" applyBorder="1" applyAlignment="1">
      <alignment horizontal="center"/>
    </xf>
    <xf numFmtId="165" fontId="26" fillId="2" borderId="2" xfId="1" applyNumberFormat="1" applyFont="1" applyFill="1" applyBorder="1" applyAlignment="1" applyProtection="1">
      <alignment horizontal="center" vertical="center"/>
      <protection locked="0"/>
    </xf>
    <xf numFmtId="165" fontId="26" fillId="2" borderId="9" xfId="1" applyNumberFormat="1" applyFont="1" applyFill="1" applyBorder="1" applyAlignment="1" applyProtection="1">
      <alignment horizontal="center" vertical="center"/>
      <protection locked="0"/>
    </xf>
    <xf numFmtId="0" fontId="31" fillId="2" borderId="2" xfId="0" applyFont="1" applyFill="1" applyBorder="1" applyAlignment="1" applyProtection="1">
      <alignment horizontal="center" vertical="center" wrapText="1"/>
      <protection locked="0"/>
    </xf>
    <xf numFmtId="0" fontId="32" fillId="0" borderId="0" xfId="14" applyFont="1" applyAlignment="1">
      <alignment wrapText="1"/>
    </xf>
    <xf numFmtId="10" fontId="32" fillId="0" borderId="0" xfId="0" applyNumberFormat="1" applyFont="1" applyAlignment="1">
      <alignment horizontal="center" wrapText="1"/>
    </xf>
    <xf numFmtId="10" fontId="31" fillId="0" borderId="2" xfId="0" applyNumberFormat="1" applyFont="1" applyBorder="1"/>
    <xf numFmtId="0" fontId="91" fillId="0" borderId="2" xfId="0" applyFont="1" applyBorder="1" applyAlignment="1">
      <alignment wrapText="1"/>
    </xf>
    <xf numFmtId="0" fontId="91" fillId="0" borderId="0" xfId="0" applyFont="1"/>
    <xf numFmtId="0" fontId="94" fillId="0" borderId="0" xfId="0" applyFont="1"/>
    <xf numFmtId="0" fontId="91" fillId="0" borderId="0" xfId="0" applyFont="1" applyAlignment="1">
      <alignment vertical="top"/>
    </xf>
    <xf numFmtId="0" fontId="91" fillId="0" borderId="0" xfId="0" applyFont="1" applyAlignment="1">
      <alignment vertical="top" wrapText="1"/>
    </xf>
    <xf numFmtId="0" fontId="91" fillId="0" borderId="5" xfId="0" applyFont="1" applyBorder="1" applyAlignment="1">
      <alignment vertical="top" wrapText="1"/>
    </xf>
    <xf numFmtId="0" fontId="91" fillId="0" borderId="0" xfId="0" applyFont="1" applyAlignment="1">
      <alignment horizontal="center" vertical="top"/>
    </xf>
    <xf numFmtId="0" fontId="91" fillId="0" borderId="2" xfId="0" applyFont="1" applyBorder="1" applyAlignment="1">
      <alignment vertical="top" wrapText="1"/>
    </xf>
    <xf numFmtId="0" fontId="49" fillId="0" borderId="0" xfId="0" applyFont="1" applyAlignment="1">
      <alignment vertical="top" wrapText="1"/>
    </xf>
    <xf numFmtId="0" fontId="91" fillId="0" borderId="2" xfId="0" applyFont="1" applyBorder="1" applyAlignment="1">
      <alignment horizontal="center" vertical="top" wrapText="1"/>
    </xf>
    <xf numFmtId="0" fontId="94" fillId="0" borderId="2" xfId="0" applyFont="1" applyBorder="1" applyAlignment="1">
      <alignment vertical="top" wrapText="1"/>
    </xf>
    <xf numFmtId="0" fontId="91" fillId="0" borderId="2" xfId="0" applyFont="1" applyBorder="1" applyAlignment="1">
      <alignment horizontal="center" vertical="top"/>
    </xf>
    <xf numFmtId="0" fontId="91" fillId="0" borderId="2" xfId="0" applyFont="1" applyBorder="1" applyAlignment="1">
      <alignment horizontal="left" wrapText="1"/>
    </xf>
    <xf numFmtId="41" fontId="91" fillId="2" borderId="2" xfId="0" applyNumberFormat="1" applyFont="1" applyFill="1" applyBorder="1" applyAlignment="1" applyProtection="1">
      <alignment vertical="top" wrapText="1"/>
      <protection locked="0"/>
    </xf>
    <xf numFmtId="0" fontId="91" fillId="0" borderId="2" xfId="12" applyFont="1" applyBorder="1" applyAlignment="1">
      <alignment vertical="top" wrapText="1"/>
    </xf>
    <xf numFmtId="0" fontId="91" fillId="0" borderId="0" xfId="0" applyFont="1" applyAlignment="1">
      <alignment horizontal="center" vertical="center"/>
    </xf>
    <xf numFmtId="41" fontId="91" fillId="0" borderId="0" xfId="0" applyNumberFormat="1" applyFont="1" applyAlignment="1">
      <alignment horizontal="center"/>
    </xf>
    <xf numFmtId="0" fontId="91" fillId="0" borderId="2" xfId="0" applyFont="1" applyBorder="1" applyAlignment="1">
      <alignment horizontal="center" wrapText="1"/>
    </xf>
    <xf numFmtId="0" fontId="91" fillId="0" borderId="0" xfId="0" applyFont="1" applyAlignment="1">
      <alignment horizontal="right" wrapText="1"/>
    </xf>
    <xf numFmtId="41" fontId="91" fillId="2" borderId="2" xfId="0" applyNumberFormat="1" applyFont="1" applyFill="1" applyBorder="1" applyAlignment="1" applyProtection="1">
      <alignment horizontal="right" wrapText="1"/>
      <protection locked="0"/>
    </xf>
    <xf numFmtId="0" fontId="91" fillId="2" borderId="2" xfId="0" applyFont="1" applyFill="1" applyBorder="1" applyAlignment="1" applyProtection="1">
      <alignment horizontal="left" vertical="top" wrapText="1"/>
      <protection locked="0"/>
    </xf>
    <xf numFmtId="0" fontId="91" fillId="0" borderId="0" xfId="0" applyFont="1" applyAlignment="1">
      <alignment horizontal="right"/>
    </xf>
    <xf numFmtId="41" fontId="91" fillId="0" borderId="7" xfId="1" applyNumberFormat="1" applyFont="1" applyFill="1" applyBorder="1" applyAlignment="1" applyProtection="1">
      <alignment horizontal="right"/>
    </xf>
    <xf numFmtId="0" fontId="98" fillId="0" borderId="0" xfId="0" applyFont="1" applyAlignment="1">
      <alignment horizontal="right"/>
    </xf>
    <xf numFmtId="41" fontId="98" fillId="0" borderId="0" xfId="1" applyNumberFormat="1" applyFont="1" applyFill="1" applyBorder="1" applyAlignment="1" applyProtection="1">
      <alignment horizontal="right"/>
    </xf>
    <xf numFmtId="0" fontId="49" fillId="0" borderId="2" xfId="15" applyFont="1" applyBorder="1" applyAlignment="1">
      <alignment vertical="top" wrapText="1"/>
    </xf>
    <xf numFmtId="0" fontId="91" fillId="0" borderId="11" xfId="12" applyFont="1" applyBorder="1" applyAlignment="1">
      <alignment vertical="top" wrapText="1"/>
    </xf>
    <xf numFmtId="0" fontId="91" fillId="0" borderId="0" xfId="15" applyFont="1" applyAlignment="1">
      <alignment vertical="top" wrapText="1"/>
    </xf>
    <xf numFmtId="0" fontId="91" fillId="0" borderId="5" xfId="15" applyFont="1" applyBorder="1" applyAlignment="1">
      <alignment vertical="top" wrapText="1"/>
    </xf>
    <xf numFmtId="0" fontId="91" fillId="0" borderId="21" xfId="15" applyFont="1" applyBorder="1" applyAlignment="1">
      <alignment vertical="top" wrapText="1"/>
    </xf>
    <xf numFmtId="0" fontId="91" fillId="0" borderId="13" xfId="12" applyFont="1" applyBorder="1" applyAlignment="1">
      <alignment vertical="top" wrapText="1"/>
    </xf>
    <xf numFmtId="0" fontId="91" fillId="0" borderId="14" xfId="15" applyFont="1" applyBorder="1" applyAlignment="1">
      <alignment vertical="top" wrapText="1"/>
    </xf>
    <xf numFmtId="0" fontId="91" fillId="0" borderId="3" xfId="15" applyFont="1" applyBorder="1" applyAlignment="1">
      <alignment vertical="top" wrapText="1"/>
    </xf>
    <xf numFmtId="0" fontId="91" fillId="0" borderId="4" xfId="15" applyFont="1" applyBorder="1" applyAlignment="1">
      <alignment vertical="top" wrapText="1"/>
    </xf>
    <xf numFmtId="0" fontId="91" fillId="0" borderId="2" xfId="15" applyFont="1" applyBorder="1" applyAlignment="1">
      <alignment vertical="top" wrapText="1"/>
    </xf>
    <xf numFmtId="0" fontId="91" fillId="0" borderId="0" xfId="12" applyFont="1" applyAlignment="1">
      <alignment vertical="top" wrapText="1"/>
    </xf>
    <xf numFmtId="0" fontId="49" fillId="0" borderId="0" xfId="33" applyFont="1"/>
    <xf numFmtId="0" fontId="91" fillId="0" borderId="0" xfId="33" applyFont="1"/>
    <xf numFmtId="0" fontId="49" fillId="0" borderId="13" xfId="33" applyFont="1" applyBorder="1" applyAlignment="1">
      <alignment horizontal="left" wrapText="1"/>
    </xf>
    <xf numFmtId="0" fontId="49" fillId="0" borderId="4" xfId="33" applyFont="1" applyBorder="1" applyAlignment="1">
      <alignment horizontal="left" wrapText="1"/>
    </xf>
    <xf numFmtId="0" fontId="49" fillId="0" borderId="14" xfId="33" applyFont="1" applyBorder="1" applyAlignment="1">
      <alignment horizontal="left" wrapText="1"/>
    </xf>
    <xf numFmtId="0" fontId="91" fillId="2" borderId="2" xfId="33" applyFont="1" applyFill="1" applyBorder="1" applyAlignment="1" applyProtection="1">
      <alignment horizontal="center" vertical="center"/>
      <protection locked="0"/>
    </xf>
    <xf numFmtId="0" fontId="91" fillId="0" borderId="2" xfId="33" applyFont="1" applyBorder="1" applyAlignment="1">
      <alignment vertical="top" wrapText="1"/>
    </xf>
    <xf numFmtId="0" fontId="94" fillId="0" borderId="0" xfId="33" applyFont="1"/>
    <xf numFmtId="0" fontId="91" fillId="0" borderId="2" xfId="12" applyFont="1" applyBorder="1" applyAlignment="1">
      <alignment horizontal="center" vertical="center" wrapText="1"/>
    </xf>
    <xf numFmtId="0" fontId="91" fillId="0" borderId="2" xfId="12" applyFont="1" applyBorder="1" applyAlignment="1">
      <alignment horizontal="center" vertical="top" wrapText="1"/>
    </xf>
    <xf numFmtId="41" fontId="91" fillId="0" borderId="15" xfId="12" applyNumberFormat="1" applyFont="1" applyBorder="1" applyAlignment="1">
      <alignment vertical="top" wrapText="1"/>
    </xf>
    <xf numFmtId="0" fontId="96" fillId="0" borderId="3" xfId="12" applyFont="1" applyBorder="1" applyAlignment="1">
      <alignment vertical="top" wrapText="1"/>
    </xf>
    <xf numFmtId="0" fontId="91" fillId="0" borderId="2" xfId="12" applyFont="1" applyBorder="1" applyAlignment="1">
      <alignment horizontal="center" wrapText="1"/>
    </xf>
    <xf numFmtId="0" fontId="91" fillId="0" borderId="2" xfId="33" applyFont="1" applyBorder="1" applyAlignment="1">
      <alignment horizontal="center" vertical="top" wrapText="1"/>
    </xf>
    <xf numFmtId="0" fontId="31" fillId="0" borderId="12" xfId="9" applyFont="1" applyBorder="1" applyAlignment="1">
      <alignment horizontal="center" wrapText="1"/>
    </xf>
    <xf numFmtId="41" fontId="101" fillId="0" borderId="0" xfId="0" applyNumberFormat="1" applyFont="1"/>
    <xf numFmtId="0" fontId="101" fillId="0" borderId="0" xfId="0" applyFont="1" applyAlignment="1">
      <alignment horizontal="right"/>
    </xf>
    <xf numFmtId="0" fontId="16" fillId="0" borderId="0" xfId="13" applyAlignment="1">
      <alignment horizontal="left" indent="2"/>
    </xf>
    <xf numFmtId="0" fontId="16" fillId="2" borderId="2" xfId="14" applyFill="1" applyBorder="1" applyAlignment="1" applyProtection="1">
      <alignment vertical="top" wrapText="1"/>
      <protection locked="0"/>
    </xf>
    <xf numFmtId="0" fontId="91" fillId="0" borderId="2" xfId="33" applyFont="1" applyBorder="1" applyAlignment="1">
      <alignment horizontal="center" vertical="center"/>
    </xf>
    <xf numFmtId="0" fontId="16" fillId="0" borderId="0" xfId="14"/>
    <xf numFmtId="0" fontId="91" fillId="0" borderId="2" xfId="0" applyFont="1" applyBorder="1"/>
    <xf numFmtId="0" fontId="91" fillId="0" borderId="2" xfId="0" applyFont="1" applyBorder="1" applyAlignment="1">
      <alignment horizontal="right" vertical="top"/>
    </xf>
    <xf numFmtId="0" fontId="91" fillId="2" borderId="2" xfId="0" applyFont="1" applyFill="1" applyBorder="1" applyAlignment="1" applyProtection="1">
      <alignment horizontal="center" vertical="center" wrapText="1"/>
      <protection locked="0"/>
    </xf>
    <xf numFmtId="41" fontId="91" fillId="2" borderId="2" xfId="0" applyNumberFormat="1" applyFont="1" applyFill="1" applyBorder="1" applyAlignment="1" applyProtection="1">
      <alignment horizontal="center" vertical="center" wrapText="1"/>
      <protection locked="0"/>
    </xf>
    <xf numFmtId="38" fontId="16" fillId="0" borderId="2" xfId="14" applyNumberFormat="1" applyBorder="1" applyAlignment="1">
      <alignment horizontal="left"/>
    </xf>
    <xf numFmtId="0" fontId="16" fillId="0" borderId="0" xfId="0" applyFont="1"/>
    <xf numFmtId="165" fontId="16" fillId="0" borderId="0" xfId="1" applyNumberFormat="1" applyFont="1" applyProtection="1"/>
    <xf numFmtId="183" fontId="31" fillId="0" borderId="0" xfId="33" applyNumberFormat="1" applyFont="1"/>
    <xf numFmtId="41" fontId="91" fillId="0" borderId="5" xfId="12" applyNumberFormat="1" applyFont="1" applyBorder="1" applyAlignment="1">
      <alignment horizontal="center" wrapText="1"/>
    </xf>
    <xf numFmtId="0" fontId="91" fillId="0" borderId="0" xfId="33" applyFont="1" applyAlignment="1">
      <alignment horizontal="center" vertical="center" wrapText="1"/>
    </xf>
    <xf numFmtId="41" fontId="91" fillId="0" borderId="0" xfId="12" applyNumberFormat="1" applyFont="1" applyAlignment="1">
      <alignment horizontal="center" wrapText="1"/>
    </xf>
    <xf numFmtId="0" fontId="91" fillId="0" borderId="2" xfId="33" applyFont="1" applyBorder="1" applyAlignment="1">
      <alignment horizontal="center" vertical="center" wrapText="1"/>
    </xf>
    <xf numFmtId="41" fontId="98" fillId="0" borderId="16" xfId="0" applyNumberFormat="1" applyFont="1" applyBorder="1" applyAlignment="1">
      <alignment vertical="top"/>
    </xf>
    <xf numFmtId="0" fontId="91" fillId="0" borderId="0" xfId="33" applyFont="1" applyAlignment="1">
      <alignment horizontal="center" vertical="top" wrapText="1"/>
    </xf>
    <xf numFmtId="41" fontId="91" fillId="0" borderId="0" xfId="12" applyNumberFormat="1" applyFont="1" applyAlignment="1">
      <alignment horizontal="center" vertical="center" wrapText="1"/>
    </xf>
    <xf numFmtId="41" fontId="91" fillId="0" borderId="15" xfId="12" applyNumberFormat="1" applyFont="1" applyBorder="1" applyAlignment="1">
      <alignment horizontal="center" wrapText="1"/>
    </xf>
    <xf numFmtId="165" fontId="16" fillId="0" borderId="0" xfId="1" applyNumberFormat="1" applyFont="1" applyAlignment="1" applyProtection="1">
      <alignment horizontal="center" wrapText="1"/>
    </xf>
    <xf numFmtId="0" fontId="59" fillId="0" borderId="0" xfId="14" applyFont="1"/>
    <xf numFmtId="164" fontId="40" fillId="0" borderId="0" xfId="0" applyNumberFormat="1" applyFont="1" applyAlignment="1">
      <alignment horizontal="left"/>
    </xf>
    <xf numFmtId="0" fontId="16" fillId="0" borderId="0" xfId="14" applyAlignment="1">
      <alignment horizontal="center" wrapText="1"/>
    </xf>
    <xf numFmtId="37" fontId="16" fillId="0" borderId="0" xfId="0" applyNumberFormat="1" applyFont="1" applyAlignment="1">
      <alignment horizontal="center" wrapText="1"/>
    </xf>
    <xf numFmtId="0" fontId="16" fillId="0" borderId="0" xfId="13" applyAlignment="1">
      <alignment horizontal="left" indent="1"/>
    </xf>
    <xf numFmtId="0" fontId="16" fillId="0" borderId="0" xfId="13" applyAlignment="1">
      <alignment horizontal="center" wrapText="1"/>
    </xf>
    <xf numFmtId="41" fontId="91" fillId="8" borderId="2" xfId="0" applyNumberFormat="1" applyFont="1" applyFill="1" applyBorder="1" applyAlignment="1">
      <alignment horizontal="right" wrapText="1"/>
    </xf>
    <xf numFmtId="0" fontId="71" fillId="0" borderId="0" xfId="0" applyFont="1" applyAlignment="1">
      <alignment horizontal="center" wrapText="1"/>
    </xf>
    <xf numFmtId="41" fontId="32" fillId="5" borderId="5" xfId="0" applyNumberFormat="1" applyFont="1" applyFill="1" applyBorder="1" applyProtection="1">
      <protection locked="0"/>
    </xf>
    <xf numFmtId="41" fontId="84" fillId="0" borderId="0" xfId="0" applyNumberFormat="1" applyFont="1" applyAlignment="1">
      <alignment horizontal="right"/>
    </xf>
    <xf numFmtId="41" fontId="26" fillId="2" borderId="2" xfId="1" applyNumberFormat="1" applyFont="1" applyFill="1" applyBorder="1" applyAlignment="1" applyProtection="1">
      <alignment horizontal="right"/>
    </xf>
    <xf numFmtId="41" fontId="31" fillId="2" borderId="2" xfId="1" applyNumberFormat="1" applyFont="1" applyFill="1" applyBorder="1" applyAlignment="1" applyProtection="1">
      <alignment horizontal="right"/>
    </xf>
    <xf numFmtId="0" fontId="31" fillId="2" borderId="2" xfId="0" applyFont="1" applyFill="1" applyBorder="1" applyAlignment="1">
      <alignment horizontal="center" vertical="center"/>
    </xf>
    <xf numFmtId="42" fontId="33" fillId="0" borderId="9" xfId="0" applyNumberFormat="1" applyFont="1" applyBorder="1" applyAlignment="1">
      <alignment vertical="center" wrapText="1"/>
    </xf>
    <xf numFmtId="42" fontId="33" fillId="0" borderId="2" xfId="0" applyNumberFormat="1" applyFont="1" applyBorder="1" applyAlignment="1">
      <alignment vertical="center" wrapText="1"/>
    </xf>
    <xf numFmtId="0" fontId="33" fillId="0" borderId="2" xfId="0" applyFont="1" applyBorder="1" applyAlignment="1">
      <alignment vertical="center" wrapText="1"/>
    </xf>
    <xf numFmtId="42" fontId="33" fillId="0" borderId="9" xfId="0" applyNumberFormat="1" applyFont="1" applyBorder="1" applyAlignment="1">
      <alignment horizontal="left" vertical="center" wrapText="1"/>
    </xf>
    <xf numFmtId="42" fontId="33" fillId="0" borderId="2" xfId="0" applyNumberFormat="1" applyFont="1" applyBorder="1" applyAlignment="1">
      <alignment horizontal="left" vertical="center" wrapText="1"/>
    </xf>
    <xf numFmtId="0" fontId="17" fillId="2" borderId="2" xfId="0" applyFont="1" applyFill="1" applyBorder="1" applyAlignment="1">
      <alignment vertical="top" wrapText="1"/>
    </xf>
    <xf numFmtId="0" fontId="91" fillId="2" borderId="2" xfId="0" applyFont="1" applyFill="1" applyBorder="1" applyAlignment="1">
      <alignment horizontal="center" vertical="center"/>
    </xf>
    <xf numFmtId="0" fontId="91" fillId="2" borderId="3" xfId="15" applyFont="1" applyFill="1" applyBorder="1" applyAlignment="1">
      <alignment vertical="top" wrapText="1"/>
    </xf>
    <xf numFmtId="0" fontId="91" fillId="5" borderId="2" xfId="0" applyFont="1" applyFill="1" applyBorder="1" applyAlignment="1">
      <alignment horizontal="center" vertical="center"/>
    </xf>
    <xf numFmtId="0" fontId="100" fillId="0" borderId="0" xfId="33" applyFont="1"/>
    <xf numFmtId="3" fontId="91" fillId="2" borderId="2" xfId="12" applyNumberFormat="1" applyFont="1" applyFill="1" applyBorder="1" applyAlignment="1">
      <alignment vertical="top"/>
    </xf>
    <xf numFmtId="0" fontId="92" fillId="0" borderId="0" xfId="33" applyFont="1"/>
    <xf numFmtId="0" fontId="91" fillId="0" borderId="6" xfId="12" applyFont="1" applyBorder="1" applyAlignment="1">
      <alignment horizontal="center" vertical="center" wrapText="1"/>
    </xf>
    <xf numFmtId="0" fontId="91" fillId="0" borderId="11" xfId="12" applyFont="1" applyBorder="1" applyAlignment="1">
      <alignment horizontal="center" vertical="top" wrapText="1"/>
    </xf>
    <xf numFmtId="0" fontId="91" fillId="0" borderId="2" xfId="12" applyFont="1" applyBorder="1" applyAlignment="1">
      <alignment horizontal="left" vertical="top" wrapText="1"/>
    </xf>
    <xf numFmtId="0" fontId="33" fillId="0" borderId="16" xfId="0" applyFont="1" applyBorder="1"/>
    <xf numFmtId="0" fontId="103" fillId="0" borderId="0" xfId="0" applyFont="1"/>
    <xf numFmtId="0" fontId="104" fillId="0" borderId="0" xfId="0" applyFont="1"/>
    <xf numFmtId="0" fontId="105" fillId="0" borderId="2" xfId="0" applyFont="1" applyBorder="1"/>
    <xf numFmtId="41" fontId="105" fillId="0" borderId="2" xfId="1" applyNumberFormat="1" applyFont="1" applyBorder="1" applyAlignment="1" applyProtection="1">
      <alignment wrapText="1"/>
    </xf>
    <xf numFmtId="0" fontId="105" fillId="0" borderId="2" xfId="0" applyFont="1" applyBorder="1" applyAlignment="1">
      <alignment wrapText="1"/>
    </xf>
    <xf numFmtId="41" fontId="105" fillId="2" borderId="3" xfId="0" applyNumberFormat="1" applyFont="1" applyFill="1" applyBorder="1" applyProtection="1">
      <protection locked="0"/>
    </xf>
    <xf numFmtId="41" fontId="105" fillId="0" borderId="2" xfId="0" applyNumberFormat="1" applyFont="1" applyBorder="1"/>
    <xf numFmtId="0" fontId="71" fillId="0" borderId="2" xfId="0" applyFont="1" applyBorder="1" applyAlignment="1">
      <alignment horizontal="center" vertical="center"/>
    </xf>
    <xf numFmtId="0" fontId="106" fillId="0" borderId="0" xfId="0" applyFont="1"/>
    <xf numFmtId="0" fontId="91" fillId="0" borderId="0" xfId="0" applyFont="1" applyAlignment="1">
      <alignment horizontal="right" vertical="center" wrapText="1"/>
    </xf>
    <xf numFmtId="0" fontId="31" fillId="0" borderId="2" xfId="0" applyFont="1" applyBorder="1" applyAlignment="1">
      <alignment horizontal="left" vertical="center" wrapText="1"/>
    </xf>
    <xf numFmtId="0" fontId="31" fillId="0" borderId="0" xfId="0" applyFont="1" applyAlignment="1">
      <alignment horizontal="right" vertical="center" wrapText="1"/>
    </xf>
    <xf numFmtId="0" fontId="31" fillId="0" borderId="6" xfId="12" applyFont="1" applyBorder="1" applyAlignment="1">
      <alignment horizontal="center" vertical="center" wrapText="1"/>
    </xf>
    <xf numFmtId="0" fontId="91" fillId="2" borderId="2" xfId="0" applyFont="1" applyFill="1" applyBorder="1" applyAlignment="1" applyProtection="1">
      <alignment horizontal="center" vertical="center"/>
      <protection locked="0"/>
    </xf>
    <xf numFmtId="0" fontId="31" fillId="0" borderId="0" xfId="12" applyFont="1" applyAlignment="1">
      <alignment horizontal="center" vertical="top" wrapText="1"/>
    </xf>
    <xf numFmtId="0" fontId="31" fillId="0" borderId="0" xfId="34" applyFont="1" applyAlignment="1">
      <alignment horizontal="center" vertical="center"/>
    </xf>
    <xf numFmtId="0" fontId="31" fillId="0" borderId="0" xfId="12" applyFont="1" applyAlignment="1">
      <alignment horizontal="center" wrapText="1"/>
    </xf>
    <xf numFmtId="41" fontId="31" fillId="2" borderId="2" xfId="12" applyNumberFormat="1" applyFont="1" applyFill="1" applyBorder="1" applyAlignment="1" applyProtection="1">
      <alignment vertical="top"/>
      <protection locked="0"/>
    </xf>
    <xf numFmtId="0" fontId="30" fillId="2" borderId="2" xfId="0" applyFont="1" applyFill="1" applyBorder="1" applyAlignment="1" applyProtection="1">
      <alignment wrapText="1"/>
      <protection locked="0"/>
    </xf>
    <xf numFmtId="0" fontId="61" fillId="2" borderId="2" xfId="12" applyFont="1" applyFill="1" applyBorder="1" applyAlignment="1" applyProtection="1">
      <alignment horizontal="center" wrapText="1"/>
      <protection locked="0"/>
    </xf>
    <xf numFmtId="0" fontId="31" fillId="5" borderId="2" xfId="0" applyFont="1" applyFill="1" applyBorder="1" applyAlignment="1" applyProtection="1">
      <alignment vertical="top" wrapText="1"/>
      <protection locked="0"/>
    </xf>
    <xf numFmtId="184" fontId="16" fillId="2" borderId="2" xfId="14" applyNumberFormat="1" applyFill="1" applyBorder="1" applyAlignment="1" applyProtection="1">
      <alignment vertical="top" wrapText="1"/>
      <protection locked="0"/>
    </xf>
    <xf numFmtId="0" fontId="32" fillId="0" borderId="4" xfId="0" applyFont="1" applyBorder="1" applyAlignment="1">
      <alignment horizontal="right"/>
    </xf>
    <xf numFmtId="0" fontId="91" fillId="0" borderId="16" xfId="12" applyFont="1" applyBorder="1" applyAlignment="1">
      <alignment horizontal="center" vertical="center" wrapText="1"/>
    </xf>
    <xf numFmtId="0" fontId="96" fillId="0" borderId="14" xfId="12" applyFont="1" applyBorder="1" applyAlignment="1">
      <alignment vertical="top" wrapText="1"/>
    </xf>
    <xf numFmtId="0" fontId="31" fillId="0" borderId="17" xfId="12" applyFont="1" applyBorder="1" applyAlignment="1">
      <alignment horizontal="center" vertical="center" wrapText="1"/>
    </xf>
    <xf numFmtId="41" fontId="91" fillId="2" borderId="2" xfId="12" applyNumberFormat="1" applyFont="1" applyFill="1" applyBorder="1" applyAlignment="1" applyProtection="1">
      <alignment vertical="top"/>
      <protection locked="0"/>
    </xf>
    <xf numFmtId="0" fontId="91" fillId="0" borderId="0" xfId="34" applyFont="1" applyAlignment="1">
      <alignment horizontal="right" vertical="top"/>
    </xf>
    <xf numFmtId="0" fontId="109" fillId="0" borderId="2" xfId="12" applyFont="1" applyBorder="1" applyAlignment="1">
      <alignment horizontal="center" wrapText="1"/>
    </xf>
    <xf numFmtId="0" fontId="91" fillId="0" borderId="0" xfId="0" applyFont="1" applyAlignment="1">
      <alignment wrapText="1"/>
    </xf>
    <xf numFmtId="0" fontId="33" fillId="0" borderId="0" xfId="0" applyFont="1" applyAlignment="1">
      <alignment horizontal="center"/>
    </xf>
    <xf numFmtId="0" fontId="16" fillId="0" borderId="2" xfId="14" applyBorder="1" applyAlignment="1">
      <alignment vertical="top" wrapText="1"/>
    </xf>
    <xf numFmtId="169" fontId="26" fillId="0" borderId="2" xfId="14" applyNumberFormat="1" applyFont="1" applyBorder="1"/>
    <xf numFmtId="0" fontId="16" fillId="0" borderId="2" xfId="14" applyBorder="1" applyAlignment="1">
      <alignment wrapText="1"/>
    </xf>
    <xf numFmtId="0" fontId="26" fillId="0" borderId="2" xfId="14" applyFont="1" applyBorder="1"/>
    <xf numFmtId="0" fontId="111" fillId="2" borderId="2" xfId="0" applyFont="1" applyFill="1" applyBorder="1" applyAlignment="1" applyProtection="1">
      <alignment horizontal="center" vertical="top" wrapText="1"/>
      <protection locked="0"/>
    </xf>
    <xf numFmtId="0" fontId="16" fillId="0" borderId="0" xfId="14" applyAlignment="1">
      <alignment horizontal="center"/>
    </xf>
    <xf numFmtId="165" fontId="16" fillId="2" borderId="2" xfId="1" applyNumberFormat="1" applyFont="1" applyFill="1" applyBorder="1" applyAlignment="1" applyProtection="1">
      <alignment horizontal="center"/>
    </xf>
    <xf numFmtId="41" fontId="16" fillId="2" borderId="2" xfId="13" applyNumberFormat="1" applyFill="1" applyBorder="1"/>
    <xf numFmtId="0" fontId="105" fillId="0" borderId="0" xfId="0" applyFont="1" applyAlignment="1">
      <alignment horizontal="left" vertical="top" wrapText="1"/>
    </xf>
    <xf numFmtId="169" fontId="26" fillId="0" borderId="2" xfId="14" applyNumberFormat="1" applyFont="1" applyBorder="1" applyAlignment="1">
      <alignment vertical="top" wrapText="1"/>
    </xf>
    <xf numFmtId="41" fontId="91" fillId="0" borderId="2" xfId="12" applyNumberFormat="1" applyFont="1" applyBorder="1" applyAlignment="1">
      <alignment vertical="top"/>
    </xf>
    <xf numFmtId="41" fontId="91" fillId="0" borderId="2" xfId="51" applyNumberFormat="1" applyFont="1" applyFill="1" applyBorder="1" applyAlignment="1" applyProtection="1">
      <alignment vertical="top"/>
    </xf>
    <xf numFmtId="41" fontId="31" fillId="0" borderId="2" xfId="51" applyNumberFormat="1" applyFont="1" applyFill="1" applyBorder="1" applyAlignment="1" applyProtection="1">
      <alignment vertical="top"/>
    </xf>
    <xf numFmtId="41" fontId="31" fillId="0" borderId="2" xfId="12" applyNumberFormat="1" applyFont="1" applyBorder="1" applyAlignment="1">
      <alignment vertical="top"/>
    </xf>
    <xf numFmtId="0" fontId="91" fillId="5" borderId="2" xfId="12" applyFont="1" applyFill="1" applyBorder="1" applyAlignment="1" applyProtection="1">
      <alignment horizontal="left" vertical="top" wrapText="1"/>
      <protection locked="0"/>
    </xf>
    <xf numFmtId="0" fontId="91" fillId="0" borderId="15" xfId="33" applyFont="1" applyBorder="1" applyAlignment="1">
      <alignment horizontal="center" vertical="center"/>
    </xf>
    <xf numFmtId="3" fontId="91" fillId="0" borderId="2" xfId="12" applyNumberFormat="1" applyFont="1" applyBorder="1" applyAlignment="1">
      <alignment vertical="top"/>
    </xf>
    <xf numFmtId="3" fontId="31" fillId="0" borderId="12" xfId="12" applyNumberFormat="1" applyFont="1" applyBorder="1" applyAlignment="1">
      <alignment vertical="top" wrapText="1"/>
    </xf>
    <xf numFmtId="3" fontId="91" fillId="0" borderId="2" xfId="12" applyNumberFormat="1" applyFont="1" applyBorder="1" applyAlignment="1">
      <alignment vertical="top" wrapText="1"/>
    </xf>
    <xf numFmtId="0" fontId="31" fillId="0" borderId="0" xfId="33" applyFont="1" applyAlignment="1">
      <alignment horizontal="center" vertical="center"/>
    </xf>
    <xf numFmtId="3" fontId="31" fillId="0" borderId="14" xfId="12" applyNumberFormat="1" applyFont="1" applyBorder="1" applyAlignment="1">
      <alignment vertical="top" wrapText="1"/>
    </xf>
    <xf numFmtId="3" fontId="31" fillId="0" borderId="14" xfId="12" applyNumberFormat="1" applyFont="1" applyBorder="1" applyAlignment="1">
      <alignment vertical="top"/>
    </xf>
    <xf numFmtId="0" fontId="31" fillId="2" borderId="3" xfId="0" applyFont="1" applyFill="1" applyBorder="1" applyAlignment="1" applyProtection="1">
      <alignment vertical="top" wrapText="1"/>
      <protection locked="0"/>
    </xf>
    <xf numFmtId="0" fontId="114" fillId="0" borderId="0" xfId="0" applyFont="1" applyAlignment="1">
      <alignment horizontal="left"/>
    </xf>
    <xf numFmtId="0" fontId="115" fillId="0" borderId="0" xfId="0" applyFont="1" applyAlignment="1">
      <alignment horizontal="left"/>
    </xf>
    <xf numFmtId="0" fontId="114" fillId="0" borderId="2" xfId="0" applyFont="1" applyBorder="1" applyAlignment="1">
      <alignment horizontal="left"/>
    </xf>
    <xf numFmtId="0" fontId="114" fillId="0" borderId="2" xfId="0" applyFont="1" applyBorder="1"/>
    <xf numFmtId="0" fontId="31" fillId="0" borderId="14" xfId="0" applyFont="1" applyBorder="1"/>
    <xf numFmtId="0" fontId="91" fillId="0" borderId="2" xfId="12" applyFont="1" applyBorder="1" applyAlignment="1">
      <alignment horizontal="left" vertical="center" wrapText="1"/>
    </xf>
    <xf numFmtId="0" fontId="31" fillId="5" borderId="3" xfId="0" applyFont="1" applyFill="1" applyBorder="1" applyAlignment="1" applyProtection="1">
      <alignment wrapText="1"/>
      <protection locked="0"/>
    </xf>
    <xf numFmtId="0" fontId="117" fillId="0" borderId="2" xfId="12" applyFont="1" applyBorder="1" applyAlignment="1">
      <alignment vertical="top" wrapText="1"/>
    </xf>
    <xf numFmtId="165" fontId="16" fillId="2" borderId="2" xfId="1" applyNumberFormat="1" applyFont="1" applyFill="1" applyBorder="1" applyAlignment="1" applyProtection="1">
      <alignment horizontal="center" vertical="center"/>
      <protection locked="0"/>
    </xf>
    <xf numFmtId="49" fontId="108" fillId="9" borderId="23" xfId="100" applyNumberFormat="1" applyFont="1" applyFill="1" applyBorder="1" applyAlignment="1">
      <alignment horizontal="center"/>
    </xf>
    <xf numFmtId="49" fontId="108" fillId="9" borderId="23" xfId="100" applyNumberFormat="1" applyFont="1" applyFill="1" applyBorder="1"/>
    <xf numFmtId="0" fontId="91" fillId="8" borderId="0" xfId="0" applyFont="1" applyFill="1" applyAlignment="1">
      <alignment horizontal="center" vertical="center" wrapText="1"/>
    </xf>
    <xf numFmtId="0" fontId="31" fillId="2" borderId="2" xfId="33" applyFont="1" applyFill="1" applyBorder="1" applyAlignment="1">
      <alignment horizontal="center" vertical="center" wrapText="1"/>
    </xf>
    <xf numFmtId="0" fontId="31" fillId="0" borderId="0" xfId="33" applyFont="1" applyAlignment="1">
      <alignment horizontal="center"/>
    </xf>
    <xf numFmtId="0" fontId="117" fillId="0" borderId="11" xfId="12" applyFont="1" applyBorder="1" applyAlignment="1">
      <alignment vertical="top" wrapText="1"/>
    </xf>
    <xf numFmtId="0" fontId="117" fillId="0" borderId="0" xfId="15" applyFont="1" applyAlignment="1">
      <alignment vertical="top" wrapText="1"/>
    </xf>
    <xf numFmtId="0" fontId="121" fillId="0" borderId="0" xfId="0" applyFont="1"/>
    <xf numFmtId="0" fontId="120" fillId="0" borderId="0" xfId="0" applyFont="1"/>
    <xf numFmtId="0" fontId="117" fillId="0" borderId="2" xfId="0" applyFont="1" applyBorder="1" applyAlignment="1">
      <alignment horizontal="center" vertical="top"/>
    </xf>
    <xf numFmtId="0" fontId="118" fillId="0" borderId="2" xfId="15" applyFont="1" applyBorder="1" applyAlignment="1">
      <alignment vertical="top" wrapText="1"/>
    </xf>
    <xf numFmtId="0" fontId="117" fillId="0" borderId="13" xfId="12" applyFont="1" applyBorder="1" applyAlignment="1">
      <alignment vertical="top" wrapText="1"/>
    </xf>
    <xf numFmtId="0" fontId="117" fillId="0" borderId="4" xfId="15" applyFont="1" applyBorder="1" applyAlignment="1">
      <alignment vertical="top" wrapText="1"/>
    </xf>
    <xf numFmtId="0" fontId="118" fillId="0" borderId="3" xfId="15" applyFont="1" applyBorder="1" applyAlignment="1">
      <alignment vertical="top" wrapText="1"/>
    </xf>
    <xf numFmtId="0" fontId="117" fillId="0" borderId="9" xfId="12" applyFont="1" applyBorder="1" applyAlignment="1">
      <alignment vertical="top" wrapText="1"/>
    </xf>
    <xf numFmtId="0" fontId="117" fillId="0" borderId="8" xfId="15" applyFont="1" applyBorder="1" applyAlignment="1">
      <alignment vertical="top" wrapText="1"/>
    </xf>
    <xf numFmtId="0" fontId="117" fillId="0" borderId="15" xfId="12" applyFont="1" applyBorder="1" applyAlignment="1">
      <alignment vertical="top" wrapText="1"/>
    </xf>
    <xf numFmtId="0" fontId="117" fillId="0" borderId="17" xfId="15" applyFont="1" applyBorder="1" applyAlignment="1">
      <alignment vertical="top" wrapText="1"/>
    </xf>
    <xf numFmtId="0" fontId="118" fillId="0" borderId="8" xfId="15" applyFont="1" applyBorder="1" applyAlignment="1">
      <alignment vertical="top" wrapText="1"/>
    </xf>
    <xf numFmtId="0" fontId="117" fillId="0" borderId="2" xfId="15" applyFont="1" applyBorder="1" applyAlignment="1">
      <alignment horizontal="center" vertical="top" wrapText="1"/>
    </xf>
    <xf numFmtId="41" fontId="117" fillId="0" borderId="2" xfId="15" applyNumberFormat="1" applyFont="1" applyBorder="1" applyAlignment="1">
      <alignment vertical="top" wrapText="1"/>
    </xf>
    <xf numFmtId="0" fontId="117" fillId="0" borderId="2" xfId="33" applyFont="1" applyBorder="1" applyAlignment="1">
      <alignment horizontal="center" vertical="center"/>
    </xf>
    <xf numFmtId="0" fontId="117" fillId="0" borderId="3" xfId="33" applyFont="1" applyBorder="1" applyAlignment="1">
      <alignment vertical="top" wrapText="1"/>
    </xf>
    <xf numFmtId="0" fontId="124" fillId="0" borderId="0" xfId="0" applyFont="1"/>
    <xf numFmtId="0" fontId="117" fillId="2" borderId="2" xfId="33" applyFont="1" applyFill="1" applyBorder="1" applyAlignment="1">
      <alignment horizontal="center" vertical="center"/>
    </xf>
    <xf numFmtId="0" fontId="117" fillId="0" borderId="2" xfId="33" quotePrefix="1" applyFont="1" applyBorder="1" applyAlignment="1">
      <alignment vertical="top" wrapText="1"/>
    </xf>
    <xf numFmtId="0" fontId="124" fillId="5" borderId="2" xfId="0" applyFont="1" applyFill="1" applyBorder="1" applyAlignment="1">
      <alignment wrapText="1"/>
    </xf>
    <xf numFmtId="0" fontId="117" fillId="0" borderId="5" xfId="33" applyFont="1" applyBorder="1" applyAlignment="1">
      <alignment vertical="top" wrapText="1"/>
    </xf>
    <xf numFmtId="0" fontId="117" fillId="0" borderId="8" xfId="12" applyFont="1" applyBorder="1" applyAlignment="1">
      <alignment vertical="top" wrapText="1"/>
    </xf>
    <xf numFmtId="0" fontId="117" fillId="0" borderId="8" xfId="33" applyFont="1" applyBorder="1" applyAlignment="1">
      <alignment vertical="top" wrapText="1"/>
    </xf>
    <xf numFmtId="0" fontId="120" fillId="0" borderId="2" xfId="33" quotePrefix="1" applyFont="1" applyBorder="1" applyAlignment="1">
      <alignment vertical="top" wrapText="1"/>
    </xf>
    <xf numFmtId="0" fontId="117" fillId="5" borderId="2" xfId="0" applyFont="1" applyFill="1" applyBorder="1" applyAlignment="1">
      <alignment horizontal="center" vertical="center"/>
    </xf>
    <xf numFmtId="0" fontId="117" fillId="0" borderId="2" xfId="15" applyFont="1" applyBorder="1" applyAlignment="1">
      <alignment vertical="top" wrapText="1"/>
    </xf>
    <xf numFmtId="0" fontId="117" fillId="2" borderId="5" xfId="15" applyFont="1" applyFill="1" applyBorder="1" applyAlignment="1">
      <alignment vertical="top" wrapText="1"/>
    </xf>
    <xf numFmtId="3" fontId="117" fillId="2" borderId="2" xfId="15" applyNumberFormat="1" applyFont="1" applyFill="1" applyBorder="1" applyAlignment="1">
      <alignment vertical="top" wrapText="1"/>
    </xf>
    <xf numFmtId="0" fontId="117" fillId="2" borderId="2" xfId="12" applyFont="1" applyFill="1" applyBorder="1" applyAlignment="1">
      <alignment horizontal="left" wrapText="1"/>
    </xf>
    <xf numFmtId="0" fontId="117" fillId="0" borderId="2" xfId="33" applyFont="1" applyBorder="1" applyAlignment="1">
      <alignment vertical="top" wrapText="1"/>
    </xf>
    <xf numFmtId="0" fontId="117" fillId="0" borderId="2" xfId="0" applyFont="1" applyBorder="1" applyAlignment="1">
      <alignment vertical="top" wrapText="1"/>
    </xf>
    <xf numFmtId="0" fontId="125" fillId="0" borderId="0" xfId="0" applyFont="1" applyAlignment="1">
      <alignment wrapText="1"/>
    </xf>
    <xf numFmtId="0" fontId="117" fillId="0" borderId="0" xfId="0" applyFont="1" applyAlignment="1">
      <alignment horizontal="center" vertical="center"/>
    </xf>
    <xf numFmtId="0" fontId="117" fillId="0" borderId="0" xfId="0" applyFont="1"/>
    <xf numFmtId="0" fontId="117" fillId="0" borderId="0" xfId="0" applyFont="1" applyAlignment="1">
      <alignment horizontal="center" vertical="top"/>
    </xf>
    <xf numFmtId="0" fontId="117" fillId="0" borderId="0" xfId="0" applyFont="1" applyAlignment="1">
      <alignment vertical="top" wrapText="1"/>
    </xf>
    <xf numFmtId="0" fontId="125" fillId="0" borderId="0" xfId="0" applyFont="1" applyAlignment="1">
      <alignment vertical="top" wrapText="1"/>
    </xf>
    <xf numFmtId="0" fontId="125" fillId="0" borderId="0" xfId="0" applyFont="1"/>
    <xf numFmtId="0" fontId="117" fillId="0" borderId="2" xfId="12" applyFont="1" applyBorder="1" applyAlignment="1">
      <alignment horizontal="center" vertical="center" wrapText="1"/>
    </xf>
    <xf numFmtId="0" fontId="120" fillId="0" borderId="0" xfId="33" applyFont="1"/>
    <xf numFmtId="0" fontId="117" fillId="0" borderId="2" xfId="12" applyFont="1" applyBorder="1" applyAlignment="1">
      <alignment horizontal="center" wrapText="1"/>
    </xf>
    <xf numFmtId="0" fontId="117" fillId="0" borderId="16" xfId="33" applyFont="1" applyBorder="1" applyAlignment="1">
      <alignment horizontal="right" vertical="top" wrapText="1"/>
    </xf>
    <xf numFmtId="42" fontId="117" fillId="0" borderId="7" xfId="33" applyNumberFormat="1" applyFont="1" applyBorder="1" applyAlignment="1">
      <alignment vertical="top" wrapText="1"/>
    </xf>
    <xf numFmtId="0" fontId="117" fillId="0" borderId="0" xfId="33" applyFont="1"/>
    <xf numFmtId="0" fontId="124" fillId="0" borderId="0" xfId="33" applyFont="1"/>
    <xf numFmtId="0" fontId="117" fillId="0" borderId="2" xfId="12" applyFont="1" applyBorder="1" applyAlignment="1">
      <alignment horizontal="center" vertical="top" wrapText="1"/>
    </xf>
    <xf numFmtId="0" fontId="127" fillId="0" borderId="2" xfId="33" applyFont="1" applyBorder="1" applyAlignment="1">
      <alignment vertical="top" wrapText="1"/>
    </xf>
    <xf numFmtId="0" fontId="117" fillId="0" borderId="0" xfId="33" applyFont="1" applyAlignment="1">
      <alignment horizontal="right" vertical="top" wrapText="1"/>
    </xf>
    <xf numFmtId="0" fontId="117" fillId="0" borderId="0" xfId="12" applyFont="1"/>
    <xf numFmtId="0" fontId="117" fillId="0" borderId="0" xfId="12" applyFont="1" applyAlignment="1">
      <alignment vertical="top"/>
    </xf>
    <xf numFmtId="0" fontId="117" fillId="0" borderId="0" xfId="12" applyFont="1" applyAlignment="1">
      <alignment vertical="top" wrapText="1"/>
    </xf>
    <xf numFmtId="0" fontId="117" fillId="0" borderId="5" xfId="33" applyFont="1" applyBorder="1" applyAlignment="1">
      <alignment horizontal="center" vertical="center"/>
    </xf>
    <xf numFmtId="0" fontId="117" fillId="0" borderId="16" xfId="0" applyFont="1" applyBorder="1"/>
    <xf numFmtId="0" fontId="117" fillId="0" borderId="17" xfId="0" applyFont="1" applyBorder="1"/>
    <xf numFmtId="0" fontId="120" fillId="0" borderId="0" xfId="12" applyFont="1" applyAlignment="1">
      <alignment horizontal="center" vertical="top" wrapText="1"/>
    </xf>
    <xf numFmtId="0" fontId="120" fillId="0" borderId="0" xfId="12" applyFont="1" applyAlignment="1">
      <alignment horizontal="center" wrapText="1"/>
    </xf>
    <xf numFmtId="0" fontId="120" fillId="0" borderId="0" xfId="34" applyFont="1" applyAlignment="1">
      <alignment horizontal="center" vertical="center"/>
    </xf>
    <xf numFmtId="42" fontId="31" fillId="0" borderId="7" xfId="1" applyNumberFormat="1" applyFont="1" applyFill="1" applyBorder="1" applyProtection="1"/>
    <xf numFmtId="0" fontId="31" fillId="0" borderId="0" xfId="9" applyFont="1" applyAlignment="1">
      <alignment horizontal="left"/>
    </xf>
    <xf numFmtId="0" fontId="91" fillId="0" borderId="5" xfId="12" applyFont="1" applyBorder="1" applyAlignment="1">
      <alignment vertical="top" wrapText="1"/>
    </xf>
    <xf numFmtId="0" fontId="114" fillId="0" borderId="0" xfId="0" applyFont="1"/>
    <xf numFmtId="0" fontId="14" fillId="0" borderId="0" xfId="0" applyFont="1"/>
    <xf numFmtId="0" fontId="33" fillId="0" borderId="0" xfId="0" applyFont="1" applyAlignment="1">
      <alignment horizontal="left" wrapText="1"/>
    </xf>
    <xf numFmtId="167" fontId="31" fillId="0" borderId="0" xfId="0" applyNumberFormat="1" applyFont="1" applyAlignment="1">
      <alignment horizontal="left"/>
    </xf>
    <xf numFmtId="41" fontId="105" fillId="0" borderId="5" xfId="1" applyNumberFormat="1" applyFont="1" applyFill="1" applyBorder="1" applyProtection="1"/>
    <xf numFmtId="41" fontId="14" fillId="0" borderId="0" xfId="0" applyNumberFormat="1" applyFont="1" applyAlignment="1">
      <alignment wrapText="1"/>
    </xf>
    <xf numFmtId="41" fontId="105" fillId="0" borderId="2" xfId="1" applyNumberFormat="1" applyFont="1" applyFill="1" applyBorder="1" applyProtection="1"/>
    <xf numFmtId="41" fontId="105" fillId="2" borderId="2" xfId="1" applyNumberFormat="1" applyFont="1" applyFill="1" applyBorder="1" applyProtection="1">
      <protection locked="0"/>
    </xf>
    <xf numFmtId="41" fontId="105" fillId="8" borderId="2" xfId="1" applyNumberFormat="1" applyFont="1" applyFill="1" applyBorder="1" applyProtection="1"/>
    <xf numFmtId="41" fontId="14" fillId="0" borderId="2" xfId="0" applyNumberFormat="1" applyFont="1" applyBorder="1" applyAlignment="1">
      <alignment wrapText="1"/>
    </xf>
    <xf numFmtId="0" fontId="31" fillId="0" borderId="0" xfId="0" applyFont="1" applyAlignment="1">
      <alignment horizontal="right" vertical="top" wrapText="1"/>
    </xf>
    <xf numFmtId="41" fontId="105" fillId="0" borderId="0" xfId="1" applyNumberFormat="1" applyFont="1" applyFill="1" applyBorder="1" applyProtection="1"/>
    <xf numFmtId="42" fontId="105" fillId="0" borderId="0" xfId="1" applyNumberFormat="1" applyFont="1" applyFill="1" applyBorder="1" applyProtection="1"/>
    <xf numFmtId="42" fontId="105" fillId="0" borderId="10" xfId="1" quotePrefix="1" applyNumberFormat="1" applyFont="1" applyFill="1" applyBorder="1" applyProtection="1"/>
    <xf numFmtId="41" fontId="71" fillId="0" borderId="0" xfId="1" applyNumberFormat="1" applyFont="1" applyFill="1" applyBorder="1" applyProtection="1"/>
    <xf numFmtId="0" fontId="31" fillId="2" borderId="3" xfId="0" applyFont="1" applyFill="1" applyBorder="1" applyAlignment="1" applyProtection="1">
      <alignment horizontal="center"/>
      <protection locked="0"/>
    </xf>
    <xf numFmtId="0" fontId="31" fillId="2" borderId="3" xfId="0" applyFont="1" applyFill="1" applyBorder="1" applyProtection="1">
      <protection locked="0"/>
    </xf>
    <xf numFmtId="0" fontId="31" fillId="0" borderId="3" xfId="0" applyFont="1" applyBorder="1"/>
    <xf numFmtId="0" fontId="31" fillId="2" borderId="2" xfId="0" applyFont="1" applyFill="1" applyBorder="1" applyProtection="1">
      <protection locked="0"/>
    </xf>
    <xf numFmtId="42" fontId="31" fillId="0" borderId="7" xfId="1" applyNumberFormat="1" applyFont="1" applyFill="1" applyBorder="1" applyAlignment="1" applyProtection="1">
      <alignment horizontal="right"/>
    </xf>
    <xf numFmtId="0" fontId="33" fillId="0" borderId="0" xfId="0" applyFont="1" applyAlignment="1">
      <alignment horizontal="right"/>
    </xf>
    <xf numFmtId="42" fontId="31" fillId="0" borderId="0" xfId="1" applyNumberFormat="1" applyFont="1" applyFill="1" applyBorder="1" applyProtection="1"/>
    <xf numFmtId="42" fontId="105" fillId="0" borderId="2" xfId="1" applyNumberFormat="1" applyFont="1" applyFill="1" applyBorder="1" applyProtection="1"/>
    <xf numFmtId="0" fontId="33" fillId="3" borderId="2" xfId="0" quotePrefix="1" applyFont="1" applyFill="1" applyBorder="1" applyAlignment="1">
      <alignment horizontal="center"/>
    </xf>
    <xf numFmtId="0" fontId="71" fillId="0" borderId="0" xfId="11" applyFont="1" applyAlignment="1">
      <alignment horizontal="right"/>
    </xf>
    <xf numFmtId="41" fontId="71" fillId="0" borderId="0" xfId="11" quotePrefix="1" applyNumberFormat="1" applyFont="1" applyAlignment="1">
      <alignment horizontal="left"/>
    </xf>
    <xf numFmtId="0" fontId="33" fillId="0" borderId="0" xfId="0" quotePrefix="1" applyFont="1" applyAlignment="1">
      <alignment horizontal="center"/>
    </xf>
    <xf numFmtId="0" fontId="31" fillId="0" borderId="0" xfId="33" applyFont="1" applyAlignment="1">
      <alignment horizontal="left"/>
    </xf>
    <xf numFmtId="42" fontId="105" fillId="2" borderId="2" xfId="1" applyNumberFormat="1" applyFont="1" applyFill="1" applyBorder="1" applyProtection="1">
      <protection locked="0"/>
    </xf>
    <xf numFmtId="0" fontId="33" fillId="0" borderId="2" xfId="0" applyFont="1" applyBorder="1" applyAlignment="1">
      <alignment horizontal="center"/>
    </xf>
    <xf numFmtId="0" fontId="31" fillId="2" borderId="2" xfId="0" applyFont="1" applyFill="1" applyBorder="1" applyAlignment="1">
      <alignment horizontal="center" wrapText="1"/>
    </xf>
    <xf numFmtId="0" fontId="33" fillId="2" borderId="2" xfId="0" applyFont="1" applyFill="1" applyBorder="1" applyAlignment="1">
      <alignment horizontal="center" wrapText="1"/>
    </xf>
    <xf numFmtId="0" fontId="31" fillId="2" borderId="2" xfId="0" applyFont="1" applyFill="1" applyBorder="1" applyAlignment="1">
      <alignment horizontal="left" wrapText="1"/>
    </xf>
    <xf numFmtId="0" fontId="33" fillId="0" borderId="0" xfId="0" applyFont="1" applyAlignment="1">
      <alignment horizontal="center" vertical="top" wrapText="1"/>
    </xf>
    <xf numFmtId="41" fontId="31" fillId="5" borderId="2" xfId="1" applyNumberFormat="1" applyFont="1" applyFill="1" applyBorder="1" applyAlignment="1" applyProtection="1">
      <alignment vertical="top"/>
      <protection locked="0"/>
    </xf>
    <xf numFmtId="41" fontId="105" fillId="2" borderId="3" xfId="1" applyNumberFormat="1" applyFont="1" applyFill="1" applyBorder="1" applyProtection="1">
      <protection locked="0"/>
    </xf>
    <xf numFmtId="0" fontId="31" fillId="0" borderId="2" xfId="0" applyFont="1" applyBorder="1" applyAlignment="1">
      <alignment horizontal="center" wrapText="1"/>
    </xf>
    <xf numFmtId="0" fontId="31" fillId="0" borderId="2" xfId="33" applyFont="1" applyBorder="1" applyAlignment="1">
      <alignment horizontal="center"/>
    </xf>
    <xf numFmtId="0" fontId="31" fillId="0" borderId="0" xfId="0" applyFont="1" applyAlignment="1">
      <alignment horizontal="right" indent="1"/>
    </xf>
    <xf numFmtId="41" fontId="31" fillId="5" borderId="3" xfId="1" applyNumberFormat="1" applyFont="1" applyFill="1" applyBorder="1" applyAlignment="1" applyProtection="1">
      <alignment vertical="top"/>
      <protection locked="0"/>
    </xf>
    <xf numFmtId="42" fontId="31" fillId="0" borderId="7" xfId="0" applyNumberFormat="1" applyFont="1" applyBorder="1"/>
    <xf numFmtId="41" fontId="31" fillId="0" borderId="6" xfId="1" applyNumberFormat="1" applyFont="1" applyFill="1" applyBorder="1" applyProtection="1"/>
    <xf numFmtId="41" fontId="31" fillId="0" borderId="0" xfId="1" applyNumberFormat="1" applyFont="1" applyAlignment="1" applyProtection="1">
      <alignment horizontal="right"/>
    </xf>
    <xf numFmtId="38" fontId="33" fillId="0" borderId="4" xfId="14" applyNumberFormat="1" applyFont="1" applyBorder="1" applyAlignment="1">
      <alignment horizontal="left"/>
    </xf>
    <xf numFmtId="0" fontId="80" fillId="0" borderId="0" xfId="9" applyFont="1"/>
    <xf numFmtId="0" fontId="33" fillId="0" borderId="19" xfId="9" applyFont="1" applyBorder="1"/>
    <xf numFmtId="0" fontId="33" fillId="0" borderId="20" xfId="9" applyFont="1" applyBorder="1"/>
    <xf numFmtId="0" fontId="33" fillId="0" borderId="20" xfId="9" applyFont="1" applyBorder="1" applyAlignment="1">
      <alignment horizontal="center" wrapText="1"/>
    </xf>
    <xf numFmtId="0" fontId="31" fillId="0" borderId="2" xfId="9" applyFont="1" applyBorder="1" applyAlignment="1">
      <alignment horizontal="center"/>
    </xf>
    <xf numFmtId="0" fontId="31" fillId="0" borderId="2" xfId="9" applyFont="1" applyBorder="1" applyAlignment="1">
      <alignment wrapText="1"/>
    </xf>
    <xf numFmtId="0" fontId="31" fillId="0" borderId="8" xfId="9" applyFont="1" applyBorder="1" applyAlignment="1">
      <alignment wrapText="1"/>
    </xf>
    <xf numFmtId="0" fontId="31" fillId="2" borderId="8" xfId="9" applyFont="1" applyFill="1" applyBorder="1" applyAlignment="1" applyProtection="1">
      <alignment horizontal="center" vertical="center" wrapText="1"/>
      <protection locked="0"/>
    </xf>
    <xf numFmtId="0" fontId="31" fillId="0" borderId="3" xfId="9" applyFont="1" applyBorder="1" applyAlignment="1">
      <alignment wrapText="1"/>
    </xf>
    <xf numFmtId="0" fontId="31" fillId="0" borderId="14" xfId="9" applyFont="1" applyBorder="1" applyAlignment="1">
      <alignment wrapText="1"/>
    </xf>
    <xf numFmtId="0" fontId="47" fillId="0" borderId="0" xfId="9" applyFont="1"/>
    <xf numFmtId="0" fontId="31" fillId="0" borderId="0" xfId="9" applyFont="1" applyAlignment="1">
      <alignment horizontal="left" wrapText="1"/>
    </xf>
    <xf numFmtId="0" fontId="31" fillId="0" borderId="0" xfId="9" applyFont="1" applyAlignment="1">
      <alignment horizontal="center"/>
    </xf>
    <xf numFmtId="0" fontId="31" fillId="2" borderId="2" xfId="9" applyFont="1" applyFill="1" applyBorder="1" applyAlignment="1" applyProtection="1">
      <alignment horizontal="center" vertical="center" wrapText="1"/>
      <protection locked="0"/>
    </xf>
    <xf numFmtId="0" fontId="14" fillId="0" borderId="0" xfId="9"/>
    <xf numFmtId="0" fontId="91" fillId="2" borderId="3" xfId="104" applyFont="1" applyFill="1" applyBorder="1" applyAlignment="1" applyProtection="1">
      <alignment wrapText="1"/>
      <protection locked="0"/>
    </xf>
    <xf numFmtId="41" fontId="91" fillId="2" borderId="2" xfId="104" applyNumberFormat="1" applyFont="1" applyFill="1" applyBorder="1" applyProtection="1">
      <protection locked="0"/>
    </xf>
    <xf numFmtId="41" fontId="91" fillId="2" borderId="2" xfId="43" applyNumberFormat="1" applyFont="1" applyFill="1" applyBorder="1" applyProtection="1">
      <protection locked="0"/>
    </xf>
    <xf numFmtId="0" fontId="91" fillId="2" borderId="2" xfId="104" applyFont="1" applyFill="1" applyBorder="1" applyAlignment="1" applyProtection="1">
      <alignment wrapText="1"/>
      <protection locked="0"/>
    </xf>
    <xf numFmtId="41" fontId="91" fillId="2" borderId="2" xfId="104" applyNumberFormat="1" applyFont="1" applyFill="1" applyBorder="1" applyAlignment="1" applyProtection="1">
      <alignment wrapText="1"/>
      <protection locked="0"/>
    </xf>
    <xf numFmtId="41" fontId="91" fillId="2" borderId="3" xfId="104" applyNumberFormat="1" applyFont="1" applyFill="1" applyBorder="1" applyAlignment="1" applyProtection="1">
      <alignment horizontal="right"/>
      <protection locked="0"/>
    </xf>
    <xf numFmtId="41" fontId="91" fillId="2" borderId="5" xfId="12" applyNumberFormat="1" applyFont="1" applyFill="1" applyBorder="1" applyAlignment="1" applyProtection="1">
      <alignment vertical="top"/>
      <protection locked="0"/>
    </xf>
    <xf numFmtId="41" fontId="32" fillId="2" borderId="5" xfId="0" applyNumberFormat="1" applyFont="1" applyFill="1" applyBorder="1"/>
    <xf numFmtId="41" fontId="91" fillId="2" borderId="3" xfId="167" applyNumberFormat="1" applyFont="1" applyFill="1" applyBorder="1" applyAlignment="1" applyProtection="1">
      <alignment horizontal="right"/>
      <protection locked="0"/>
    </xf>
    <xf numFmtId="0" fontId="31" fillId="0" borderId="0" xfId="0" applyFont="1" applyAlignment="1">
      <alignment horizontal="right" vertical="top"/>
    </xf>
    <xf numFmtId="0" fontId="91" fillId="2" borderId="2" xfId="12" applyFont="1" applyFill="1" applyBorder="1" applyAlignment="1" applyProtection="1">
      <alignment vertical="top" wrapText="1"/>
      <protection locked="0"/>
    </xf>
    <xf numFmtId="0" fontId="33" fillId="0" borderId="2" xfId="9" applyFont="1" applyBorder="1" applyAlignment="1">
      <alignment horizontal="center"/>
    </xf>
    <xf numFmtId="0" fontId="31" fillId="2" borderId="3" xfId="0" applyFont="1" applyFill="1" applyBorder="1" applyAlignment="1" applyProtection="1">
      <alignment wrapText="1"/>
      <protection locked="0"/>
    </xf>
    <xf numFmtId="41" fontId="101" fillId="0" borderId="0" xfId="1" applyNumberFormat="1" applyFont="1" applyFill="1" applyBorder="1" applyAlignment="1" applyProtection="1">
      <alignment horizontal="right"/>
    </xf>
    <xf numFmtId="0" fontId="132" fillId="0" borderId="0" xfId="102" applyFont="1"/>
    <xf numFmtId="41" fontId="91" fillId="2" borderId="2" xfId="12" applyNumberFormat="1" applyFont="1" applyFill="1" applyBorder="1" applyAlignment="1" applyProtection="1">
      <alignment vertical="top" wrapText="1"/>
      <protection locked="0"/>
    </xf>
    <xf numFmtId="41" fontId="31" fillId="10" borderId="2" xfId="0" applyNumberFormat="1" applyFont="1" applyFill="1" applyBorder="1"/>
    <xf numFmtId="41" fontId="31" fillId="10" borderId="18" xfId="0" applyNumberFormat="1" applyFont="1" applyFill="1" applyBorder="1" applyAlignment="1">
      <alignment horizontal="center" wrapText="1"/>
    </xf>
    <xf numFmtId="41" fontId="31" fillId="10" borderId="6" xfId="0" applyNumberFormat="1" applyFont="1" applyFill="1" applyBorder="1"/>
    <xf numFmtId="0" fontId="16" fillId="0" borderId="0" xfId="13" applyAlignment="1">
      <alignment horizontal="left" wrapText="1" indent="1"/>
    </xf>
    <xf numFmtId="0" fontId="91" fillId="0" borderId="2" xfId="0" applyFont="1" applyBorder="1" applyAlignment="1">
      <alignment horizontal="center" vertical="center"/>
    </xf>
    <xf numFmtId="41" fontId="53" fillId="0" borderId="0" xfId="0" applyNumberFormat="1" applyFont="1"/>
    <xf numFmtId="0" fontId="137" fillId="0" borderId="0" xfId="0" applyFont="1" applyAlignment="1">
      <alignment horizontal="center"/>
    </xf>
    <xf numFmtId="41" fontId="138" fillId="0" borderId="4" xfId="0" applyNumberFormat="1" applyFont="1" applyBorder="1"/>
    <xf numFmtId="41" fontId="114" fillId="0" borderId="0" xfId="0" applyNumberFormat="1" applyFont="1"/>
    <xf numFmtId="0" fontId="138" fillId="0" borderId="0" xfId="0" applyFont="1" applyAlignment="1">
      <alignment horizontal="center"/>
    </xf>
    <xf numFmtId="0" fontId="114" fillId="0" borderId="0" xfId="0" applyFont="1" applyAlignment="1">
      <alignment horizontal="center"/>
    </xf>
    <xf numFmtId="41" fontId="139" fillId="0" borderId="7" xfId="0" applyNumberFormat="1" applyFont="1" applyBorder="1"/>
    <xf numFmtId="41" fontId="114" fillId="0" borderId="0" xfId="0" applyNumberFormat="1" applyFont="1" applyAlignment="1">
      <alignment horizontal="center" wrapText="1"/>
    </xf>
    <xf numFmtId="0" fontId="114" fillId="0" borderId="0" xfId="0" applyFont="1" applyAlignment="1">
      <alignment horizontal="center" wrapText="1"/>
    </xf>
    <xf numFmtId="41" fontId="138" fillId="0" borderId="0" xfId="0" applyNumberFormat="1" applyFont="1" applyAlignment="1">
      <alignment horizontal="center"/>
    </xf>
    <xf numFmtId="0" fontId="91" fillId="2" borderId="2" xfId="33" applyFont="1" applyFill="1" applyBorder="1" applyAlignment="1" applyProtection="1">
      <alignment horizontal="left" vertical="center" wrapText="1"/>
      <protection locked="0"/>
    </xf>
    <xf numFmtId="0" fontId="30" fillId="0" borderId="0" xfId="0" applyFont="1" applyAlignment="1">
      <alignment wrapText="1"/>
    </xf>
    <xf numFmtId="0" fontId="31" fillId="0" borderId="0" xfId="0" applyFont="1" applyProtection="1">
      <protection locked="0"/>
    </xf>
    <xf numFmtId="0" fontId="120" fillId="2" borderId="3" xfId="0" applyFont="1" applyFill="1" applyBorder="1" applyAlignment="1">
      <alignment vertical="top" wrapText="1"/>
    </xf>
    <xf numFmtId="0" fontId="117" fillId="2" borderId="2" xfId="0" applyFont="1" applyFill="1" applyBorder="1" applyAlignment="1">
      <alignment horizontal="center" vertical="center"/>
    </xf>
    <xf numFmtId="0" fontId="117" fillId="2" borderId="2" xfId="15" applyFont="1" applyFill="1" applyBorder="1" applyAlignment="1">
      <alignment vertical="top" wrapText="1"/>
    </xf>
    <xf numFmtId="41" fontId="117" fillId="2" borderId="2" xfId="15" applyNumberFormat="1" applyFont="1" applyFill="1" applyBorder="1" applyAlignment="1">
      <alignment horizontal="left" vertical="top" wrapText="1"/>
    </xf>
    <xf numFmtId="41" fontId="117" fillId="2" borderId="2" xfId="15" applyNumberFormat="1" applyFont="1" applyFill="1" applyBorder="1" applyAlignment="1">
      <alignment vertical="top" wrapText="1"/>
    </xf>
    <xf numFmtId="0" fontId="117" fillId="2" borderId="2" xfId="33" applyFont="1" applyFill="1" applyBorder="1" applyAlignment="1">
      <alignment horizontal="left" vertical="center"/>
    </xf>
    <xf numFmtId="3" fontId="117" fillId="2" borderId="2" xfId="12" applyNumberFormat="1" applyFont="1" applyFill="1" applyBorder="1" applyAlignment="1">
      <alignment vertical="top"/>
    </xf>
    <xf numFmtId="0" fontId="91" fillId="5" borderId="2" xfId="12" applyFont="1" applyFill="1" applyBorder="1" applyAlignment="1">
      <alignment horizontal="left" vertical="top" wrapText="1"/>
    </xf>
    <xf numFmtId="0" fontId="117" fillId="2" borderId="2" xfId="12" applyFont="1" applyFill="1" applyBorder="1" applyAlignment="1">
      <alignment horizontal="left" vertical="top" wrapText="1"/>
    </xf>
    <xf numFmtId="0" fontId="16" fillId="2" borderId="2" xfId="14" applyFill="1" applyBorder="1" applyProtection="1">
      <protection locked="0"/>
    </xf>
    <xf numFmtId="0" fontId="16" fillId="2" borderId="2" xfId="14" applyFill="1" applyBorder="1" applyAlignment="1" applyProtection="1">
      <alignment wrapText="1"/>
      <protection locked="0"/>
    </xf>
    <xf numFmtId="41" fontId="33" fillId="0" borderId="0" xfId="0" applyNumberFormat="1" applyFont="1" applyAlignment="1">
      <alignment wrapText="1"/>
    </xf>
    <xf numFmtId="49" fontId="14" fillId="0" borderId="0" xfId="0" applyNumberFormat="1" applyFont="1"/>
    <xf numFmtId="41" fontId="14" fillId="0" borderId="0" xfId="0" applyNumberFormat="1" applyFont="1" applyAlignment="1">
      <alignment horizontal="center" wrapText="1"/>
    </xf>
    <xf numFmtId="41" fontId="14" fillId="0" borderId="0" xfId="0" applyNumberFormat="1" applyFont="1" applyAlignment="1">
      <alignment horizontal="right"/>
    </xf>
    <xf numFmtId="0" fontId="101" fillId="0" borderId="0" xfId="0" applyFont="1"/>
    <xf numFmtId="41" fontId="45" fillId="0" borderId="0" xfId="1" applyNumberFormat="1" applyFont="1" applyBorder="1" applyAlignment="1" applyProtection="1">
      <alignment horizontal="right"/>
    </xf>
    <xf numFmtId="0" fontId="30" fillId="0" borderId="2" xfId="0" applyFont="1" applyBorder="1" applyAlignment="1">
      <alignment wrapText="1"/>
    </xf>
    <xf numFmtId="0" fontId="30" fillId="0" borderId="2" xfId="0" applyFont="1" applyBorder="1" applyAlignment="1">
      <alignment horizontal="center"/>
    </xf>
    <xf numFmtId="10" fontId="30" fillId="0" borderId="2" xfId="0" applyNumberFormat="1" applyFont="1" applyBorder="1" applyAlignment="1">
      <alignment horizontal="center" wrapText="1"/>
    </xf>
    <xf numFmtId="0" fontId="16" fillId="0" borderId="0" xfId="14" applyAlignment="1">
      <alignment wrapText="1"/>
    </xf>
    <xf numFmtId="0" fontId="32" fillId="2" borderId="2" xfId="0" applyFont="1" applyFill="1" applyBorder="1" applyAlignment="1" applyProtection="1">
      <alignment horizontal="center" wrapText="1"/>
      <protection locked="0"/>
    </xf>
    <xf numFmtId="41" fontId="16" fillId="0" borderId="4" xfId="1" applyNumberFormat="1" applyFont="1" applyBorder="1" applyAlignment="1" applyProtection="1">
      <alignment horizontal="right"/>
    </xf>
    <xf numFmtId="0" fontId="26" fillId="0" borderId="16" xfId="13" applyFont="1" applyBorder="1"/>
    <xf numFmtId="0" fontId="26" fillId="0" borderId="12" xfId="13" applyFont="1" applyBorder="1"/>
    <xf numFmtId="165" fontId="26" fillId="0" borderId="16" xfId="1" applyNumberFormat="1" applyFont="1" applyBorder="1" applyProtection="1"/>
    <xf numFmtId="165" fontId="16" fillId="0" borderId="0" xfId="1" applyNumberFormat="1" applyFont="1" applyAlignment="1" applyProtection="1">
      <alignment horizontal="right"/>
    </xf>
    <xf numFmtId="41" fontId="16" fillId="0" borderId="0" xfId="1" applyNumberFormat="1" applyFont="1" applyFill="1" applyBorder="1" applyProtection="1"/>
    <xf numFmtId="165" fontId="16" fillId="0" borderId="0" xfId="1" applyNumberFormat="1" applyFont="1" applyFill="1" applyBorder="1" applyAlignment="1" applyProtection="1">
      <alignment horizontal="center"/>
    </xf>
    <xf numFmtId="41" fontId="16" fillId="0" borderId="0" xfId="13" applyNumberFormat="1"/>
    <xf numFmtId="41" fontId="16" fillId="2" borderId="2" xfId="1" applyNumberFormat="1" applyFont="1" applyFill="1" applyBorder="1" applyProtection="1">
      <protection locked="0"/>
    </xf>
    <xf numFmtId="165" fontId="16" fillId="0" borderId="0" xfId="1" applyNumberFormat="1" applyFont="1" applyFill="1" applyAlignment="1" applyProtection="1">
      <alignment horizontal="right"/>
    </xf>
    <xf numFmtId="165" fontId="16" fillId="0" borderId="0" xfId="1" applyNumberFormat="1" applyFont="1" applyFill="1" applyProtection="1"/>
    <xf numFmtId="0" fontId="31" fillId="0" borderId="0" xfId="33" quotePrefix="1" applyFont="1" applyAlignment="1">
      <alignment horizontal="right"/>
    </xf>
    <xf numFmtId="0" fontId="31" fillId="0" borderId="0" xfId="33" applyFont="1" applyAlignment="1">
      <alignment horizontal="right"/>
    </xf>
    <xf numFmtId="41" fontId="16" fillId="0" borderId="0" xfId="1" applyNumberFormat="1" applyFont="1" applyBorder="1" applyAlignment="1" applyProtection="1">
      <alignment horizontal="right"/>
    </xf>
    <xf numFmtId="41" fontId="31" fillId="0" borderId="0" xfId="1" applyNumberFormat="1" applyFont="1" applyBorder="1" applyProtection="1"/>
    <xf numFmtId="41" fontId="31" fillId="0" borderId="0" xfId="1" applyNumberFormat="1" applyFont="1" applyBorder="1" applyAlignment="1" applyProtection="1">
      <alignment horizontal="right"/>
    </xf>
    <xf numFmtId="0" fontId="31" fillId="0" borderId="4" xfId="0" applyFont="1" applyBorder="1" applyAlignment="1">
      <alignment horizontal="center" wrapText="1"/>
    </xf>
    <xf numFmtId="0" fontId="30" fillId="0" borderId="4" xfId="0" applyFont="1" applyBorder="1" applyAlignment="1">
      <alignment horizontal="center" wrapText="1"/>
    </xf>
    <xf numFmtId="0" fontId="31" fillId="0" borderId="6" xfId="0" applyFont="1" applyBorder="1"/>
    <xf numFmtId="0" fontId="31" fillId="0" borderId="8" xfId="0" applyFont="1" applyBorder="1"/>
    <xf numFmtId="38" fontId="69" fillId="2" borderId="2" xfId="14" applyNumberFormat="1" applyFont="1" applyFill="1" applyBorder="1" applyAlignment="1" applyProtection="1">
      <alignment horizontal="left"/>
      <protection locked="0"/>
    </xf>
    <xf numFmtId="183" fontId="28" fillId="2" borderId="2" xfId="14" applyNumberFormat="1" applyFont="1" applyFill="1" applyBorder="1" applyAlignment="1" applyProtection="1">
      <alignment horizontal="left"/>
      <protection locked="0"/>
    </xf>
    <xf numFmtId="38" fontId="28" fillId="4" borderId="2" xfId="14" applyNumberFormat="1" applyFont="1" applyFill="1" applyBorder="1" applyAlignment="1">
      <alignment horizontal="left"/>
    </xf>
    <xf numFmtId="0" fontId="30" fillId="0" borderId="9" xfId="0" applyFont="1" applyBorder="1"/>
    <xf numFmtId="38" fontId="28" fillId="2" borderId="2" xfId="14" applyNumberFormat="1" applyFont="1" applyFill="1" applyBorder="1" applyAlignment="1" applyProtection="1">
      <alignment horizontal="left"/>
      <protection locked="0"/>
    </xf>
    <xf numFmtId="182" fontId="28" fillId="2" borderId="2" xfId="14" applyNumberFormat="1" applyFont="1" applyFill="1" applyBorder="1" applyAlignment="1" applyProtection="1">
      <alignment horizontal="left"/>
      <protection locked="0"/>
    </xf>
    <xf numFmtId="165" fontId="26" fillId="0" borderId="0" xfId="1" applyNumberFormat="1" applyFont="1" applyFill="1" applyBorder="1" applyAlignment="1" applyProtection="1"/>
    <xf numFmtId="0" fontId="26" fillId="0" borderId="11" xfId="13" applyFont="1" applyBorder="1" applyAlignment="1">
      <alignment wrapText="1"/>
    </xf>
    <xf numFmtId="0" fontId="26" fillId="0" borderId="0" xfId="13" applyFont="1" applyAlignment="1">
      <alignment wrapText="1"/>
    </xf>
    <xf numFmtId="165" fontId="26" fillId="0" borderId="0" xfId="1" applyNumberFormat="1" applyFont="1" applyAlignment="1" applyProtection="1">
      <alignment horizontal="center" vertical="center"/>
    </xf>
    <xf numFmtId="0" fontId="117" fillId="0" borderId="2" xfId="12" applyFont="1" applyBorder="1" applyAlignment="1">
      <alignment horizontal="left" vertical="top" wrapText="1"/>
    </xf>
    <xf numFmtId="0" fontId="91" fillId="0" borderId="8" xfId="0" applyFont="1" applyBorder="1" applyAlignment="1">
      <alignment horizontal="right" vertical="top"/>
    </xf>
    <xf numFmtId="0" fontId="0" fillId="0" borderId="0" xfId="0" applyAlignment="1">
      <alignment wrapText="1"/>
    </xf>
    <xf numFmtId="41" fontId="33" fillId="0" borderId="0" xfId="0" applyNumberFormat="1" applyFont="1" applyAlignment="1">
      <alignment horizontal="center" wrapText="1"/>
    </xf>
    <xf numFmtId="165" fontId="26" fillId="0" borderId="0" xfId="1" quotePrefix="1" applyNumberFormat="1" applyFont="1" applyFill="1" applyBorder="1" applyAlignment="1" applyProtection="1">
      <alignment horizontal="right"/>
    </xf>
    <xf numFmtId="0" fontId="16" fillId="0" borderId="0" xfId="13" applyAlignment="1">
      <alignment horizontal="left"/>
    </xf>
    <xf numFmtId="0" fontId="132" fillId="0" borderId="0" xfId="166" applyFont="1" applyProtection="1">
      <protection locked="0"/>
    </xf>
    <xf numFmtId="0" fontId="132" fillId="0" borderId="16" xfId="166" applyFont="1" applyBorder="1" applyProtection="1">
      <protection locked="0"/>
    </xf>
    <xf numFmtId="0" fontId="91" fillId="0" borderId="0" xfId="104" applyFont="1" applyProtection="1">
      <protection locked="0"/>
    </xf>
    <xf numFmtId="0" fontId="49" fillId="0" borderId="0" xfId="104" applyFont="1" applyAlignment="1" applyProtection="1">
      <alignment horizontal="center"/>
      <protection locked="0"/>
    </xf>
    <xf numFmtId="0" fontId="133" fillId="0" borderId="13" xfId="166" applyFont="1" applyBorder="1" applyAlignment="1" applyProtection="1">
      <alignment horizontal="centerContinuous"/>
      <protection locked="0"/>
    </xf>
    <xf numFmtId="0" fontId="133" fillId="0" borderId="4" xfId="166" applyFont="1" applyBorder="1" applyAlignment="1" applyProtection="1">
      <alignment horizontal="centerContinuous"/>
      <protection locked="0"/>
    </xf>
    <xf numFmtId="0" fontId="94" fillId="0" borderId="11" xfId="104" applyFont="1" applyBorder="1" applyAlignment="1" applyProtection="1">
      <alignment horizontal="center"/>
      <protection locked="0"/>
    </xf>
    <xf numFmtId="0" fontId="94" fillId="0" borderId="21" xfId="104" applyFont="1" applyBorder="1" applyAlignment="1" applyProtection="1">
      <alignment horizontal="center"/>
      <protection locked="0"/>
    </xf>
    <xf numFmtId="0" fontId="94" fillId="0" borderId="0" xfId="104" applyFont="1" applyAlignment="1" applyProtection="1">
      <alignment horizontal="center"/>
      <protection locked="0"/>
    </xf>
    <xf numFmtId="0" fontId="91" fillId="0" borderId="15" xfId="104" applyFont="1" applyBorder="1" applyProtection="1">
      <protection locked="0"/>
    </xf>
    <xf numFmtId="0" fontId="91" fillId="0" borderId="16" xfId="104" applyFont="1" applyBorder="1" applyProtection="1">
      <protection locked="0"/>
    </xf>
    <xf numFmtId="0" fontId="91" fillId="0" borderId="17" xfId="104" applyFont="1" applyBorder="1" applyProtection="1">
      <protection locked="0"/>
    </xf>
    <xf numFmtId="0" fontId="91" fillId="0" borderId="5" xfId="104" applyFont="1" applyBorder="1" applyProtection="1">
      <protection locked="0"/>
    </xf>
    <xf numFmtId="0" fontId="91" fillId="0" borderId="14" xfId="104" applyFont="1" applyBorder="1" applyProtection="1">
      <protection locked="0"/>
    </xf>
    <xf numFmtId="0" fontId="134" fillId="0" borderId="0" xfId="41" applyFont="1" applyAlignment="1" applyProtection="1">
      <alignment horizontal="center" wrapText="1"/>
      <protection locked="0"/>
    </xf>
    <xf numFmtId="0" fontId="49" fillId="0" borderId="9" xfId="104" applyFont="1" applyBorder="1" applyAlignment="1" applyProtection="1">
      <alignment horizontal="left"/>
      <protection locked="0"/>
    </xf>
    <xf numFmtId="0" fontId="49" fillId="0" borderId="6" xfId="104" applyFont="1" applyBorder="1" applyProtection="1">
      <protection locked="0"/>
    </xf>
    <xf numFmtId="0" fontId="49" fillId="0" borderId="6" xfId="33" applyFont="1" applyBorder="1" applyProtection="1">
      <protection locked="0"/>
    </xf>
    <xf numFmtId="0" fontId="49" fillId="0" borderId="8" xfId="33" applyFont="1" applyBorder="1" applyAlignment="1" applyProtection="1">
      <alignment horizontal="center" wrapText="1"/>
      <protection locked="0"/>
    </xf>
    <xf numFmtId="0" fontId="49" fillId="0" borderId="2" xfId="104" applyFont="1" applyBorder="1" applyAlignment="1" applyProtection="1">
      <alignment horizontal="center" wrapText="1"/>
      <protection locked="0"/>
    </xf>
    <xf numFmtId="49" fontId="49" fillId="0" borderId="13" xfId="104" applyNumberFormat="1" applyFont="1" applyBorder="1" applyAlignment="1" applyProtection="1">
      <alignment horizontal="center" wrapText="1"/>
      <protection locked="0"/>
    </xf>
    <xf numFmtId="49" fontId="49" fillId="0" borderId="3" xfId="104" applyNumberFormat="1" applyFont="1" applyBorder="1" applyAlignment="1" applyProtection="1">
      <alignment horizontal="center" wrapText="1"/>
      <protection locked="0"/>
    </xf>
    <xf numFmtId="49" fontId="49" fillId="0" borderId="4" xfId="104" applyNumberFormat="1" applyFont="1" applyBorder="1" applyAlignment="1" applyProtection="1">
      <alignment horizontal="center" wrapText="1"/>
      <protection locked="0"/>
    </xf>
    <xf numFmtId="0" fontId="98" fillId="0" borderId="14" xfId="104" applyFont="1" applyBorder="1" applyAlignment="1" applyProtection="1">
      <alignment horizontal="center" wrapText="1"/>
      <protection locked="0"/>
    </xf>
    <xf numFmtId="0" fontId="49" fillId="0" borderId="2" xfId="104" applyFont="1" applyBorder="1" applyAlignment="1" applyProtection="1">
      <alignment horizontal="center"/>
      <protection locked="0"/>
    </xf>
    <xf numFmtId="0" fontId="49" fillId="0" borderId="3" xfId="104" applyFont="1" applyBorder="1" applyAlignment="1" applyProtection="1">
      <alignment horizontal="center"/>
      <protection locked="0"/>
    </xf>
    <xf numFmtId="0" fontId="49" fillId="0" borderId="13" xfId="104" applyFont="1" applyBorder="1" applyAlignment="1" applyProtection="1">
      <alignment horizontal="center"/>
      <protection locked="0"/>
    </xf>
    <xf numFmtId="0" fontId="49" fillId="0" borderId="3" xfId="104" applyFont="1" applyBorder="1" applyAlignment="1" applyProtection="1">
      <alignment horizontal="center" wrapText="1"/>
      <protection locked="0"/>
    </xf>
    <xf numFmtId="0" fontId="49" fillId="0" borderId="2" xfId="57" applyFont="1" applyBorder="1" applyAlignment="1" applyProtection="1">
      <alignment horizontal="center" wrapText="1"/>
      <protection locked="0"/>
    </xf>
    <xf numFmtId="0" fontId="98" fillId="0" borderId="4" xfId="41" applyFont="1" applyBorder="1" applyAlignment="1" applyProtection="1">
      <alignment horizontal="center" wrapText="1"/>
      <protection locked="0"/>
    </xf>
    <xf numFmtId="0" fontId="49" fillId="0" borderId="4" xfId="104" applyFont="1" applyBorder="1" applyAlignment="1" applyProtection="1">
      <alignment horizontal="center"/>
      <protection locked="0"/>
    </xf>
    <xf numFmtId="0" fontId="91" fillId="0" borderId="0" xfId="104" applyFont="1" applyAlignment="1" applyProtection="1">
      <alignment horizontal="left"/>
      <protection locked="0"/>
    </xf>
    <xf numFmtId="37" fontId="91" fillId="0" borderId="0" xfId="104" applyNumberFormat="1" applyFont="1" applyProtection="1">
      <protection locked="0"/>
    </xf>
    <xf numFmtId="41" fontId="91" fillId="0" borderId="11" xfId="104" applyNumberFormat="1" applyFont="1" applyBorder="1" applyProtection="1">
      <protection locked="0"/>
    </xf>
    <xf numFmtId="41" fontId="111" fillId="0" borderId="0" xfId="104" applyNumberFormat="1" applyFont="1" applyProtection="1">
      <protection locked="0"/>
    </xf>
    <xf numFmtId="41" fontId="91" fillId="0" borderId="0" xfId="107" quotePrefix="1" applyNumberFormat="1" applyFont="1" applyProtection="1">
      <protection locked="0"/>
    </xf>
    <xf numFmtId="41" fontId="91" fillId="0" borderId="0" xfId="104" applyNumberFormat="1" applyFont="1" applyProtection="1">
      <protection locked="0"/>
    </xf>
    <xf numFmtId="0" fontId="111" fillId="0" borderId="0" xfId="166" applyFont="1" applyAlignment="1" applyProtection="1">
      <alignment horizontal="center"/>
      <protection locked="0"/>
    </xf>
    <xf numFmtId="0" fontId="91" fillId="0" borderId="4" xfId="104" applyFont="1" applyBorder="1" applyAlignment="1" applyProtection="1">
      <alignment wrapText="1"/>
      <protection locked="0"/>
    </xf>
    <xf numFmtId="0" fontId="91" fillId="0" borderId="4" xfId="167" applyNumberFormat="1" applyFont="1" applyFill="1" applyBorder="1" applyAlignment="1" applyProtection="1">
      <alignment horizontal="right"/>
      <protection locked="0"/>
    </xf>
    <xf numFmtId="0" fontId="111" fillId="0" borderId="0" xfId="104" applyFont="1" applyProtection="1">
      <protection locked="0"/>
    </xf>
    <xf numFmtId="0" fontId="91" fillId="0" borderId="6" xfId="104" applyFont="1" applyBorder="1" applyProtection="1">
      <protection locked="0"/>
    </xf>
    <xf numFmtId="0" fontId="91" fillId="0" borderId="0" xfId="107" quotePrefix="1" applyNumberFormat="1" applyFont="1" applyFill="1" applyBorder="1" applyProtection="1">
      <protection locked="0"/>
    </xf>
    <xf numFmtId="0" fontId="91" fillId="0" borderId="6" xfId="43" applyFont="1" applyBorder="1" applyProtection="1">
      <protection locked="0"/>
    </xf>
    <xf numFmtId="41" fontId="91" fillId="0" borderId="0" xfId="107" applyNumberFormat="1" applyFont="1" applyProtection="1">
      <protection locked="0"/>
    </xf>
    <xf numFmtId="41" fontId="91" fillId="0" borderId="12" xfId="104" applyNumberFormat="1" applyFont="1" applyBorder="1" applyProtection="1">
      <protection locked="0"/>
    </xf>
    <xf numFmtId="0" fontId="91" fillId="0" borderId="4" xfId="104" applyFont="1" applyBorder="1" applyProtection="1">
      <protection locked="0"/>
    </xf>
    <xf numFmtId="0" fontId="91" fillId="0" borderId="2" xfId="104" applyFont="1" applyBorder="1" applyProtection="1">
      <protection locked="0"/>
    </xf>
    <xf numFmtId="41" fontId="91" fillId="0" borderId="0" xfId="43" applyNumberFormat="1" applyFont="1" applyProtection="1">
      <protection locked="0"/>
    </xf>
    <xf numFmtId="0" fontId="91" fillId="0" borderId="4" xfId="43" applyFont="1" applyBorder="1" applyProtection="1">
      <protection locked="0"/>
    </xf>
    <xf numFmtId="41" fontId="91" fillId="0" borderId="11" xfId="104" applyNumberFormat="1" applyFont="1" applyBorder="1" applyAlignment="1" applyProtection="1">
      <alignment wrapText="1"/>
      <protection locked="0"/>
    </xf>
    <xf numFmtId="41" fontId="91" fillId="0" borderId="0" xfId="104" applyNumberFormat="1" applyFont="1" applyAlignment="1" applyProtection="1">
      <alignment wrapText="1"/>
      <protection locked="0"/>
    </xf>
    <xf numFmtId="41" fontId="91" fillId="0" borderId="12" xfId="104" applyNumberFormat="1" applyFont="1" applyBorder="1" applyAlignment="1" applyProtection="1">
      <alignment wrapText="1"/>
      <protection locked="0"/>
    </xf>
    <xf numFmtId="0" fontId="91" fillId="0" borderId="0" xfId="167" applyNumberFormat="1" applyFont="1" applyFill="1" applyBorder="1" applyAlignment="1" applyProtection="1">
      <alignment horizontal="right"/>
      <protection locked="0"/>
    </xf>
    <xf numFmtId="0" fontId="91" fillId="0" borderId="0" xfId="104" applyFont="1" applyAlignment="1" applyProtection="1">
      <alignment wrapText="1"/>
      <protection locked="0"/>
    </xf>
    <xf numFmtId="49" fontId="91" fillId="0" borderId="0" xfId="104" applyNumberFormat="1" applyFont="1" applyAlignment="1" applyProtection="1">
      <alignment wrapText="1"/>
      <protection locked="0"/>
    </xf>
    <xf numFmtId="49" fontId="91" fillId="0" borderId="0" xfId="104" applyNumberFormat="1" applyFont="1" applyProtection="1">
      <protection locked="0"/>
    </xf>
    <xf numFmtId="41" fontId="135" fillId="0" borderId="0" xfId="104" applyNumberFormat="1" applyFont="1" applyProtection="1">
      <protection locked="0"/>
    </xf>
    <xf numFmtId="37" fontId="91" fillId="0" borderId="12" xfId="104" applyNumberFormat="1" applyFont="1" applyBorder="1" applyProtection="1">
      <protection locked="0"/>
    </xf>
    <xf numFmtId="37" fontId="49" fillId="0" borderId="0" xfId="104" applyNumberFormat="1" applyFont="1" applyProtection="1">
      <protection locked="0"/>
    </xf>
    <xf numFmtId="0" fontId="133" fillId="0" borderId="0" xfId="166" applyFont="1" applyProtection="1">
      <protection locked="0"/>
    </xf>
    <xf numFmtId="37" fontId="33" fillId="0" borderId="0" xfId="0" applyNumberFormat="1" applyFont="1" applyProtection="1">
      <protection locked="0"/>
    </xf>
    <xf numFmtId="49" fontId="31" fillId="0" borderId="0" xfId="0" applyNumberFormat="1" applyFont="1" applyProtection="1">
      <protection locked="0"/>
    </xf>
    <xf numFmtId="0" fontId="31" fillId="0" borderId="0" xfId="43" applyFont="1" applyProtection="1">
      <protection locked="0"/>
    </xf>
    <xf numFmtId="0" fontId="32" fillId="0" borderId="12" xfId="0" applyFont="1" applyBorder="1"/>
    <xf numFmtId="165" fontId="16" fillId="0" borderId="0" xfId="1" applyNumberFormat="1" applyFont="1" applyFill="1" applyBorder="1" applyAlignment="1" applyProtection="1">
      <alignment wrapText="1"/>
      <protection locked="0"/>
    </xf>
    <xf numFmtId="0" fontId="0" fillId="0" borderId="0" xfId="0" applyAlignment="1" applyProtection="1">
      <alignment wrapText="1"/>
      <protection locked="0"/>
    </xf>
    <xf numFmtId="41" fontId="31" fillId="0" borderId="0" xfId="1" applyNumberFormat="1" applyFont="1" applyFill="1" applyBorder="1" applyAlignment="1" applyProtection="1">
      <alignment horizontal="right"/>
      <protection locked="0"/>
    </xf>
    <xf numFmtId="0" fontId="94" fillId="8" borderId="0" xfId="104" applyFont="1" applyFill="1" applyAlignment="1">
      <alignment horizontal="center"/>
    </xf>
    <xf numFmtId="0" fontId="31" fillId="8" borderId="0" xfId="0" applyFont="1" applyFill="1"/>
    <xf numFmtId="0" fontId="31" fillId="0" borderId="0" xfId="10" applyFont="1" applyAlignment="1">
      <alignment vertical="top" wrapText="1"/>
    </xf>
    <xf numFmtId="0" fontId="71" fillId="0" borderId="0" xfId="0" applyFont="1" applyAlignment="1">
      <alignment wrapText="1"/>
    </xf>
    <xf numFmtId="49" fontId="33" fillId="8" borderId="0" xfId="29" applyFont="1" applyFill="1"/>
    <xf numFmtId="41" fontId="16" fillId="0" borderId="0" xfId="1" applyNumberFormat="1" applyFont="1" applyFill="1" applyBorder="1" applyProtection="1">
      <protection locked="0"/>
    </xf>
    <xf numFmtId="38" fontId="16" fillId="0" borderId="0" xfId="33" applyNumberFormat="1" applyFont="1" applyAlignment="1" applyProtection="1">
      <alignment horizontal="right"/>
      <protection locked="0"/>
    </xf>
    <xf numFmtId="41" fontId="26" fillId="0" borderId="0" xfId="1" applyNumberFormat="1" applyFont="1" applyFill="1" applyBorder="1" applyProtection="1">
      <protection locked="0"/>
    </xf>
    <xf numFmtId="41" fontId="31" fillId="2" borderId="3" xfId="1" applyNumberFormat="1" applyFont="1" applyFill="1" applyBorder="1" applyAlignment="1" applyProtection="1">
      <alignment horizontal="right"/>
      <protection locked="0"/>
    </xf>
    <xf numFmtId="41" fontId="31" fillId="0" borderId="3" xfId="1" quotePrefix="1" applyNumberFormat="1" applyFont="1" applyFill="1" applyBorder="1" applyAlignment="1" applyProtection="1">
      <alignment horizontal="right"/>
    </xf>
    <xf numFmtId="0" fontId="44" fillId="0" borderId="0" xfId="0" applyFont="1" applyProtection="1">
      <protection locked="0"/>
    </xf>
    <xf numFmtId="41" fontId="31" fillId="0" borderId="0" xfId="1" quotePrefix="1" applyNumberFormat="1" applyFont="1" applyFill="1" applyBorder="1" applyAlignment="1" applyProtection="1">
      <alignment horizontal="right"/>
    </xf>
    <xf numFmtId="41" fontId="101" fillId="0" borderId="0" xfId="0" applyNumberFormat="1" applyFont="1" applyAlignment="1">
      <alignment wrapText="1"/>
    </xf>
    <xf numFmtId="0" fontId="31" fillId="0" borderId="2" xfId="0" applyFont="1" applyBorder="1" applyProtection="1">
      <protection locked="0"/>
    </xf>
    <xf numFmtId="0" fontId="30" fillId="0" borderId="0" xfId="0" applyFont="1" applyAlignment="1" applyProtection="1">
      <alignment wrapText="1"/>
      <protection locked="0"/>
    </xf>
    <xf numFmtId="0" fontId="16" fillId="0" borderId="4" xfId="0" applyFont="1" applyBorder="1"/>
    <xf numFmtId="41" fontId="31" fillId="0" borderId="4" xfId="1" applyNumberFormat="1" applyFont="1" applyBorder="1" applyProtection="1"/>
    <xf numFmtId="41" fontId="89" fillId="0" borderId="2" xfId="0" applyNumberFormat="1" applyFont="1" applyBorder="1" applyAlignment="1">
      <alignment vertical="top"/>
    </xf>
    <xf numFmtId="0" fontId="32" fillId="0" borderId="18" xfId="0" applyFont="1" applyBorder="1" applyAlignment="1">
      <alignment wrapText="1"/>
    </xf>
    <xf numFmtId="41" fontId="33" fillId="0" borderId="10" xfId="0" applyNumberFormat="1" applyFont="1" applyBorder="1"/>
    <xf numFmtId="0" fontId="31" fillId="10" borderId="18" xfId="0" applyFont="1" applyFill="1" applyBorder="1" applyAlignment="1">
      <alignment wrapText="1"/>
    </xf>
    <xf numFmtId="49" fontId="108" fillId="9" borderId="24" xfId="100" applyNumberFormat="1" applyFont="1" applyFill="1" applyBorder="1" applyAlignment="1">
      <alignment horizontal="center"/>
    </xf>
    <xf numFmtId="49" fontId="108" fillId="9" borderId="22" xfId="100" applyNumberFormat="1" applyFont="1" applyFill="1" applyBorder="1" applyAlignment="1">
      <alignment horizontal="center"/>
    </xf>
    <xf numFmtId="49" fontId="108" fillId="9" borderId="25" xfId="100" applyNumberFormat="1" applyFont="1" applyFill="1" applyBorder="1"/>
    <xf numFmtId="0" fontId="0" fillId="0" borderId="26" xfId="0" applyBorder="1" applyAlignment="1">
      <alignment horizontal="left"/>
    </xf>
    <xf numFmtId="0" fontId="0" fillId="0" borderId="0" xfId="0" quotePrefix="1"/>
    <xf numFmtId="0" fontId="0" fillId="0" borderId="27" xfId="0" applyBorder="1"/>
    <xf numFmtId="0" fontId="0" fillId="0" borderId="28" xfId="0" applyBorder="1" applyAlignment="1">
      <alignment horizontal="left"/>
    </xf>
    <xf numFmtId="0" fontId="0" fillId="0" borderId="29" xfId="0" applyBorder="1" applyAlignment="1">
      <alignment horizontal="left"/>
    </xf>
    <xf numFmtId="41" fontId="31" fillId="0" borderId="0" xfId="13" applyNumberFormat="1" applyFont="1" applyAlignment="1">
      <alignment horizontal="left" indent="2"/>
    </xf>
    <xf numFmtId="41" fontId="32" fillId="0" borderId="13" xfId="0" applyNumberFormat="1" applyFont="1" applyBorder="1"/>
    <xf numFmtId="0" fontId="32" fillId="2" borderId="2" xfId="0" applyFont="1" applyFill="1" applyBorder="1" applyAlignment="1" applyProtection="1">
      <alignment horizontal="left" wrapText="1"/>
      <protection locked="0"/>
    </xf>
    <xf numFmtId="41" fontId="144" fillId="0" borderId="0" xfId="0" applyNumberFormat="1" applyFont="1"/>
    <xf numFmtId="41" fontId="31" fillId="10" borderId="0" xfId="0" applyNumberFormat="1" applyFont="1" applyFill="1"/>
    <xf numFmtId="0" fontId="31" fillId="8" borderId="0" xfId="0" applyFont="1" applyFill="1" applyAlignment="1">
      <alignment vertical="top"/>
    </xf>
    <xf numFmtId="0" fontId="31" fillId="8" borderId="0" xfId="0" applyFont="1" applyFill="1" applyAlignment="1">
      <alignment vertical="top" wrapText="1"/>
    </xf>
    <xf numFmtId="0" fontId="31" fillId="8" borderId="9" xfId="0" applyFont="1" applyFill="1" applyBorder="1" applyAlignment="1">
      <alignment horizontal="center" vertical="center"/>
    </xf>
    <xf numFmtId="0" fontId="145" fillId="8" borderId="2" xfId="0" applyFont="1" applyFill="1" applyBorder="1" applyAlignment="1">
      <alignment vertical="top" wrapText="1"/>
    </xf>
    <xf numFmtId="0" fontId="47" fillId="8" borderId="0" xfId="0" applyFont="1" applyFill="1"/>
    <xf numFmtId="0" fontId="31" fillId="8" borderId="2" xfId="0" applyFont="1" applyFill="1" applyBorder="1" applyAlignment="1">
      <alignment vertical="top" wrapText="1"/>
    </xf>
    <xf numFmtId="0" fontId="31" fillId="2" borderId="2" xfId="33" applyFont="1" applyFill="1" applyBorder="1" applyAlignment="1" applyProtection="1">
      <alignment horizontal="center" vertical="center"/>
      <protection locked="0"/>
    </xf>
    <xf numFmtId="0" fontId="31" fillId="2" borderId="2" xfId="12" applyFont="1" applyFill="1" applyBorder="1" applyAlignment="1" applyProtection="1">
      <alignment horizontal="left" vertical="top" wrapText="1"/>
      <protection locked="0"/>
    </xf>
    <xf numFmtId="0" fontId="31" fillId="0" borderId="5" xfId="12" applyFont="1" applyBorder="1" applyAlignment="1">
      <alignment vertical="top" wrapText="1"/>
    </xf>
    <xf numFmtId="0" fontId="31" fillId="0" borderId="2" xfId="12" applyFont="1" applyBorder="1" applyAlignment="1">
      <alignment vertical="top" wrapText="1"/>
    </xf>
    <xf numFmtId="0" fontId="33" fillId="8" borderId="2" xfId="12" applyFont="1" applyFill="1" applyBorder="1" applyAlignment="1">
      <alignment vertical="top" wrapText="1"/>
    </xf>
    <xf numFmtId="0" fontId="31" fillId="0" borderId="2" xfId="0" applyFont="1" applyBorder="1" applyAlignment="1">
      <alignment wrapText="1"/>
    </xf>
    <xf numFmtId="0" fontId="132" fillId="8" borderId="2" xfId="0" applyFont="1" applyFill="1" applyBorder="1" applyAlignment="1">
      <alignment vertical="top" wrapText="1"/>
    </xf>
    <xf numFmtId="41" fontId="26" fillId="0" borderId="4" xfId="1" applyNumberFormat="1" applyFont="1" applyFill="1" applyBorder="1" applyProtection="1"/>
    <xf numFmtId="0" fontId="91" fillId="8" borderId="2" xfId="12" applyFont="1" applyFill="1" applyBorder="1" applyAlignment="1">
      <alignment vertical="top" wrapText="1"/>
    </xf>
    <xf numFmtId="0" fontId="0" fillId="0" borderId="18" xfId="0" quotePrefix="1" applyBorder="1" applyAlignment="1">
      <alignment horizontal="left"/>
    </xf>
    <xf numFmtId="0" fontId="31" fillId="0" borderId="0" xfId="12" applyFont="1" applyAlignment="1" applyProtection="1">
      <alignment horizontal="left" vertical="top" wrapText="1"/>
      <protection locked="0"/>
    </xf>
    <xf numFmtId="0" fontId="31" fillId="5" borderId="2" xfId="0" applyFont="1" applyFill="1" applyBorder="1" applyAlignment="1" applyProtection="1">
      <alignment wrapText="1"/>
      <protection locked="0"/>
    </xf>
    <xf numFmtId="0" fontId="31" fillId="5" borderId="2" xfId="0" applyFont="1" applyFill="1" applyBorder="1" applyAlignment="1" applyProtection="1">
      <alignment horizontal="left" wrapText="1"/>
      <protection locked="0"/>
    </xf>
    <xf numFmtId="0" fontId="151" fillId="0" borderId="0" xfId="299" applyFont="1" applyAlignment="1">
      <alignment horizontal="left"/>
    </xf>
    <xf numFmtId="0" fontId="31" fillId="0" borderId="18" xfId="0" applyFont="1" applyBorder="1" applyAlignment="1">
      <alignment horizontal="center"/>
    </xf>
    <xf numFmtId="0" fontId="31" fillId="5" borderId="2" xfId="12" applyFont="1" applyFill="1" applyBorder="1" applyAlignment="1" applyProtection="1">
      <alignment horizontal="left" vertical="top" wrapText="1"/>
      <protection locked="0"/>
    </xf>
    <xf numFmtId="165" fontId="14" fillId="0" borderId="2" xfId="1" applyNumberFormat="1" applyFont="1" applyBorder="1"/>
    <xf numFmtId="0" fontId="159" fillId="0" borderId="0" xfId="0" applyFont="1" applyAlignment="1">
      <alignment horizontal="left"/>
    </xf>
    <xf numFmtId="1" fontId="26" fillId="2" borderId="2" xfId="1" applyNumberFormat="1" applyFont="1" applyFill="1" applyBorder="1" applyAlignment="1" applyProtection="1">
      <alignment horizontal="right"/>
      <protection locked="0"/>
    </xf>
    <xf numFmtId="1" fontId="16" fillId="2" borderId="2" xfId="1" quotePrefix="1" applyNumberFormat="1" applyFont="1" applyFill="1" applyBorder="1" applyAlignment="1" applyProtection="1">
      <alignment horizontal="right"/>
      <protection locked="0"/>
    </xf>
    <xf numFmtId="0" fontId="0" fillId="6" borderId="0" xfId="0" applyFill="1" applyAlignment="1">
      <alignment horizontal="center"/>
    </xf>
    <xf numFmtId="0" fontId="90" fillId="0" borderId="9" xfId="0" applyFont="1" applyBorder="1" applyAlignment="1">
      <alignment vertical="top" wrapText="1"/>
    </xf>
    <xf numFmtId="0" fontId="14" fillId="0" borderId="6" xfId="0" applyFont="1" applyBorder="1" applyAlignment="1">
      <alignment vertical="top" wrapText="1"/>
    </xf>
    <xf numFmtId="0" fontId="0" fillId="0" borderId="6" xfId="0" applyBorder="1" applyAlignment="1">
      <alignment wrapText="1"/>
    </xf>
    <xf numFmtId="0" fontId="0" fillId="0" borderId="8" xfId="0" applyBorder="1" applyAlignment="1">
      <alignment wrapText="1"/>
    </xf>
    <xf numFmtId="0" fontId="14" fillId="0" borderId="9" xfId="0" applyFont="1" applyBorder="1" applyAlignment="1">
      <alignment vertical="top" wrapText="1"/>
    </xf>
    <xf numFmtId="0" fontId="152" fillId="0" borderId="9" xfId="0" applyFont="1" applyBorder="1" applyAlignment="1">
      <alignment vertical="top" wrapText="1"/>
    </xf>
    <xf numFmtId="0" fontId="65" fillId="0" borderId="6" xfId="0" applyFont="1" applyBorder="1" applyAlignment="1">
      <alignment vertical="top" wrapText="1"/>
    </xf>
    <xf numFmtId="0" fontId="65" fillId="0" borderId="6" xfId="0" applyFont="1" applyBorder="1" applyAlignment="1">
      <alignment wrapText="1"/>
    </xf>
    <xf numFmtId="0" fontId="65" fillId="0" borderId="8" xfId="0" applyFont="1" applyBorder="1" applyAlignment="1">
      <alignment wrapText="1"/>
    </xf>
    <xf numFmtId="0" fontId="14" fillId="0" borderId="6" xfId="0" applyFont="1" applyBorder="1" applyAlignment="1">
      <alignment wrapText="1"/>
    </xf>
    <xf numFmtId="0" fontId="14" fillId="0" borderId="8" xfId="0" applyFont="1" applyBorder="1" applyAlignment="1">
      <alignment wrapText="1"/>
    </xf>
    <xf numFmtId="0" fontId="65" fillId="0" borderId="9" xfId="0" applyFont="1" applyBorder="1" applyAlignment="1">
      <alignment horizontal="left" vertical="center" wrapText="1"/>
    </xf>
    <xf numFmtId="0" fontId="14"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65" fillId="0" borderId="9" xfId="0" applyFont="1" applyBorder="1" applyAlignment="1">
      <alignment vertical="top" wrapText="1"/>
    </xf>
    <xf numFmtId="41" fontId="33" fillId="0" borderId="0" xfId="0" applyNumberFormat="1" applyFont="1" applyAlignment="1">
      <alignment horizontal="center" wrapText="1"/>
    </xf>
    <xf numFmtId="41" fontId="14" fillId="0" borderId="4" xfId="0" applyNumberFormat="1" applyFont="1" applyBorder="1" applyAlignment="1">
      <alignment horizontal="center" wrapText="1"/>
    </xf>
    <xf numFmtId="41" fontId="33" fillId="0" borderId="0" xfId="0" applyNumberFormat="1" applyFont="1" applyAlignment="1">
      <alignment wrapText="1"/>
    </xf>
    <xf numFmtId="0" fontId="32" fillId="0" borderId="6" xfId="0" applyFont="1" applyBorder="1" applyAlignment="1">
      <alignment vertical="top" wrapText="1"/>
    </xf>
    <xf numFmtId="0" fontId="32" fillId="0" borderId="6" xfId="0" applyFont="1" applyBorder="1" applyAlignment="1">
      <alignment wrapText="1"/>
    </xf>
    <xf numFmtId="0" fontId="32" fillId="0" borderId="8" xfId="0" applyFont="1" applyBorder="1" applyAlignment="1">
      <alignment wrapText="1"/>
    </xf>
    <xf numFmtId="0" fontId="30" fillId="0" borderId="9" xfId="0" applyFont="1" applyBorder="1" applyAlignment="1">
      <alignment wrapText="1"/>
    </xf>
    <xf numFmtId="0" fontId="30" fillId="0" borderId="6" xfId="0" applyFont="1" applyBorder="1" applyAlignment="1">
      <alignment wrapText="1"/>
    </xf>
    <xf numFmtId="0" fontId="30" fillId="0" borderId="8" xfId="0" applyFont="1" applyBorder="1" applyAlignment="1">
      <alignment wrapText="1"/>
    </xf>
    <xf numFmtId="0" fontId="32" fillId="0" borderId="0" xfId="0" applyFont="1" applyAlignment="1">
      <alignment horizontal="left" wrapText="1"/>
    </xf>
    <xf numFmtId="0" fontId="32" fillId="0" borderId="12" xfId="0" applyFont="1" applyBorder="1" applyAlignment="1">
      <alignment horizontal="left" wrapText="1"/>
    </xf>
    <xf numFmtId="0" fontId="30" fillId="0" borderId="0" xfId="0" applyFont="1" applyAlignment="1">
      <alignment horizontal="center" wrapText="1"/>
    </xf>
    <xf numFmtId="0" fontId="31" fillId="0" borderId="4" xfId="0" applyFont="1" applyBorder="1" applyAlignment="1">
      <alignment horizontal="center" wrapText="1"/>
    </xf>
    <xf numFmtId="0" fontId="30" fillId="0" borderId="9" xfId="0" applyFont="1" applyBorder="1" applyAlignment="1">
      <alignment horizontal="left" wrapText="1"/>
    </xf>
    <xf numFmtId="0" fontId="30" fillId="0" borderId="6" xfId="0" applyFont="1" applyBorder="1" applyAlignment="1">
      <alignment horizontal="left" wrapText="1"/>
    </xf>
    <xf numFmtId="0" fontId="30" fillId="0" borderId="8" xfId="0" applyFont="1" applyBorder="1" applyAlignment="1">
      <alignment horizontal="left" wrapText="1"/>
    </xf>
    <xf numFmtId="0" fontId="30" fillId="0" borderId="0" xfId="0" applyFont="1" applyAlignment="1">
      <alignment wrapText="1"/>
    </xf>
    <xf numFmtId="0" fontId="46" fillId="0" borderId="15" xfId="0" applyFont="1" applyBorder="1" applyAlignment="1">
      <alignment vertical="top" wrapText="1"/>
    </xf>
    <xf numFmtId="0" fontId="46" fillId="0" borderId="16" xfId="0" applyFont="1" applyBorder="1" applyAlignment="1">
      <alignment vertical="top" wrapText="1"/>
    </xf>
    <xf numFmtId="0" fontId="46" fillId="0" borderId="16" xfId="0" applyFont="1" applyBorder="1" applyAlignment="1">
      <alignment wrapText="1"/>
    </xf>
    <xf numFmtId="0" fontId="46" fillId="0" borderId="17" xfId="0" applyFont="1" applyBorder="1" applyAlignment="1">
      <alignment wrapText="1"/>
    </xf>
    <xf numFmtId="0" fontId="46" fillId="0" borderId="11" xfId="0" applyFont="1" applyBorder="1" applyAlignment="1">
      <alignment wrapText="1"/>
    </xf>
    <xf numFmtId="0" fontId="46" fillId="0" borderId="0" xfId="0" applyFont="1" applyAlignment="1">
      <alignment wrapText="1"/>
    </xf>
    <xf numFmtId="0" fontId="46" fillId="0" borderId="12" xfId="0" applyFont="1" applyBorder="1" applyAlignment="1">
      <alignment wrapText="1"/>
    </xf>
    <xf numFmtId="0" fontId="46" fillId="0" borderId="13" xfId="0" applyFont="1" applyBorder="1" applyAlignment="1">
      <alignment wrapText="1"/>
    </xf>
    <xf numFmtId="0" fontId="46" fillId="0" borderId="4" xfId="0" applyFont="1" applyBorder="1" applyAlignment="1">
      <alignment wrapText="1"/>
    </xf>
    <xf numFmtId="0" fontId="46" fillId="0" borderId="14" xfId="0" applyFont="1" applyBorder="1" applyAlignment="1">
      <alignment wrapText="1"/>
    </xf>
    <xf numFmtId="0" fontId="30" fillId="0" borderId="4" xfId="0" applyFont="1" applyBorder="1" applyAlignment="1">
      <alignment horizontal="center" wrapText="1"/>
    </xf>
    <xf numFmtId="0" fontId="35" fillId="0" borderId="0" xfId="0" applyFont="1" applyAlignment="1">
      <alignment horizontal="left" wrapText="1"/>
    </xf>
    <xf numFmtId="0" fontId="30" fillId="0" borderId="9" xfId="0" applyFont="1" applyBorder="1" applyAlignment="1">
      <alignment horizontal="left"/>
    </xf>
    <xf numFmtId="0" fontId="30" fillId="0" borderId="6" xfId="0" applyFont="1" applyBorder="1" applyAlignment="1">
      <alignment horizontal="left"/>
    </xf>
    <xf numFmtId="0" fontId="30" fillId="0" borderId="8" xfId="0" applyFont="1" applyBorder="1" applyAlignment="1">
      <alignment horizontal="left"/>
    </xf>
    <xf numFmtId="0" fontId="30" fillId="2" borderId="9" xfId="0" applyFont="1" applyFill="1" applyBorder="1" applyAlignment="1" applyProtection="1">
      <alignment horizontal="left"/>
      <protection locked="0"/>
    </xf>
    <xf numFmtId="0" fontId="30" fillId="2" borderId="6" xfId="0" applyFont="1" applyFill="1" applyBorder="1" applyAlignment="1" applyProtection="1">
      <alignment horizontal="left"/>
      <protection locked="0"/>
    </xf>
    <xf numFmtId="0" fontId="30" fillId="2" borderId="8" xfId="0" applyFont="1" applyFill="1" applyBorder="1" applyAlignment="1" applyProtection="1">
      <alignment horizontal="left"/>
      <protection locked="0"/>
    </xf>
    <xf numFmtId="14" fontId="15" fillId="2" borderId="9" xfId="8" applyNumberFormat="1" applyFill="1" applyBorder="1" applyAlignment="1" applyProtection="1">
      <alignment horizontal="left"/>
      <protection locked="0"/>
    </xf>
    <xf numFmtId="14" fontId="37" fillId="2" borderId="6" xfId="0" applyNumberFormat="1" applyFont="1" applyFill="1" applyBorder="1" applyAlignment="1" applyProtection="1">
      <alignment horizontal="left"/>
      <protection locked="0"/>
    </xf>
    <xf numFmtId="14" fontId="37" fillId="2" borderId="8" xfId="0" applyNumberFormat="1" applyFont="1" applyFill="1" applyBorder="1" applyAlignment="1" applyProtection="1">
      <alignment horizontal="left"/>
      <protection locked="0"/>
    </xf>
    <xf numFmtId="183" fontId="30" fillId="2" borderId="9" xfId="0" applyNumberFormat="1" applyFont="1" applyFill="1" applyBorder="1" applyAlignment="1" applyProtection="1">
      <alignment horizontal="left"/>
      <protection locked="0"/>
    </xf>
    <xf numFmtId="183" fontId="30" fillId="2" borderId="6" xfId="0" applyNumberFormat="1" applyFont="1" applyFill="1" applyBorder="1" applyAlignment="1" applyProtection="1">
      <alignment horizontal="left"/>
      <protection locked="0"/>
    </xf>
    <xf numFmtId="183" fontId="30" fillId="2" borderId="8" xfId="0" applyNumberFormat="1" applyFont="1" applyFill="1" applyBorder="1" applyAlignment="1" applyProtection="1">
      <alignment horizontal="left"/>
      <protection locked="0"/>
    </xf>
    <xf numFmtId="11" fontId="30" fillId="2" borderId="9" xfId="0" applyNumberFormat="1" applyFont="1" applyFill="1" applyBorder="1" applyAlignment="1" applyProtection="1">
      <alignment horizontal="left"/>
      <protection locked="0"/>
    </xf>
    <xf numFmtId="11" fontId="30" fillId="2" borderId="6" xfId="0" applyNumberFormat="1" applyFont="1" applyFill="1" applyBorder="1" applyAlignment="1" applyProtection="1">
      <alignment horizontal="left"/>
      <protection locked="0"/>
    </xf>
    <xf numFmtId="11" fontId="30" fillId="2" borderId="8" xfId="0" applyNumberFormat="1" applyFont="1" applyFill="1" applyBorder="1" applyAlignment="1" applyProtection="1">
      <alignment horizontal="left"/>
      <protection locked="0"/>
    </xf>
    <xf numFmtId="182" fontId="30" fillId="2" borderId="9" xfId="0" applyNumberFormat="1" applyFont="1" applyFill="1" applyBorder="1" applyAlignment="1" applyProtection="1">
      <alignment horizontal="left"/>
      <protection locked="0"/>
    </xf>
    <xf numFmtId="182" fontId="30" fillId="2" borderId="6" xfId="0" applyNumberFormat="1" applyFont="1" applyFill="1" applyBorder="1" applyAlignment="1" applyProtection="1">
      <alignment horizontal="left"/>
      <protection locked="0"/>
    </xf>
    <xf numFmtId="182" fontId="30" fillId="2" borderId="8" xfId="0" applyNumberFormat="1" applyFont="1" applyFill="1" applyBorder="1" applyAlignment="1" applyProtection="1">
      <alignment horizontal="left"/>
      <protection locked="0"/>
    </xf>
    <xf numFmtId="0" fontId="17" fillId="0" borderId="9" xfId="0" applyFont="1" applyBorder="1"/>
    <xf numFmtId="0" fontId="31" fillId="0" borderId="6" xfId="0" applyFont="1" applyBorder="1"/>
    <xf numFmtId="0" fontId="31" fillId="0" borderId="8" xfId="0" applyFont="1" applyBorder="1"/>
    <xf numFmtId="38" fontId="17" fillId="4" borderId="2" xfId="14" applyNumberFormat="1" applyFont="1" applyFill="1" applyBorder="1" applyAlignment="1">
      <alignment horizontal="left"/>
    </xf>
    <xf numFmtId="0" fontId="31" fillId="4" borderId="2" xfId="0" applyFont="1" applyFill="1" applyBorder="1"/>
    <xf numFmtId="38" fontId="17" fillId="2" borderId="2" xfId="14" applyNumberFormat="1" applyFont="1" applyFill="1" applyBorder="1" applyAlignment="1" applyProtection="1">
      <alignment horizontal="left"/>
      <protection locked="0"/>
    </xf>
    <xf numFmtId="0" fontId="31" fillId="0" borderId="2" xfId="0" applyFont="1" applyBorder="1" applyProtection="1">
      <protection locked="0"/>
    </xf>
    <xf numFmtId="0" fontId="32" fillId="0" borderId="0" xfId="0" applyFont="1" applyAlignment="1">
      <alignment horizontal="center"/>
    </xf>
    <xf numFmtId="182" fontId="17" fillId="2" borderId="2" xfId="14" applyNumberFormat="1" applyFont="1" applyFill="1" applyBorder="1" applyAlignment="1" applyProtection="1">
      <alignment horizontal="left"/>
      <protection locked="0"/>
    </xf>
    <xf numFmtId="182" fontId="31" fillId="0" borderId="2" xfId="0" applyNumberFormat="1" applyFont="1" applyBorder="1" applyProtection="1">
      <protection locked="0"/>
    </xf>
    <xf numFmtId="38" fontId="67" fillId="2" borderId="2" xfId="14" applyNumberFormat="1" applyFont="1" applyFill="1" applyBorder="1" applyAlignment="1" applyProtection="1">
      <alignment horizontal="left"/>
      <protection locked="0"/>
    </xf>
    <xf numFmtId="0" fontId="79" fillId="0" borderId="2" xfId="0" applyFont="1" applyBorder="1" applyProtection="1">
      <protection locked="0"/>
    </xf>
    <xf numFmtId="183" fontId="17" fillId="2" borderId="2" xfId="14" applyNumberFormat="1" applyFont="1" applyFill="1" applyBorder="1" applyAlignment="1" applyProtection="1">
      <alignment horizontal="left"/>
      <protection locked="0"/>
    </xf>
    <xf numFmtId="183" fontId="31" fillId="0" borderId="2" xfId="0" applyNumberFormat="1" applyFont="1" applyBorder="1" applyProtection="1">
      <protection locked="0"/>
    </xf>
    <xf numFmtId="183" fontId="33" fillId="2" borderId="2" xfId="14" applyNumberFormat="1" applyFont="1" applyFill="1" applyBorder="1" applyAlignment="1" applyProtection="1">
      <alignment horizontal="left"/>
      <protection locked="0"/>
    </xf>
    <xf numFmtId="183" fontId="14" fillId="0" borderId="2" xfId="0" applyNumberFormat="1" applyFont="1" applyBorder="1" applyProtection="1">
      <protection locked="0"/>
    </xf>
    <xf numFmtId="38" fontId="33" fillId="4" borderId="2" xfId="14" applyNumberFormat="1" applyFont="1" applyFill="1" applyBorder="1" applyAlignment="1">
      <alignment horizontal="left"/>
    </xf>
    <xf numFmtId="0" fontId="14" fillId="4" borderId="2" xfId="0" applyFont="1" applyFill="1" applyBorder="1"/>
    <xf numFmtId="0" fontId="31" fillId="2" borderId="15" xfId="0" applyFont="1" applyFill="1" applyBorder="1" applyAlignment="1" applyProtection="1">
      <alignment horizontal="left" vertical="top" wrapText="1"/>
      <protection locked="0"/>
    </xf>
    <xf numFmtId="0" fontId="31" fillId="2" borderId="16" xfId="0" applyFont="1" applyFill="1" applyBorder="1" applyAlignment="1" applyProtection="1">
      <alignment horizontal="left" vertical="top" wrapText="1"/>
      <protection locked="0"/>
    </xf>
    <xf numFmtId="0" fontId="31" fillId="2" borderId="17" xfId="0" applyFont="1" applyFill="1" applyBorder="1" applyAlignment="1" applyProtection="1">
      <alignment horizontal="left" vertical="top" wrapText="1"/>
      <protection locked="0"/>
    </xf>
    <xf numFmtId="0" fontId="31" fillId="2" borderId="11" xfId="0" applyFont="1" applyFill="1" applyBorder="1"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31" fillId="2" borderId="12" xfId="0" applyFont="1" applyFill="1" applyBorder="1" applyAlignment="1" applyProtection="1">
      <alignment horizontal="left" vertical="top" wrapText="1"/>
      <protection locked="0"/>
    </xf>
    <xf numFmtId="0" fontId="31" fillId="2" borderId="13" xfId="0" applyFont="1" applyFill="1" applyBorder="1" applyAlignment="1" applyProtection="1">
      <alignment horizontal="left" vertical="top" wrapText="1"/>
      <protection locked="0"/>
    </xf>
    <xf numFmtId="0" fontId="31" fillId="2" borderId="4" xfId="0" applyFont="1" applyFill="1" applyBorder="1" applyAlignment="1" applyProtection="1">
      <alignment horizontal="left" vertical="top" wrapText="1"/>
      <protection locked="0"/>
    </xf>
    <xf numFmtId="0" fontId="31" fillId="2" borderId="14" xfId="0" applyFont="1" applyFill="1" applyBorder="1" applyAlignment="1" applyProtection="1">
      <alignment horizontal="left" vertical="top" wrapText="1"/>
      <protection locked="0"/>
    </xf>
    <xf numFmtId="38" fontId="33" fillId="0" borderId="0" xfId="14" applyNumberFormat="1" applyFont="1" applyAlignment="1">
      <alignment horizontal="left" vertical="top"/>
    </xf>
    <xf numFmtId="0" fontId="31" fillId="0" borderId="0" xfId="0" applyFont="1" applyAlignment="1">
      <alignment horizontal="left" vertical="top"/>
    </xf>
    <xf numFmtId="0" fontId="33" fillId="0" borderId="9" xfId="0" applyFont="1" applyBorder="1"/>
    <xf numFmtId="0" fontId="14" fillId="0" borderId="6" xfId="0" applyFont="1" applyBorder="1"/>
    <xf numFmtId="0" fontId="14" fillId="0" borderId="8" xfId="0" applyFont="1" applyBorder="1"/>
    <xf numFmtId="0" fontId="31" fillId="5" borderId="9" xfId="0" applyFont="1" applyFill="1" applyBorder="1" applyAlignment="1" applyProtection="1">
      <alignment horizontal="left" vertical="top" wrapText="1"/>
      <protection locked="0"/>
    </xf>
    <xf numFmtId="0" fontId="31" fillId="5" borderId="6" xfId="0" applyFont="1" applyFill="1" applyBorder="1" applyAlignment="1" applyProtection="1">
      <alignment horizontal="left" vertical="top" wrapText="1"/>
      <protection locked="0"/>
    </xf>
    <xf numFmtId="0" fontId="31" fillId="5" borderId="8" xfId="0" applyFont="1" applyFill="1" applyBorder="1" applyAlignment="1" applyProtection="1">
      <alignment horizontal="left" vertical="top" wrapText="1"/>
      <protection locked="0"/>
    </xf>
    <xf numFmtId="0" fontId="31" fillId="0" borderId="15" xfId="0" applyFont="1" applyBorder="1" applyAlignment="1">
      <alignment horizontal="center" wrapText="1"/>
    </xf>
    <xf numFmtId="0" fontId="31" fillId="0" borderId="17" xfId="0" applyFont="1" applyBorder="1" applyAlignment="1">
      <alignment horizontal="center" wrapText="1"/>
    </xf>
    <xf numFmtId="0" fontId="31" fillId="5" borderId="9" xfId="0" applyFont="1" applyFill="1" applyBorder="1" applyAlignment="1" applyProtection="1">
      <alignment horizontal="left" wrapText="1"/>
      <protection locked="0"/>
    </xf>
    <xf numFmtId="0" fontId="31" fillId="5" borderId="6" xfId="0" applyFont="1" applyFill="1" applyBorder="1" applyAlignment="1" applyProtection="1">
      <alignment horizontal="left" wrapText="1"/>
      <protection locked="0"/>
    </xf>
    <xf numFmtId="0" fontId="31" fillId="5" borderId="8" xfId="0" applyFont="1" applyFill="1" applyBorder="1" applyAlignment="1" applyProtection="1">
      <alignment horizontal="left" wrapText="1"/>
      <protection locked="0"/>
    </xf>
    <xf numFmtId="0" fontId="31" fillId="0" borderId="9" xfId="0" applyFont="1" applyBorder="1" applyAlignment="1">
      <alignment horizontal="center" wrapText="1"/>
    </xf>
    <xf numFmtId="0" fontId="31" fillId="0" borderId="6" xfId="0" applyFont="1" applyBorder="1" applyAlignment="1">
      <alignment horizontal="center" wrapText="1"/>
    </xf>
    <xf numFmtId="0" fontId="31" fillId="0" borderId="8" xfId="0" applyFont="1" applyBorder="1" applyAlignment="1">
      <alignment horizontal="center" wrapText="1"/>
    </xf>
    <xf numFmtId="38" fontId="33" fillId="2" borderId="2" xfId="14" applyNumberFormat="1" applyFont="1" applyFill="1" applyBorder="1" applyAlignment="1" applyProtection="1">
      <alignment horizontal="left"/>
      <protection locked="0"/>
    </xf>
    <xf numFmtId="0" fontId="14" fillId="0" borderId="2" xfId="0" applyFont="1" applyBorder="1" applyProtection="1">
      <protection locked="0"/>
    </xf>
    <xf numFmtId="182" fontId="33" fillId="2" borderId="2" xfId="14" applyNumberFormat="1" applyFont="1" applyFill="1" applyBorder="1" applyAlignment="1" applyProtection="1">
      <alignment horizontal="left"/>
      <protection locked="0"/>
    </xf>
    <xf numFmtId="182" fontId="14" fillId="0" borderId="2" xfId="0" applyNumberFormat="1" applyFont="1" applyBorder="1" applyProtection="1">
      <protection locked="0"/>
    </xf>
    <xf numFmtId="38" fontId="79" fillId="2" borderId="2" xfId="14" applyNumberFormat="1" applyFont="1" applyFill="1" applyBorder="1" applyAlignment="1" applyProtection="1">
      <alignment horizontal="left"/>
      <protection locked="0"/>
    </xf>
    <xf numFmtId="0" fontId="70" fillId="0" borderId="2" xfId="0" applyFont="1" applyBorder="1" applyProtection="1">
      <protection locked="0"/>
    </xf>
    <xf numFmtId="0" fontId="31" fillId="0" borderId="0" xfId="0" applyFont="1" applyAlignment="1">
      <alignment horizontal="left" vertical="top" wrapText="1"/>
    </xf>
    <xf numFmtId="0" fontId="133" fillId="0" borderId="9" xfId="166" applyFont="1" applyBorder="1" applyAlignment="1" applyProtection="1">
      <alignment horizontal="center"/>
      <protection locked="0"/>
    </xf>
    <xf numFmtId="0" fontId="133" fillId="0" borderId="6" xfId="166" applyFont="1" applyBorder="1" applyAlignment="1" applyProtection="1">
      <alignment horizontal="center"/>
      <protection locked="0"/>
    </xf>
    <xf numFmtId="0" fontId="133" fillId="0" borderId="8" xfId="166" applyFont="1" applyBorder="1" applyAlignment="1" applyProtection="1">
      <alignment horizontal="center"/>
      <protection locked="0"/>
    </xf>
    <xf numFmtId="0" fontId="49" fillId="0" borderId="9" xfId="104" applyFont="1" applyBorder="1" applyAlignment="1" applyProtection="1">
      <alignment horizontal="center"/>
      <protection locked="0"/>
    </xf>
    <xf numFmtId="0" fontId="49" fillId="0" borderId="6" xfId="104" applyFont="1" applyBorder="1" applyAlignment="1" applyProtection="1">
      <alignment horizontal="center"/>
      <protection locked="0"/>
    </xf>
    <xf numFmtId="0" fontId="49" fillId="0" borderId="8" xfId="104" applyFont="1" applyBorder="1" applyAlignment="1" applyProtection="1">
      <alignment horizontal="center"/>
      <protection locked="0"/>
    </xf>
    <xf numFmtId="0" fontId="49" fillId="0" borderId="15" xfId="104" applyFont="1" applyBorder="1" applyAlignment="1" applyProtection="1">
      <alignment horizontal="center"/>
      <protection locked="0"/>
    </xf>
    <xf numFmtId="0" fontId="49" fillId="0" borderId="17" xfId="104" applyFont="1" applyBorder="1" applyAlignment="1" applyProtection="1">
      <alignment horizontal="center"/>
      <protection locked="0"/>
    </xf>
    <xf numFmtId="38" fontId="33" fillId="4" borderId="2" xfId="14" applyNumberFormat="1" applyFont="1" applyFill="1" applyBorder="1" applyAlignment="1" applyProtection="1">
      <alignment horizontal="left"/>
      <protection locked="0"/>
    </xf>
    <xf numFmtId="0" fontId="14" fillId="4" borderId="2" xfId="0" applyFont="1" applyFill="1" applyBorder="1" applyProtection="1">
      <protection locked="0"/>
    </xf>
    <xf numFmtId="0" fontId="33" fillId="0" borderId="9" xfId="0" applyFont="1" applyBorder="1" applyProtection="1">
      <protection locked="0"/>
    </xf>
    <xf numFmtId="0" fontId="0" fillId="0" borderId="6" xfId="0" applyBorder="1" applyProtection="1">
      <protection locked="0"/>
    </xf>
    <xf numFmtId="0" fontId="0" fillId="0" borderId="8" xfId="0" applyBorder="1" applyProtection="1">
      <protection locked="0"/>
    </xf>
    <xf numFmtId="183" fontId="28" fillId="2" borderId="2" xfId="14" applyNumberFormat="1" applyFont="1" applyFill="1" applyBorder="1" applyAlignment="1" applyProtection="1">
      <alignment horizontal="left"/>
      <protection locked="0"/>
    </xf>
    <xf numFmtId="183" fontId="0" fillId="0" borderId="2" xfId="0" applyNumberFormat="1" applyBorder="1" applyProtection="1">
      <protection locked="0"/>
    </xf>
    <xf numFmtId="0" fontId="31" fillId="0" borderId="4" xfId="0" applyFont="1" applyBorder="1" applyAlignment="1">
      <alignment horizontal="left" wrapText="1"/>
    </xf>
    <xf numFmtId="38" fontId="28" fillId="4" borderId="2" xfId="14" applyNumberFormat="1" applyFont="1" applyFill="1" applyBorder="1" applyAlignment="1">
      <alignment horizontal="left"/>
    </xf>
    <xf numFmtId="0" fontId="0" fillId="4" borderId="2" xfId="0" applyFill="1" applyBorder="1"/>
    <xf numFmtId="38" fontId="28" fillId="0" borderId="0" xfId="14" applyNumberFormat="1" applyFont="1" applyAlignment="1">
      <alignment horizontal="left" vertical="top"/>
    </xf>
    <xf numFmtId="0" fontId="30" fillId="0" borderId="9" xfId="0" applyFont="1" applyBorder="1"/>
    <xf numFmtId="0" fontId="0" fillId="0" borderId="6" xfId="0" applyBorder="1"/>
    <xf numFmtId="0" fontId="0" fillId="0" borderId="8" xfId="0" applyBorder="1"/>
    <xf numFmtId="38" fontId="28" fillId="2" borderId="2" xfId="14" applyNumberFormat="1" applyFont="1" applyFill="1" applyBorder="1" applyAlignment="1" applyProtection="1">
      <alignment horizontal="left"/>
      <protection locked="0"/>
    </xf>
    <xf numFmtId="0" fontId="0" fillId="0" borderId="2" xfId="0" applyBorder="1" applyProtection="1">
      <protection locked="0"/>
    </xf>
    <xf numFmtId="182" fontId="28" fillId="2" borderId="2" xfId="14" applyNumberFormat="1" applyFont="1" applyFill="1" applyBorder="1" applyAlignment="1" applyProtection="1">
      <alignment horizontal="left"/>
      <protection locked="0"/>
    </xf>
    <xf numFmtId="182" fontId="0" fillId="0" borderId="2" xfId="0" applyNumberFormat="1" applyBorder="1" applyProtection="1">
      <protection locked="0"/>
    </xf>
    <xf numFmtId="38" fontId="69" fillId="2" borderId="2" xfId="14" applyNumberFormat="1" applyFont="1" applyFill="1" applyBorder="1" applyAlignment="1" applyProtection="1">
      <alignment horizontal="left"/>
      <protection locked="0"/>
    </xf>
    <xf numFmtId="0" fontId="68" fillId="0" borderId="2" xfId="0" applyFont="1" applyBorder="1" applyProtection="1">
      <protection locked="0"/>
    </xf>
    <xf numFmtId="0" fontId="33" fillId="0" borderId="2" xfId="0" applyFont="1" applyBorder="1" applyAlignment="1">
      <alignment horizontal="left"/>
    </xf>
    <xf numFmtId="0" fontId="31" fillId="2" borderId="9" xfId="9" applyFont="1" applyFill="1" applyBorder="1" applyAlignment="1" applyProtection="1">
      <alignment horizontal="left" wrapText="1"/>
      <protection locked="0"/>
    </xf>
    <xf numFmtId="0" fontId="31" fillId="2" borderId="6" xfId="9" applyFont="1" applyFill="1" applyBorder="1" applyAlignment="1" applyProtection="1">
      <alignment horizontal="left" wrapText="1"/>
      <protection locked="0"/>
    </xf>
    <xf numFmtId="0" fontId="31" fillId="2" borderId="8" xfId="9" applyFont="1" applyFill="1" applyBorder="1" applyAlignment="1" applyProtection="1">
      <alignment horizontal="left" wrapText="1"/>
      <protection locked="0"/>
    </xf>
    <xf numFmtId="38" fontId="79" fillId="2" borderId="9" xfId="14" applyNumberFormat="1" applyFont="1" applyFill="1" applyBorder="1" applyAlignment="1" applyProtection="1">
      <alignment horizontal="left"/>
      <protection locked="0"/>
    </xf>
    <xf numFmtId="38" fontId="79" fillId="2" borderId="6" xfId="14" applyNumberFormat="1" applyFont="1" applyFill="1" applyBorder="1" applyAlignment="1" applyProtection="1">
      <alignment horizontal="left"/>
      <protection locked="0"/>
    </xf>
    <xf numFmtId="38" fontId="79" fillId="2" borderId="8" xfId="14" applyNumberFormat="1" applyFont="1" applyFill="1" applyBorder="1" applyAlignment="1" applyProtection="1">
      <alignment horizontal="left"/>
      <protection locked="0"/>
    </xf>
    <xf numFmtId="183" fontId="33" fillId="2" borderId="9" xfId="14" applyNumberFormat="1" applyFont="1" applyFill="1" applyBorder="1" applyAlignment="1" applyProtection="1">
      <alignment horizontal="left"/>
      <protection locked="0"/>
    </xf>
    <xf numFmtId="183" fontId="33" fillId="2" borderId="6" xfId="14" applyNumberFormat="1" applyFont="1" applyFill="1" applyBorder="1" applyAlignment="1" applyProtection="1">
      <alignment horizontal="left"/>
      <protection locked="0"/>
    </xf>
    <xf numFmtId="183" fontId="33" fillId="2" borderId="8" xfId="14" applyNumberFormat="1" applyFont="1" applyFill="1" applyBorder="1" applyAlignment="1" applyProtection="1">
      <alignment horizontal="left"/>
      <protection locked="0"/>
    </xf>
    <xf numFmtId="38" fontId="33" fillId="4" borderId="9" xfId="14" applyNumberFormat="1" applyFont="1" applyFill="1" applyBorder="1" applyAlignment="1">
      <alignment horizontal="left"/>
    </xf>
    <xf numFmtId="38" fontId="33" fillId="4" borderId="6" xfId="14" applyNumberFormat="1" applyFont="1" applyFill="1" applyBorder="1" applyAlignment="1">
      <alignment horizontal="left"/>
    </xf>
    <xf numFmtId="38" fontId="33" fillId="4" borderId="8" xfId="14" applyNumberFormat="1" applyFont="1" applyFill="1" applyBorder="1" applyAlignment="1">
      <alignment horizontal="left"/>
    </xf>
    <xf numFmtId="38" fontId="33" fillId="2" borderId="9" xfId="14" applyNumberFormat="1" applyFont="1" applyFill="1" applyBorder="1" applyAlignment="1" applyProtection="1">
      <alignment horizontal="left"/>
      <protection locked="0"/>
    </xf>
    <xf numFmtId="38" fontId="33" fillId="2" borderId="6" xfId="14" applyNumberFormat="1" applyFont="1" applyFill="1" applyBorder="1" applyAlignment="1" applyProtection="1">
      <alignment horizontal="left"/>
      <protection locked="0"/>
    </xf>
    <xf numFmtId="38" fontId="33" fillId="2" borderId="8" xfId="14" applyNumberFormat="1" applyFont="1" applyFill="1" applyBorder="1" applyAlignment="1" applyProtection="1">
      <alignment horizontal="left"/>
      <protection locked="0"/>
    </xf>
    <xf numFmtId="182" fontId="33" fillId="2" borderId="9" xfId="14" applyNumberFormat="1" applyFont="1" applyFill="1" applyBorder="1" applyAlignment="1" applyProtection="1">
      <alignment horizontal="left"/>
      <protection locked="0"/>
    </xf>
    <xf numFmtId="182" fontId="33" fillId="2" borderId="6" xfId="14" applyNumberFormat="1" applyFont="1" applyFill="1" applyBorder="1" applyAlignment="1" applyProtection="1">
      <alignment horizontal="left"/>
      <protection locked="0"/>
    </xf>
    <xf numFmtId="182" fontId="33" fillId="2" borderId="8" xfId="14" applyNumberFormat="1" applyFont="1" applyFill="1" applyBorder="1" applyAlignment="1" applyProtection="1">
      <alignment horizontal="left"/>
      <protection locked="0"/>
    </xf>
    <xf numFmtId="38" fontId="69" fillId="2" borderId="9" xfId="14" applyNumberFormat="1" applyFont="1" applyFill="1" applyBorder="1" applyAlignment="1" applyProtection="1">
      <alignment horizontal="left"/>
      <protection locked="0"/>
    </xf>
    <xf numFmtId="38" fontId="69" fillId="2" borderId="6" xfId="14" applyNumberFormat="1" applyFont="1" applyFill="1" applyBorder="1" applyAlignment="1" applyProtection="1">
      <alignment horizontal="left"/>
      <protection locked="0"/>
    </xf>
    <xf numFmtId="38" fontId="69" fillId="2" borderId="8" xfId="14" applyNumberFormat="1" applyFont="1" applyFill="1" applyBorder="1" applyAlignment="1" applyProtection="1">
      <alignment horizontal="left"/>
      <protection locked="0"/>
    </xf>
    <xf numFmtId="183" fontId="28" fillId="2" borderId="9" xfId="14" applyNumberFormat="1" applyFont="1" applyFill="1" applyBorder="1" applyAlignment="1" applyProtection="1">
      <alignment horizontal="left"/>
      <protection locked="0"/>
    </xf>
    <xf numFmtId="183" fontId="28" fillId="2" borderId="6" xfId="14" applyNumberFormat="1" applyFont="1" applyFill="1" applyBorder="1" applyAlignment="1" applyProtection="1">
      <alignment horizontal="left"/>
      <protection locked="0"/>
    </xf>
    <xf numFmtId="183" fontId="28" fillId="2" borderId="8" xfId="14" applyNumberFormat="1" applyFont="1" applyFill="1" applyBorder="1" applyAlignment="1" applyProtection="1">
      <alignment horizontal="left"/>
      <protection locked="0"/>
    </xf>
    <xf numFmtId="38" fontId="28" fillId="4" borderId="9" xfId="14" applyNumberFormat="1" applyFont="1" applyFill="1" applyBorder="1" applyAlignment="1">
      <alignment horizontal="left"/>
    </xf>
    <xf numFmtId="38" fontId="28" fillId="4" borderId="6" xfId="14" applyNumberFormat="1" applyFont="1" applyFill="1" applyBorder="1" applyAlignment="1">
      <alignment horizontal="left"/>
    </xf>
    <xf numFmtId="38" fontId="28" fillId="4" borderId="8" xfId="14" applyNumberFormat="1" applyFont="1" applyFill="1" applyBorder="1" applyAlignment="1">
      <alignment horizontal="left"/>
    </xf>
    <xf numFmtId="38" fontId="28" fillId="2" borderId="9" xfId="14" applyNumberFormat="1" applyFont="1" applyFill="1" applyBorder="1" applyAlignment="1" applyProtection="1">
      <alignment horizontal="left"/>
      <protection locked="0"/>
    </xf>
    <xf numFmtId="38" fontId="28" fillId="2" borderId="6" xfId="14" applyNumberFormat="1" applyFont="1" applyFill="1" applyBorder="1" applyAlignment="1" applyProtection="1">
      <alignment horizontal="left"/>
      <protection locked="0"/>
    </xf>
    <xf numFmtId="38" fontId="28" fillId="2" borderId="8" xfId="14" applyNumberFormat="1" applyFont="1" applyFill="1" applyBorder="1" applyAlignment="1" applyProtection="1">
      <alignment horizontal="left"/>
      <protection locked="0"/>
    </xf>
    <xf numFmtId="182" fontId="28" fillId="2" borderId="9" xfId="14" applyNumberFormat="1" applyFont="1" applyFill="1" applyBorder="1" applyAlignment="1" applyProtection="1">
      <alignment horizontal="left"/>
      <protection locked="0"/>
    </xf>
    <xf numFmtId="182" fontId="28" fillId="2" borderId="6" xfId="14" applyNumberFormat="1" applyFont="1" applyFill="1" applyBorder="1" applyAlignment="1" applyProtection="1">
      <alignment horizontal="left"/>
      <protection locked="0"/>
    </xf>
    <xf numFmtId="182" fontId="28" fillId="2" borderId="8" xfId="14" applyNumberFormat="1" applyFont="1" applyFill="1" applyBorder="1" applyAlignment="1" applyProtection="1">
      <alignment horizontal="left"/>
      <protection locked="0"/>
    </xf>
    <xf numFmtId="0" fontId="26" fillId="2" borderId="9" xfId="13" applyFont="1" applyFill="1" applyBorder="1" applyAlignment="1" applyProtection="1">
      <alignment vertical="center" wrapText="1"/>
      <protection locked="0"/>
    </xf>
    <xf numFmtId="0" fontId="31" fillId="0" borderId="6" xfId="0" applyFont="1" applyBorder="1" applyAlignment="1" applyProtection="1">
      <alignment vertical="center" wrapText="1"/>
      <protection locked="0"/>
    </xf>
    <xf numFmtId="0" fontId="31" fillId="0" borderId="8" xfId="0" applyFont="1" applyBorder="1" applyAlignment="1" applyProtection="1">
      <alignment vertical="center" wrapText="1"/>
      <protection locked="0"/>
    </xf>
    <xf numFmtId="0" fontId="30" fillId="0" borderId="6" xfId="0" applyFont="1" applyBorder="1"/>
    <xf numFmtId="0" fontId="30" fillId="0" borderId="8" xfId="0" applyFont="1" applyBorder="1"/>
    <xf numFmtId="49" fontId="28" fillId="4" borderId="9" xfId="14" applyNumberFormat="1" applyFont="1" applyFill="1" applyBorder="1" applyAlignment="1">
      <alignment horizontal="left"/>
    </xf>
    <xf numFmtId="49" fontId="28" fillId="4" borderId="6" xfId="14" applyNumberFormat="1" applyFont="1" applyFill="1" applyBorder="1" applyAlignment="1">
      <alignment horizontal="left"/>
    </xf>
    <xf numFmtId="49" fontId="28" fillId="4" borderId="8" xfId="14" applyNumberFormat="1" applyFont="1" applyFill="1" applyBorder="1" applyAlignment="1">
      <alignment horizontal="left"/>
    </xf>
    <xf numFmtId="165" fontId="26" fillId="0" borderId="0" xfId="1" applyNumberFormat="1" applyFont="1" applyAlignment="1" applyProtection="1">
      <alignment horizontal="center" vertical="center"/>
    </xf>
    <xf numFmtId="165" fontId="26" fillId="0" borderId="0" xfId="1" applyNumberFormat="1" applyFont="1" applyBorder="1" applyAlignment="1" applyProtection="1">
      <alignment horizontal="center" vertical="center"/>
    </xf>
    <xf numFmtId="165" fontId="16" fillId="0" borderId="0" xfId="1" quotePrefix="1" applyNumberFormat="1" applyFont="1" applyAlignment="1" applyProtection="1">
      <alignment horizontal="center" vertical="center"/>
    </xf>
    <xf numFmtId="165" fontId="26" fillId="0" borderId="4" xfId="1" applyNumberFormat="1" applyFont="1" applyBorder="1" applyAlignment="1" applyProtection="1">
      <alignment horizontal="center" vertical="center"/>
    </xf>
    <xf numFmtId="166" fontId="16" fillId="0" borderId="4" xfId="1" quotePrefix="1" applyNumberFormat="1" applyFont="1" applyBorder="1" applyAlignment="1" applyProtection="1">
      <alignment horizontal="center" vertical="center"/>
    </xf>
    <xf numFmtId="166" fontId="26" fillId="0" borderId="4" xfId="1" quotePrefix="1" applyNumberFormat="1" applyFont="1" applyBorder="1" applyAlignment="1" applyProtection="1">
      <alignment horizontal="center" vertical="center"/>
    </xf>
    <xf numFmtId="165" fontId="26" fillId="0" borderId="0" xfId="1" quotePrefix="1" applyNumberFormat="1" applyFont="1" applyAlignment="1" applyProtection="1">
      <alignment horizontal="center" vertical="center"/>
    </xf>
    <xf numFmtId="0" fontId="26" fillId="2" borderId="9" xfId="13" applyFont="1" applyFill="1" applyBorder="1" applyAlignment="1" applyProtection="1">
      <alignment vertical="top" wrapText="1"/>
      <protection locked="0"/>
    </xf>
    <xf numFmtId="0" fontId="31" fillId="2" borderId="6" xfId="16" applyFont="1" applyFill="1" applyBorder="1" applyAlignment="1" applyProtection="1">
      <alignment vertical="top" wrapText="1"/>
      <protection locked="0"/>
    </xf>
    <xf numFmtId="0" fontId="31" fillId="2" borderId="8" xfId="16" applyFont="1" applyFill="1" applyBorder="1" applyAlignment="1" applyProtection="1">
      <alignment vertical="top" wrapText="1"/>
      <protection locked="0"/>
    </xf>
    <xf numFmtId="0" fontId="16" fillId="0" borderId="11" xfId="13" applyBorder="1" applyAlignment="1">
      <alignment horizontal="left" wrapText="1"/>
    </xf>
    <xf numFmtId="0" fontId="46" fillId="0" borderId="0" xfId="0" applyFont="1" applyAlignment="1">
      <alignment horizontal="left" wrapText="1"/>
    </xf>
    <xf numFmtId="165" fontId="16" fillId="2" borderId="9" xfId="1" applyNumberFormat="1" applyFont="1" applyFill="1" applyBorder="1" applyAlignment="1" applyProtection="1">
      <alignment horizontal="center" vertical="center"/>
      <protection locked="0"/>
    </xf>
    <xf numFmtId="165" fontId="16" fillId="2" borderId="6" xfId="1" applyNumberFormat="1" applyFont="1" applyFill="1" applyBorder="1" applyAlignment="1" applyProtection="1">
      <alignment horizontal="center" vertical="center"/>
      <protection locked="0"/>
    </xf>
    <xf numFmtId="165" fontId="16" fillId="2" borderId="8" xfId="1" applyNumberFormat="1" applyFont="1" applyFill="1" applyBorder="1" applyAlignment="1" applyProtection="1">
      <alignment horizontal="center" vertical="center"/>
      <protection locked="0"/>
    </xf>
    <xf numFmtId="165" fontId="26" fillId="0" borderId="0" xfId="1" applyNumberFormat="1" applyFont="1" applyFill="1" applyBorder="1" applyAlignment="1" applyProtection="1"/>
    <xf numFmtId="0" fontId="16" fillId="0" borderId="15" xfId="13" applyBorder="1" applyAlignment="1">
      <alignment horizontal="left" wrapText="1"/>
    </xf>
    <xf numFmtId="0" fontId="46" fillId="0" borderId="16" xfId="0" applyFont="1" applyBorder="1" applyAlignment="1">
      <alignment horizontal="left" wrapText="1"/>
    </xf>
    <xf numFmtId="0" fontId="0" fillId="0" borderId="0" xfId="0" applyAlignment="1">
      <alignment horizontal="left" wrapText="1"/>
    </xf>
    <xf numFmtId="0" fontId="16" fillId="0" borderId="4" xfId="13" applyBorder="1" applyAlignment="1">
      <alignment wrapText="1"/>
    </xf>
    <xf numFmtId="0" fontId="26" fillId="0" borderId="4" xfId="13" applyFont="1" applyBorder="1" applyAlignment="1">
      <alignment wrapText="1"/>
    </xf>
    <xf numFmtId="0" fontId="26" fillId="0" borderId="11" xfId="13" applyFont="1" applyBorder="1" applyAlignment="1">
      <alignment wrapText="1"/>
    </xf>
    <xf numFmtId="0" fontId="26" fillId="0" borderId="0" xfId="13" applyFont="1" applyAlignment="1">
      <alignment wrapText="1"/>
    </xf>
    <xf numFmtId="165" fontId="16" fillId="5" borderId="9" xfId="1" applyNumberFormat="1" applyFont="1" applyFill="1" applyBorder="1" applyAlignment="1" applyProtection="1">
      <alignment wrapText="1"/>
      <protection locked="0"/>
    </xf>
    <xf numFmtId="0" fontId="0" fillId="5" borderId="6" xfId="0" applyFill="1" applyBorder="1" applyAlignment="1" applyProtection="1">
      <alignment wrapText="1"/>
      <protection locked="0"/>
    </xf>
    <xf numFmtId="0" fontId="0" fillId="5" borderId="8" xfId="0" applyFill="1" applyBorder="1" applyAlignment="1" applyProtection="1">
      <alignment wrapText="1"/>
      <protection locked="0"/>
    </xf>
    <xf numFmtId="165" fontId="16" fillId="5" borderId="15" xfId="1" applyNumberFormat="1" applyFont="1" applyFill="1" applyBorder="1" applyAlignment="1" applyProtection="1">
      <alignment wrapText="1"/>
      <protection locked="0"/>
    </xf>
    <xf numFmtId="0" fontId="0" fillId="5" borderId="16" xfId="0" applyFill="1" applyBorder="1" applyAlignment="1" applyProtection="1">
      <alignment wrapText="1"/>
      <protection locked="0"/>
    </xf>
    <xf numFmtId="0" fontId="0" fillId="5" borderId="17" xfId="0" applyFill="1" applyBorder="1" applyAlignment="1" applyProtection="1">
      <alignment wrapText="1"/>
      <protection locked="0"/>
    </xf>
    <xf numFmtId="0" fontId="26" fillId="2" borderId="9" xfId="13" applyFont="1" applyFill="1" applyBorder="1" applyAlignment="1" applyProtection="1">
      <alignment horizontal="left" vertical="center" wrapText="1"/>
      <protection locked="0"/>
    </xf>
    <xf numFmtId="0" fontId="26" fillId="2" borderId="6" xfId="13" applyFont="1" applyFill="1" applyBorder="1" applyAlignment="1" applyProtection="1">
      <alignment horizontal="left" vertical="center" wrapText="1"/>
      <protection locked="0"/>
    </xf>
    <xf numFmtId="0" fontId="26" fillId="2" borderId="8" xfId="13" applyFont="1" applyFill="1" applyBorder="1" applyAlignment="1" applyProtection="1">
      <alignment horizontal="left" vertical="center" wrapText="1"/>
      <protection locked="0"/>
    </xf>
    <xf numFmtId="165" fontId="16" fillId="0" borderId="4" xfId="1" applyNumberFormat="1" applyFont="1" applyFill="1" applyBorder="1" applyAlignment="1" applyProtection="1">
      <alignment horizontal="left" wrapText="1"/>
    </xf>
    <xf numFmtId="165" fontId="26" fillId="0" borderId="4" xfId="1" applyNumberFormat="1" applyFont="1" applyFill="1" applyBorder="1" applyAlignment="1" applyProtection="1">
      <alignment horizontal="left" wrapText="1"/>
    </xf>
    <xf numFmtId="0" fontId="16" fillId="2" borderId="9" xfId="14" applyFill="1" applyBorder="1" applyAlignment="1" applyProtection="1">
      <alignment horizontal="left" vertical="top" wrapText="1"/>
      <protection locked="0"/>
    </xf>
    <xf numFmtId="0" fontId="16" fillId="2" borderId="8" xfId="14" applyFill="1" applyBorder="1" applyAlignment="1" applyProtection="1">
      <alignment horizontal="left" vertical="top" wrapText="1"/>
      <protection locked="0"/>
    </xf>
    <xf numFmtId="0" fontId="26" fillId="2" borderId="9" xfId="14" applyFont="1" applyFill="1" applyBorder="1" applyAlignment="1" applyProtection="1">
      <alignment horizontal="left" vertical="top" wrapText="1"/>
      <protection locked="0"/>
    </xf>
    <xf numFmtId="0" fontId="26" fillId="2" borderId="8" xfId="14" applyFont="1" applyFill="1" applyBorder="1" applyAlignment="1" applyProtection="1">
      <alignment horizontal="left" vertical="top" wrapText="1"/>
      <protection locked="0"/>
    </xf>
    <xf numFmtId="0" fontId="16" fillId="0" borderId="4" xfId="14" applyBorder="1" applyAlignment="1">
      <alignment horizontal="center"/>
    </xf>
    <xf numFmtId="0" fontId="31" fillId="0" borderId="9" xfId="0" applyFont="1" applyBorder="1"/>
    <xf numFmtId="181" fontId="31" fillId="2" borderId="9" xfId="0" applyNumberFormat="1" applyFont="1" applyFill="1" applyBorder="1" applyAlignment="1" applyProtection="1">
      <alignment horizontal="left"/>
      <protection locked="0"/>
    </xf>
    <xf numFmtId="181" fontId="31" fillId="2" borderId="8" xfId="0" applyNumberFormat="1" applyFont="1" applyFill="1" applyBorder="1" applyAlignment="1" applyProtection="1">
      <alignment horizontal="left"/>
      <protection locked="0"/>
    </xf>
    <xf numFmtId="10" fontId="31" fillId="2" borderId="9" xfId="0" applyNumberFormat="1" applyFont="1" applyFill="1" applyBorder="1" applyAlignment="1" applyProtection="1">
      <alignment horizontal="left"/>
      <protection locked="0"/>
    </xf>
    <xf numFmtId="10" fontId="31" fillId="2" borderId="8" xfId="0" applyNumberFormat="1" applyFont="1" applyFill="1" applyBorder="1" applyAlignment="1" applyProtection="1">
      <alignment horizontal="left"/>
      <protection locked="0"/>
    </xf>
    <xf numFmtId="0" fontId="31" fillId="0" borderId="16" xfId="0" applyFont="1" applyBorder="1" applyAlignment="1">
      <alignment vertical="top" wrapText="1"/>
    </xf>
    <xf numFmtId="0" fontId="31" fillId="2" borderId="9"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8" xfId="0" applyFont="1" applyFill="1" applyBorder="1" applyAlignment="1" applyProtection="1">
      <alignment vertical="center" wrapText="1"/>
      <protection locked="0"/>
    </xf>
    <xf numFmtId="0" fontId="31" fillId="0" borderId="4" xfId="0" applyFont="1" applyBorder="1" applyAlignment="1">
      <alignment horizontal="left" vertical="top"/>
    </xf>
    <xf numFmtId="0" fontId="31" fillId="0" borderId="13" xfId="0" applyFont="1" applyBorder="1" applyAlignment="1">
      <alignment vertical="center" wrapText="1"/>
    </xf>
    <xf numFmtId="0" fontId="31" fillId="0" borderId="4" xfId="0" applyFont="1" applyBorder="1" applyAlignment="1">
      <alignment vertical="center" wrapText="1"/>
    </xf>
    <xf numFmtId="0" fontId="31" fillId="0" borderId="14" xfId="0" applyFont="1" applyBorder="1" applyAlignment="1">
      <alignment vertical="center" wrapText="1"/>
    </xf>
    <xf numFmtId="0" fontId="31" fillId="0" borderId="15" xfId="0" applyFont="1" applyBorder="1" applyAlignment="1">
      <alignment horizontal="left" wrapText="1"/>
    </xf>
    <xf numFmtId="0" fontId="31" fillId="0" borderId="16" xfId="0" applyFont="1" applyBorder="1" applyAlignment="1">
      <alignment horizontal="left" wrapText="1"/>
    </xf>
    <xf numFmtId="0" fontId="31" fillId="0" borderId="17" xfId="0" applyFont="1" applyBorder="1" applyAlignment="1">
      <alignment horizontal="left" wrapText="1"/>
    </xf>
    <xf numFmtId="0" fontId="31" fillId="0" borderId="2" xfId="0" applyFont="1" applyBorder="1" applyAlignment="1">
      <alignment vertical="center" wrapText="1"/>
    </xf>
    <xf numFmtId="0" fontId="31" fillId="0" borderId="0" xfId="10" applyFont="1" applyAlignment="1">
      <alignment vertical="top" wrapText="1"/>
    </xf>
    <xf numFmtId="0" fontId="31" fillId="0" borderId="0" xfId="0" applyFont="1" applyAlignment="1">
      <alignment vertical="top" wrapText="1"/>
    </xf>
    <xf numFmtId="0" fontId="56" fillId="2" borderId="9" xfId="13" applyFont="1" applyFill="1" applyBorder="1" applyAlignment="1" applyProtection="1">
      <alignment vertical="top" wrapText="1"/>
      <protection locked="0"/>
    </xf>
    <xf numFmtId="0" fontId="72" fillId="2" borderId="6" xfId="0" applyFont="1" applyFill="1" applyBorder="1" applyAlignment="1" applyProtection="1">
      <alignment vertical="top" wrapText="1"/>
      <protection locked="0"/>
    </xf>
    <xf numFmtId="0" fontId="72" fillId="2" borderId="8" xfId="0" applyFont="1" applyFill="1" applyBorder="1" applyAlignment="1" applyProtection="1">
      <alignment vertical="top" wrapText="1"/>
      <protection locked="0"/>
    </xf>
    <xf numFmtId="0" fontId="31" fillId="2" borderId="15" xfId="0" applyFont="1" applyFill="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05" fillId="2" borderId="15" xfId="0" applyFont="1" applyFill="1" applyBorder="1" applyAlignment="1" applyProtection="1">
      <alignment horizontal="left" vertical="center" wrapText="1"/>
      <protection locked="0"/>
    </xf>
    <xf numFmtId="0" fontId="105" fillId="2" borderId="16" xfId="0" applyFont="1" applyFill="1" applyBorder="1" applyAlignment="1" applyProtection="1">
      <alignment horizontal="left" vertical="center" wrapText="1"/>
      <protection locked="0"/>
    </xf>
    <xf numFmtId="0" fontId="105" fillId="2" borderId="17" xfId="0" applyFont="1" applyFill="1" applyBorder="1" applyAlignment="1" applyProtection="1">
      <alignment horizontal="left" vertical="center" wrapText="1"/>
      <protection locked="0"/>
    </xf>
    <xf numFmtId="0" fontId="105" fillId="2" borderId="11" xfId="0" applyFont="1" applyFill="1" applyBorder="1" applyAlignment="1" applyProtection="1">
      <alignment horizontal="left" vertical="center" wrapText="1"/>
      <protection locked="0"/>
    </xf>
    <xf numFmtId="0" fontId="105" fillId="2" borderId="0" xfId="0" applyFont="1" applyFill="1" applyAlignment="1" applyProtection="1">
      <alignment horizontal="left" vertical="center" wrapText="1"/>
      <protection locked="0"/>
    </xf>
    <xf numFmtId="0" fontId="105" fillId="2" borderId="12" xfId="0" applyFont="1" applyFill="1" applyBorder="1" applyAlignment="1" applyProtection="1">
      <alignment horizontal="left" vertical="center" wrapText="1"/>
      <protection locked="0"/>
    </xf>
    <xf numFmtId="0" fontId="105" fillId="2" borderId="13" xfId="0" applyFont="1" applyFill="1" applyBorder="1" applyAlignment="1" applyProtection="1">
      <alignment horizontal="left" vertical="center" wrapText="1"/>
      <protection locked="0"/>
    </xf>
    <xf numFmtId="0" fontId="105" fillId="2" borderId="4" xfId="0" applyFont="1" applyFill="1" applyBorder="1" applyAlignment="1" applyProtection="1">
      <alignment horizontal="left" vertical="center" wrapText="1"/>
      <protection locked="0"/>
    </xf>
    <xf numFmtId="0" fontId="105" fillId="2" borderId="14" xfId="0" applyFont="1" applyFill="1" applyBorder="1" applyAlignment="1" applyProtection="1">
      <alignment horizontal="left" vertical="center" wrapText="1"/>
      <protection locked="0"/>
    </xf>
    <xf numFmtId="0" fontId="33" fillId="0" borderId="0" xfId="0" applyFont="1" applyAlignment="1">
      <alignment horizontal="left" wrapText="1"/>
    </xf>
    <xf numFmtId="0" fontId="31" fillId="2" borderId="9" xfId="0" applyFont="1" applyFill="1" applyBorder="1" applyAlignment="1" applyProtection="1">
      <alignment vertical="top" wrapText="1"/>
      <protection locked="0"/>
    </xf>
    <xf numFmtId="0" fontId="31" fillId="2" borderId="6" xfId="0" applyFont="1" applyFill="1" applyBorder="1" applyAlignment="1" applyProtection="1">
      <alignment vertical="top" wrapText="1"/>
      <protection locked="0"/>
    </xf>
    <xf numFmtId="0" fontId="31" fillId="2" borderId="8" xfId="0" applyFont="1" applyFill="1" applyBorder="1" applyAlignment="1" applyProtection="1">
      <alignment vertical="top" wrapText="1"/>
      <protection locked="0"/>
    </xf>
    <xf numFmtId="0" fontId="71" fillId="0" borderId="0" xfId="0" applyFont="1" applyAlignment="1">
      <alignment wrapText="1"/>
    </xf>
    <xf numFmtId="0" fontId="31" fillId="0" borderId="0" xfId="0" applyFont="1" applyAlignment="1">
      <alignment wrapText="1"/>
    </xf>
    <xf numFmtId="0" fontId="31" fillId="0" borderId="0" xfId="0" applyFont="1" applyAlignment="1">
      <alignment horizontal="left" wrapText="1"/>
    </xf>
    <xf numFmtId="0" fontId="31" fillId="0" borderId="2" xfId="0" applyFont="1" applyBorder="1" applyAlignment="1">
      <alignment horizontal="left" vertical="top" wrapText="1"/>
    </xf>
    <xf numFmtId="0" fontId="31" fillId="2" borderId="2" xfId="0" applyFont="1" applyFill="1" applyBorder="1" applyAlignment="1" applyProtection="1">
      <alignment horizontal="center" vertical="center" wrapText="1"/>
      <protection locked="0"/>
    </xf>
    <xf numFmtId="0" fontId="31" fillId="8" borderId="9" xfId="12" applyFont="1" applyFill="1" applyBorder="1" applyAlignment="1">
      <alignment vertical="top" wrapText="1"/>
    </xf>
    <xf numFmtId="0" fontId="31" fillId="8" borderId="6" xfId="31" applyFill="1" applyBorder="1" applyAlignment="1">
      <alignment wrapText="1"/>
    </xf>
    <xf numFmtId="0" fontId="31" fillId="8" borderId="17" xfId="31" applyFill="1" applyBorder="1" applyAlignment="1">
      <alignment wrapText="1"/>
    </xf>
    <xf numFmtId="0" fontId="91" fillId="0" borderId="2" xfId="0" applyFont="1" applyBorder="1" applyAlignment="1">
      <alignment horizontal="right" wrapText="1"/>
    </xf>
    <xf numFmtId="0" fontId="91" fillId="0" borderId="9" xfId="0" applyFont="1" applyBorder="1" applyAlignment="1">
      <alignment horizontal="right" vertical="top"/>
    </xf>
    <xf numFmtId="0" fontId="91" fillId="0" borderId="8" xfId="0" applyFont="1" applyBorder="1" applyAlignment="1">
      <alignment horizontal="right" vertical="top"/>
    </xf>
    <xf numFmtId="0" fontId="91" fillId="0" borderId="9" xfId="0" applyFont="1" applyBorder="1" applyAlignment="1">
      <alignment horizontal="right" vertical="center" wrapText="1"/>
    </xf>
    <xf numFmtId="0" fontId="91" fillId="0" borderId="8" xfId="0" applyFont="1" applyBorder="1" applyAlignment="1">
      <alignment horizontal="right" vertical="center" wrapText="1"/>
    </xf>
    <xf numFmtId="0" fontId="91" fillId="0" borderId="2" xfId="0" applyFont="1" applyBorder="1" applyAlignment="1">
      <alignment horizontal="right" vertical="center" wrapText="1"/>
    </xf>
    <xf numFmtId="0" fontId="91" fillId="0" borderId="9" xfId="12" applyFont="1" applyBorder="1" applyAlignment="1">
      <alignment vertical="top" wrapText="1"/>
    </xf>
    <xf numFmtId="0" fontId="91" fillId="0" borderId="6" xfId="15" applyFont="1" applyBorder="1" applyAlignment="1">
      <alignment wrapText="1"/>
    </xf>
    <xf numFmtId="0" fontId="91" fillId="0" borderId="8" xfId="15" applyFont="1" applyBorder="1" applyAlignment="1">
      <alignment wrapText="1"/>
    </xf>
    <xf numFmtId="0" fontId="117" fillId="0" borderId="3" xfId="15" applyFont="1" applyBorder="1" applyAlignment="1">
      <alignment horizontal="left" vertical="top" wrapText="1"/>
    </xf>
    <xf numFmtId="0" fontId="117" fillId="0" borderId="2" xfId="15" applyFont="1" applyBorder="1" applyAlignment="1">
      <alignment horizontal="left" vertical="top" wrapText="1"/>
    </xf>
    <xf numFmtId="0" fontId="49" fillId="0" borderId="9" xfId="12" applyFont="1" applyBorder="1" applyAlignment="1">
      <alignment vertical="top" wrapText="1"/>
    </xf>
    <xf numFmtId="0" fontId="91" fillId="0" borderId="6" xfId="12" applyFont="1" applyBorder="1" applyAlignment="1">
      <alignment vertical="top" wrapText="1"/>
    </xf>
    <xf numFmtId="0" fontId="91" fillId="0" borderId="8" xfId="12" applyFont="1" applyBorder="1" applyAlignment="1">
      <alignment vertical="top" wrapText="1"/>
    </xf>
    <xf numFmtId="0" fontId="94" fillId="0" borderId="0" xfId="0" applyFont="1" applyAlignment="1">
      <alignment horizontal="left"/>
    </xf>
    <xf numFmtId="0" fontId="91" fillId="0" borderId="0" xfId="12" applyFont="1" applyAlignment="1">
      <alignment vertical="top" wrapText="1"/>
    </xf>
    <xf numFmtId="0" fontId="91" fillId="0" borderId="0" xfId="33" applyFont="1" applyAlignment="1">
      <alignment wrapText="1"/>
    </xf>
    <xf numFmtId="42" fontId="91" fillId="2" borderId="9" xfId="0" applyNumberFormat="1" applyFont="1" applyFill="1" applyBorder="1" applyAlignment="1" applyProtection="1">
      <alignment horizontal="center" vertical="center" wrapText="1"/>
      <protection locked="0"/>
    </xf>
    <xf numFmtId="42" fontId="91" fillId="2" borderId="8" xfId="0" applyNumberFormat="1" applyFont="1" applyFill="1" applyBorder="1" applyAlignment="1" applyProtection="1">
      <alignment horizontal="center" vertical="center" wrapText="1"/>
      <protection locked="0"/>
    </xf>
    <xf numFmtId="0" fontId="91" fillId="2" borderId="9" xfId="0" applyFont="1" applyFill="1" applyBorder="1" applyAlignment="1" applyProtection="1">
      <alignment horizontal="center" vertical="center" wrapText="1"/>
      <protection locked="0"/>
    </xf>
    <xf numFmtId="0" fontId="91" fillId="2" borderId="8" xfId="0" applyFont="1" applyFill="1" applyBorder="1" applyAlignment="1" applyProtection="1">
      <alignment horizontal="center" vertical="center" wrapText="1"/>
      <protection locked="0"/>
    </xf>
    <xf numFmtId="0" fontId="91" fillId="0" borderId="9" xfId="0" applyFont="1" applyBorder="1" applyAlignment="1">
      <alignment horizontal="right" wrapText="1"/>
    </xf>
    <xf numFmtId="0" fontId="91" fillId="0" borderId="8" xfId="0" applyFont="1" applyBorder="1" applyAlignment="1">
      <alignment horizontal="right" wrapText="1"/>
    </xf>
    <xf numFmtId="0" fontId="91" fillId="0" borderId="9" xfId="0" applyFont="1" applyBorder="1" applyAlignment="1">
      <alignment vertical="top" wrapText="1"/>
    </xf>
    <xf numFmtId="0" fontId="91" fillId="0" borderId="6" xfId="0" applyFont="1" applyBorder="1" applyAlignment="1">
      <alignment vertical="top" wrapText="1"/>
    </xf>
    <xf numFmtId="0" fontId="91" fillId="0" borderId="8" xfId="0" applyFont="1" applyBorder="1" applyAlignment="1">
      <alignment vertical="top" wrapText="1"/>
    </xf>
    <xf numFmtId="0" fontId="60" fillId="0" borderId="9" xfId="0" applyFont="1" applyBorder="1" applyAlignment="1">
      <alignment vertical="top" wrapText="1"/>
    </xf>
    <xf numFmtId="0" fontId="19" fillId="0" borderId="6" xfId="0" applyFont="1" applyBorder="1" applyAlignment="1">
      <alignment vertical="top" wrapText="1"/>
    </xf>
    <xf numFmtId="0" fontId="19" fillId="0" borderId="8" xfId="0" applyFont="1" applyBorder="1" applyAlignment="1">
      <alignment vertical="top" wrapText="1"/>
    </xf>
    <xf numFmtId="0" fontId="60" fillId="0" borderId="4" xfId="0" applyFont="1" applyBorder="1" applyAlignment="1">
      <alignment wrapText="1"/>
    </xf>
    <xf numFmtId="0" fontId="19" fillId="0" borderId="4" xfId="0" applyFont="1" applyBorder="1" applyAlignment="1">
      <alignment wrapText="1"/>
    </xf>
    <xf numFmtId="0" fontId="17" fillId="0" borderId="5" xfId="0" applyFont="1" applyBorder="1" applyAlignment="1">
      <alignment horizontal="center" vertical="center"/>
    </xf>
    <xf numFmtId="0" fontId="17" fillId="0" borderId="21" xfId="0" applyFont="1" applyBorder="1" applyAlignment="1">
      <alignment horizontal="center" vertical="center"/>
    </xf>
    <xf numFmtId="0" fontId="94" fillId="0" borderId="9" xfId="0" applyFont="1" applyBorder="1" applyAlignment="1">
      <alignment vertical="top" wrapText="1"/>
    </xf>
    <xf numFmtId="0" fontId="96" fillId="0" borderId="6" xfId="0" applyFont="1" applyBorder="1" applyAlignment="1">
      <alignment vertical="top" wrapText="1"/>
    </xf>
    <xf numFmtId="0" fontId="96" fillId="0" borderId="8" xfId="0" applyFont="1" applyBorder="1" applyAlignment="1">
      <alignment vertical="top" wrapText="1"/>
    </xf>
    <xf numFmtId="0" fontId="49" fillId="0" borderId="0" xfId="0" applyFont="1" applyAlignment="1">
      <alignment wrapText="1"/>
    </xf>
    <xf numFmtId="0" fontId="65" fillId="0" borderId="0" xfId="0" applyFont="1" applyAlignment="1">
      <alignment wrapText="1"/>
    </xf>
    <xf numFmtId="0" fontId="117" fillId="0" borderId="2" xfId="12" applyFont="1" applyBorder="1" applyAlignment="1">
      <alignment horizontal="left" vertical="top" wrapText="1"/>
    </xf>
    <xf numFmtId="0" fontId="117" fillId="0" borderId="9" xfId="12" applyFont="1" applyBorder="1" applyAlignment="1">
      <alignment vertical="top" wrapText="1"/>
    </xf>
    <xf numFmtId="0" fontId="125" fillId="0" borderId="8" xfId="0" applyFont="1" applyBorder="1" applyAlignment="1">
      <alignment vertical="top" wrapText="1"/>
    </xf>
    <xf numFmtId="0" fontId="17" fillId="0" borderId="13" xfId="0" applyFont="1" applyBorder="1" applyAlignment="1">
      <alignment horizontal="center" wrapText="1"/>
    </xf>
    <xf numFmtId="0" fontId="17" fillId="0" borderId="4" xfId="0" applyFont="1" applyBorder="1" applyAlignment="1">
      <alignment horizontal="center" wrapText="1"/>
    </xf>
    <xf numFmtId="0" fontId="49" fillId="0" borderId="4" xfId="12" applyFont="1" applyBorder="1" applyAlignment="1">
      <alignment horizontal="left" wrapText="1"/>
    </xf>
    <xf numFmtId="0" fontId="91" fillId="0" borderId="2" xfId="12" applyFont="1" applyBorder="1" applyAlignment="1">
      <alignment vertical="top" wrapText="1"/>
    </xf>
    <xf numFmtId="0" fontId="96" fillId="0" borderId="2" xfId="12" applyFont="1" applyBorder="1" applyAlignment="1">
      <alignment vertical="top" wrapText="1"/>
    </xf>
    <xf numFmtId="0" fontId="123" fillId="0" borderId="9" xfId="12" applyFont="1" applyBorder="1" applyAlignment="1">
      <alignment vertical="top" wrapText="1"/>
    </xf>
    <xf numFmtId="0" fontId="123" fillId="0" borderId="6" xfId="12" applyFont="1" applyBorder="1" applyAlignment="1">
      <alignment vertical="top" wrapText="1"/>
    </xf>
    <xf numFmtId="0" fontId="123" fillId="0" borderId="8" xfId="12" applyFont="1" applyBorder="1" applyAlignment="1">
      <alignment vertical="top" wrapText="1"/>
    </xf>
    <xf numFmtId="0" fontId="18" fillId="0" borderId="0" xfId="12" applyFont="1" applyAlignment="1">
      <alignment vertical="top" wrapText="1"/>
    </xf>
    <xf numFmtId="0" fontId="18" fillId="0" borderId="0" xfId="33" applyFont="1" applyAlignment="1">
      <alignment wrapText="1"/>
    </xf>
    <xf numFmtId="0" fontId="18" fillId="0" borderId="16" xfId="33" applyFont="1" applyBorder="1" applyAlignment="1">
      <alignment wrapText="1"/>
    </xf>
    <xf numFmtId="0" fontId="118" fillId="0" borderId="4" xfId="12" applyFont="1" applyBorder="1" applyAlignment="1">
      <alignment horizontal="left" wrapText="1"/>
    </xf>
    <xf numFmtId="0" fontId="91" fillId="0" borderId="9" xfId="33" applyFont="1" applyBorder="1" applyAlignment="1">
      <alignment vertical="top" wrapText="1"/>
    </xf>
    <xf numFmtId="0" fontId="91" fillId="0" borderId="6" xfId="33" applyFont="1" applyBorder="1" applyAlignment="1">
      <alignment vertical="top" wrapText="1"/>
    </xf>
    <xf numFmtId="0" fontId="91" fillId="0" borderId="8" xfId="33" applyFont="1" applyBorder="1" applyAlignment="1">
      <alignment vertical="top" wrapText="1"/>
    </xf>
    <xf numFmtId="0" fontId="31" fillId="0" borderId="15" xfId="12" applyFont="1" applyBorder="1" applyAlignment="1">
      <alignment horizontal="left" vertical="top" wrapText="1"/>
    </xf>
    <xf numFmtId="0" fontId="33" fillId="0" borderId="16" xfId="12" applyFont="1" applyBorder="1" applyAlignment="1">
      <alignment horizontal="left" vertical="top" wrapText="1"/>
    </xf>
    <xf numFmtId="0" fontId="33" fillId="0" borderId="17" xfId="12" applyFont="1" applyBorder="1" applyAlignment="1">
      <alignment horizontal="left" vertical="top" wrapText="1"/>
    </xf>
    <xf numFmtId="0" fontId="118" fillId="0" borderId="11" xfId="33" applyFont="1" applyBorder="1" applyAlignment="1">
      <alignment horizontal="left" wrapText="1"/>
    </xf>
    <xf numFmtId="0" fontId="118" fillId="0" borderId="0" xfId="33" applyFont="1" applyAlignment="1">
      <alignment horizontal="left" wrapText="1"/>
    </xf>
    <xf numFmtId="0" fontId="118" fillId="0" borderId="12" xfId="33" applyFont="1" applyBorder="1" applyAlignment="1">
      <alignment horizontal="left" wrapText="1"/>
    </xf>
    <xf numFmtId="0" fontId="155" fillId="0" borderId="11" xfId="33" applyFont="1" applyBorder="1" applyAlignment="1">
      <alignment horizontal="left" wrapText="1"/>
    </xf>
    <xf numFmtId="0" fontId="155" fillId="0" borderId="0" xfId="33" applyFont="1" applyAlignment="1">
      <alignment horizontal="left" wrapText="1"/>
    </xf>
    <xf numFmtId="0" fontId="155" fillId="0" borderId="12" xfId="33" applyFont="1" applyBorder="1" applyAlignment="1">
      <alignment horizontal="left" wrapText="1"/>
    </xf>
    <xf numFmtId="165" fontId="32" fillId="2" borderId="30" xfId="1" applyNumberFormat="1" applyFont="1" applyFill="1" applyBorder="1" applyAlignment="1" applyProtection="1">
      <alignment horizontal="left" wrapText="1"/>
      <protection locked="0"/>
    </xf>
    <xf numFmtId="165" fontId="32" fillId="2" borderId="31" xfId="1" applyNumberFormat="1" applyFont="1" applyFill="1" applyBorder="1" applyAlignment="1" applyProtection="1">
      <alignment horizontal="left" wrapText="1"/>
      <protection locked="0"/>
    </xf>
    <xf numFmtId="165" fontId="32" fillId="2" borderId="32" xfId="1" applyNumberFormat="1" applyFont="1" applyFill="1" applyBorder="1" applyAlignment="1" applyProtection="1">
      <alignment horizontal="left" wrapText="1"/>
      <protection locked="0"/>
    </xf>
    <xf numFmtId="0" fontId="31" fillId="5" borderId="6" xfId="0" applyFont="1" applyFill="1" applyBorder="1" applyAlignment="1" applyProtection="1">
      <alignment horizontal="center" vertical="top" wrapText="1"/>
      <protection locked="0"/>
    </xf>
    <xf numFmtId="0" fontId="31" fillId="5" borderId="8" xfId="0" applyFont="1" applyFill="1" applyBorder="1" applyAlignment="1" applyProtection="1">
      <alignment horizontal="center" vertical="top" wrapText="1"/>
      <protection locked="0"/>
    </xf>
    <xf numFmtId="0" fontId="31" fillId="8" borderId="0" xfId="0" applyFont="1" applyFill="1" applyAlignment="1">
      <alignment horizontal="left" wrapText="1"/>
    </xf>
    <xf numFmtId="0" fontId="31" fillId="0" borderId="4" xfId="0" applyFont="1" applyBorder="1" applyAlignment="1">
      <alignment horizontal="center"/>
    </xf>
    <xf numFmtId="0" fontId="31" fillId="2" borderId="15" xfId="0" applyFont="1" applyFill="1" applyBorder="1" applyAlignment="1" applyProtection="1">
      <alignment horizontal="left" vertical="center" wrapText="1"/>
      <protection locked="0"/>
    </xf>
    <xf numFmtId="0" fontId="31" fillId="2" borderId="16"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31" fillId="2" borderId="0" xfId="0" applyFont="1" applyFill="1" applyAlignment="1" applyProtection="1">
      <alignment horizontal="left" vertical="center" wrapText="1"/>
      <protection locked="0"/>
    </xf>
    <xf numFmtId="0" fontId="31" fillId="2" borderId="12" xfId="0" applyFont="1" applyFill="1" applyBorder="1" applyAlignment="1" applyProtection="1">
      <alignment horizontal="left" vertical="center" wrapText="1"/>
      <protection locked="0"/>
    </xf>
    <xf numFmtId="0" fontId="31" fillId="2" borderId="13" xfId="0" applyFont="1" applyFill="1" applyBorder="1" applyAlignment="1" applyProtection="1">
      <alignment horizontal="left" vertical="center" wrapText="1"/>
      <protection locked="0"/>
    </xf>
    <xf numFmtId="0" fontId="31" fillId="2" borderId="4" xfId="0" applyFont="1" applyFill="1" applyBorder="1" applyAlignment="1" applyProtection="1">
      <alignment horizontal="left" vertical="center" wrapText="1"/>
      <protection locked="0"/>
    </xf>
    <xf numFmtId="0" fontId="31" fillId="2" borderId="14" xfId="0" applyFont="1" applyFill="1" applyBorder="1" applyAlignment="1" applyProtection="1">
      <alignment horizontal="left" vertical="center" wrapText="1"/>
      <protection locked="0"/>
    </xf>
    <xf numFmtId="41" fontId="31" fillId="0" borderId="9" xfId="0" applyNumberFormat="1" applyFont="1" applyBorder="1" applyAlignment="1">
      <alignment horizontal="center"/>
    </xf>
    <xf numFmtId="41" fontId="31" fillId="0" borderId="8" xfId="0" applyNumberFormat="1" applyFont="1" applyBorder="1" applyAlignment="1">
      <alignment horizontal="center"/>
    </xf>
    <xf numFmtId="38" fontId="30" fillId="4" borderId="2" xfId="14" applyNumberFormat="1" applyFont="1" applyFill="1" applyBorder="1" applyAlignment="1">
      <alignment horizontal="left"/>
    </xf>
    <xf numFmtId="0" fontId="81" fillId="4" borderId="2" xfId="0" applyFont="1" applyFill="1" applyBorder="1" applyAlignment="1">
      <alignment horizontal="left"/>
    </xf>
    <xf numFmtId="0" fontId="81" fillId="4" borderId="2" xfId="0" applyFont="1" applyFill="1" applyBorder="1"/>
    <xf numFmtId="38" fontId="30" fillId="2" borderId="2" xfId="14" applyNumberFormat="1" applyFont="1" applyFill="1" applyBorder="1" applyAlignment="1" applyProtection="1">
      <alignment horizontal="left"/>
      <protection locked="0"/>
    </xf>
    <xf numFmtId="0" fontId="81" fillId="2" borderId="2" xfId="0" applyFont="1" applyFill="1" applyBorder="1" applyAlignment="1" applyProtection="1">
      <alignment horizontal="left"/>
      <protection locked="0"/>
    </xf>
    <xf numFmtId="0" fontId="81" fillId="0" borderId="2" xfId="0" applyFont="1" applyBorder="1" applyProtection="1">
      <protection locked="0"/>
    </xf>
    <xf numFmtId="182" fontId="30" fillId="2" borderId="2" xfId="14" applyNumberFormat="1" applyFont="1" applyFill="1" applyBorder="1" applyAlignment="1" applyProtection="1">
      <alignment horizontal="left"/>
      <protection locked="0"/>
    </xf>
    <xf numFmtId="182" fontId="81" fillId="2" borderId="2" xfId="0" applyNumberFormat="1" applyFont="1" applyFill="1" applyBorder="1" applyAlignment="1" applyProtection="1">
      <alignment horizontal="left"/>
      <protection locked="0"/>
    </xf>
    <xf numFmtId="182" fontId="81" fillId="0" borderId="2" xfId="0" applyNumberFormat="1" applyFont="1" applyBorder="1" applyProtection="1">
      <protection locked="0"/>
    </xf>
    <xf numFmtId="38" fontId="63" fillId="2" borderId="2" xfId="14" applyNumberFormat="1" applyFont="1" applyFill="1" applyBorder="1" applyAlignment="1" applyProtection="1">
      <alignment horizontal="left"/>
      <protection locked="0"/>
    </xf>
    <xf numFmtId="0" fontId="82" fillId="2" borderId="2" xfId="0" applyFont="1" applyFill="1" applyBorder="1" applyAlignment="1" applyProtection="1">
      <alignment horizontal="left"/>
      <protection locked="0"/>
    </xf>
    <xf numFmtId="0" fontId="82" fillId="0" borderId="2" xfId="0" applyFont="1" applyBorder="1" applyProtection="1">
      <protection locked="0"/>
    </xf>
    <xf numFmtId="183" fontId="30" fillId="2" borderId="2" xfId="14" applyNumberFormat="1" applyFont="1" applyFill="1" applyBorder="1" applyAlignment="1" applyProtection="1">
      <alignment horizontal="left"/>
      <protection locked="0"/>
    </xf>
    <xf numFmtId="183" fontId="81" fillId="2" borderId="2" xfId="0" applyNumberFormat="1" applyFont="1" applyFill="1" applyBorder="1" applyAlignment="1" applyProtection="1">
      <alignment horizontal="left"/>
      <protection locked="0"/>
    </xf>
    <xf numFmtId="183" fontId="81" fillId="0" borderId="2" xfId="0" applyNumberFormat="1" applyFont="1" applyBorder="1" applyProtection="1">
      <protection locked="0"/>
    </xf>
    <xf numFmtId="0" fontId="31" fillId="0" borderId="2" xfId="0" applyFont="1" applyBorder="1" applyAlignment="1">
      <alignment wrapText="1"/>
    </xf>
    <xf numFmtId="0" fontId="0" fillId="0" borderId="2" xfId="0" applyBorder="1" applyAlignment="1">
      <alignment wrapText="1"/>
    </xf>
    <xf numFmtId="0" fontId="0" fillId="0" borderId="2" xfId="0" applyBorder="1"/>
    <xf numFmtId="0" fontId="31" fillId="0" borderId="9" xfId="0" applyFont="1" applyBorder="1" applyAlignment="1">
      <alignment wrapText="1"/>
    </xf>
    <xf numFmtId="0" fontId="33" fillId="0" borderId="0" xfId="0" applyFont="1" applyAlignment="1">
      <alignment horizontal="center" wrapText="1"/>
    </xf>
    <xf numFmtId="0" fontId="31" fillId="2" borderId="16" xfId="0" applyFont="1" applyFill="1" applyBorder="1" applyAlignment="1" applyProtection="1">
      <alignment vertical="center" wrapText="1"/>
      <protection locked="0"/>
    </xf>
    <xf numFmtId="0" fontId="31" fillId="2" borderId="17" xfId="0" applyFont="1" applyFill="1" applyBorder="1" applyAlignment="1" applyProtection="1">
      <alignment vertical="center" wrapText="1"/>
      <protection locked="0"/>
    </xf>
    <xf numFmtId="0" fontId="31" fillId="2" borderId="11" xfId="0" applyFont="1" applyFill="1" applyBorder="1" applyAlignment="1" applyProtection="1">
      <alignment vertical="center" wrapText="1"/>
      <protection locked="0"/>
    </xf>
    <xf numFmtId="0" fontId="31" fillId="2" borderId="0" xfId="0" applyFont="1" applyFill="1" applyAlignment="1" applyProtection="1">
      <alignment vertical="center" wrapText="1"/>
      <protection locked="0"/>
    </xf>
    <xf numFmtId="0" fontId="31" fillId="2" borderId="12" xfId="0" applyFont="1" applyFill="1" applyBorder="1" applyAlignment="1" applyProtection="1">
      <alignment vertical="center" wrapText="1"/>
      <protection locked="0"/>
    </xf>
    <xf numFmtId="0" fontId="31" fillId="2" borderId="13"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14" xfId="0" applyFont="1" applyFill="1" applyBorder="1" applyAlignment="1" applyProtection="1">
      <alignment vertical="center" wrapText="1"/>
      <protection locked="0"/>
    </xf>
    <xf numFmtId="0" fontId="31" fillId="0" borderId="2" xfId="33" applyFont="1" applyBorder="1" applyAlignment="1">
      <alignment wrapText="1"/>
    </xf>
    <xf numFmtId="0" fontId="14" fillId="0" borderId="2" xfId="33" applyBorder="1" applyAlignment="1">
      <alignment wrapText="1"/>
    </xf>
    <xf numFmtId="0" fontId="28" fillId="0" borderId="0" xfId="0" applyFont="1" applyAlignment="1">
      <alignment vertical="top" wrapText="1"/>
    </xf>
    <xf numFmtId="0" fontId="26" fillId="0" borderId="0" xfId="0" applyFont="1" applyAlignment="1">
      <alignment vertical="top" wrapText="1"/>
    </xf>
    <xf numFmtId="0" fontId="26" fillId="0" borderId="5" xfId="0" applyFont="1" applyBorder="1" applyAlignment="1">
      <alignment horizontal="left" vertical="center"/>
    </xf>
    <xf numFmtId="0" fontId="26" fillId="0" borderId="21" xfId="0" applyFont="1" applyBorder="1" applyAlignment="1">
      <alignment horizontal="left" vertical="center"/>
    </xf>
    <xf numFmtId="0" fontId="26" fillId="0" borderId="3" xfId="0" applyFont="1" applyBorder="1" applyAlignment="1">
      <alignment horizontal="left" vertical="center"/>
    </xf>
    <xf numFmtId="0" fontId="16" fillId="2" borderId="9" xfId="0" applyFont="1" applyFill="1" applyBorder="1" applyAlignment="1" applyProtection="1">
      <alignment vertical="top" wrapText="1"/>
      <protection locked="0"/>
    </xf>
    <xf numFmtId="0" fontId="26" fillId="2" borderId="6" xfId="0" applyFont="1" applyFill="1" applyBorder="1" applyAlignment="1" applyProtection="1">
      <alignment vertical="top" wrapText="1"/>
      <protection locked="0"/>
    </xf>
    <xf numFmtId="0" fontId="26" fillId="2" borderId="8" xfId="0" applyFont="1" applyFill="1" applyBorder="1" applyAlignment="1" applyProtection="1">
      <alignment vertical="top" wrapText="1"/>
      <protection locked="0"/>
    </xf>
    <xf numFmtId="0" fontId="16" fillId="2" borderId="15" xfId="0" applyFont="1" applyFill="1" applyBorder="1" applyAlignment="1" applyProtection="1">
      <alignment vertical="top" wrapText="1"/>
      <protection locked="0"/>
    </xf>
    <xf numFmtId="0" fontId="26" fillId="0" borderId="2" xfId="0" applyFont="1" applyBorder="1" applyAlignment="1">
      <alignment vertical="center" wrapText="1"/>
    </xf>
    <xf numFmtId="0" fontId="26" fillId="0" borderId="5" xfId="0" applyFont="1" applyBorder="1" applyAlignment="1">
      <alignment vertical="center" wrapText="1"/>
    </xf>
    <xf numFmtId="0" fontId="26" fillId="0" borderId="21" xfId="0" applyFont="1" applyBorder="1" applyAlignment="1">
      <alignment vertical="center" wrapText="1"/>
    </xf>
    <xf numFmtId="0" fontId="26" fillId="0" borderId="3" xfId="0" applyFont="1" applyBorder="1" applyAlignment="1">
      <alignment vertical="center" wrapText="1"/>
    </xf>
    <xf numFmtId="0" fontId="31" fillId="0" borderId="2" xfId="33" applyFont="1" applyBorder="1" applyAlignment="1">
      <alignment horizontal="left" vertical="top" wrapText="1"/>
    </xf>
    <xf numFmtId="0" fontId="33" fillId="0" borderId="2" xfId="33" applyFont="1" applyBorder="1" applyAlignment="1">
      <alignment horizontal="left" vertical="top" wrapText="1"/>
    </xf>
    <xf numFmtId="0" fontId="31" fillId="0" borderId="9" xfId="9" applyFont="1" applyBorder="1" applyAlignment="1">
      <alignment horizontal="left"/>
    </xf>
    <xf numFmtId="0" fontId="31" fillId="0" borderId="6" xfId="9" applyFont="1" applyBorder="1" applyAlignment="1">
      <alignment horizontal="left"/>
    </xf>
    <xf numFmtId="0" fontId="31" fillId="0" borderId="8" xfId="9" applyFont="1" applyBorder="1" applyAlignment="1">
      <alignment horizontal="left"/>
    </xf>
    <xf numFmtId="49" fontId="31" fillId="0" borderId="9" xfId="32" applyNumberFormat="1" applyBorder="1" applyAlignment="1">
      <alignment horizontal="left" vertical="top" wrapText="1"/>
    </xf>
    <xf numFmtId="49" fontId="31" fillId="0" borderId="6" xfId="32" applyNumberFormat="1" applyBorder="1" applyAlignment="1">
      <alignment horizontal="left" vertical="top" wrapText="1"/>
    </xf>
    <xf numFmtId="49" fontId="31" fillId="0" borderId="8" xfId="32" applyNumberFormat="1" applyBorder="1" applyAlignment="1">
      <alignment horizontal="left" vertical="top" wrapText="1"/>
    </xf>
    <xf numFmtId="0" fontId="30" fillId="0" borderId="0" xfId="14" applyFont="1" applyAlignment="1">
      <alignment horizontal="left" wrapText="1"/>
    </xf>
    <xf numFmtId="0" fontId="31" fillId="0" borderId="0" xfId="9" applyFont="1" applyAlignment="1">
      <alignment horizontal="left" wrapText="1"/>
    </xf>
    <xf numFmtId="0" fontId="33" fillId="0" borderId="15" xfId="33" applyFont="1" applyBorder="1" applyAlignment="1">
      <alignment horizontal="left" vertical="top" wrapText="1"/>
    </xf>
    <xf numFmtId="0" fontId="33" fillId="0" borderId="16" xfId="33" applyFont="1" applyBorder="1" applyAlignment="1">
      <alignment horizontal="left" vertical="top" wrapText="1"/>
    </xf>
    <xf numFmtId="0" fontId="33" fillId="0" borderId="17" xfId="33" applyFont="1" applyBorder="1" applyAlignment="1">
      <alignment horizontal="left" vertical="top" wrapText="1"/>
    </xf>
    <xf numFmtId="0" fontId="31" fillId="0" borderId="11" xfId="33" applyFont="1" applyBorder="1" applyAlignment="1">
      <alignment horizontal="left" vertical="top" wrapText="1"/>
    </xf>
    <xf numFmtId="0" fontId="31" fillId="0" borderId="0" xfId="33" applyFont="1" applyAlignment="1">
      <alignment horizontal="left" vertical="top" wrapText="1"/>
    </xf>
    <xf numFmtId="0" fontId="31" fillId="0" borderId="12" xfId="33" applyFont="1" applyBorder="1" applyAlignment="1">
      <alignment horizontal="left" vertical="top" wrapText="1"/>
    </xf>
    <xf numFmtId="0" fontId="31" fillId="0" borderId="13" xfId="33" applyFont="1" applyBorder="1" applyAlignment="1">
      <alignment horizontal="left" vertical="top" wrapText="1"/>
    </xf>
    <xf numFmtId="0" fontId="31" fillId="0" borderId="4" xfId="33" applyFont="1" applyBorder="1" applyAlignment="1">
      <alignment horizontal="left" vertical="top" wrapText="1"/>
    </xf>
    <xf numFmtId="0" fontId="31" fillId="0" borderId="14" xfId="33" applyFont="1" applyBorder="1" applyAlignment="1">
      <alignment horizontal="left" vertical="top" wrapText="1"/>
    </xf>
    <xf numFmtId="0" fontId="33" fillId="0" borderId="9" xfId="33" applyFont="1" applyBorder="1" applyAlignment="1">
      <alignment horizontal="left" vertical="top" wrapText="1"/>
    </xf>
    <xf numFmtId="0" fontId="33" fillId="0" borderId="6" xfId="33" applyFont="1" applyBorder="1" applyAlignment="1">
      <alignment horizontal="left" vertical="top" wrapText="1"/>
    </xf>
    <xf numFmtId="0" fontId="33" fillId="0" borderId="8" xfId="33" applyFont="1" applyBorder="1" applyAlignment="1">
      <alignment horizontal="left" vertical="top" wrapText="1"/>
    </xf>
    <xf numFmtId="0" fontId="33" fillId="0" borderId="11" xfId="33" applyFont="1" applyBorder="1" applyAlignment="1">
      <alignment horizontal="left" vertical="top" wrapText="1"/>
    </xf>
    <xf numFmtId="0" fontId="33" fillId="0" borderId="0" xfId="33" applyFont="1" applyAlignment="1">
      <alignment horizontal="left" vertical="top" wrapText="1"/>
    </xf>
    <xf numFmtId="0" fontId="33" fillId="0" borderId="12" xfId="33" applyFont="1" applyBorder="1" applyAlignment="1">
      <alignment horizontal="left" vertical="top" wrapText="1"/>
    </xf>
    <xf numFmtId="0" fontId="33" fillId="0" borderId="13" xfId="33" applyFont="1" applyBorder="1" applyAlignment="1">
      <alignment horizontal="left" vertical="top" wrapText="1"/>
    </xf>
    <xf numFmtId="0" fontId="33" fillId="0" borderId="4" xfId="33" applyFont="1" applyBorder="1" applyAlignment="1">
      <alignment horizontal="left" vertical="top" wrapText="1"/>
    </xf>
    <xf numFmtId="0" fontId="33" fillId="0" borderId="14" xfId="33" applyFont="1" applyBorder="1" applyAlignment="1">
      <alignment horizontal="left" vertical="top" wrapText="1"/>
    </xf>
    <xf numFmtId="0" fontId="31" fillId="0" borderId="9" xfId="33" applyFont="1" applyBorder="1" applyAlignment="1">
      <alignment horizontal="left" vertical="top" wrapText="1"/>
    </xf>
    <xf numFmtId="0" fontId="31" fillId="0" borderId="6" xfId="33" applyFont="1" applyBorder="1" applyAlignment="1">
      <alignment horizontal="left" vertical="top" wrapText="1"/>
    </xf>
    <xf numFmtId="0" fontId="31" fillId="0" borderId="8" xfId="33" applyFont="1" applyBorder="1" applyAlignment="1">
      <alignment horizontal="left" vertical="top" wrapText="1"/>
    </xf>
    <xf numFmtId="0" fontId="31" fillId="0" borderId="15" xfId="9" applyFont="1" applyBorder="1" applyAlignment="1">
      <alignment horizontal="left" wrapText="1"/>
    </xf>
    <xf numFmtId="0" fontId="0" fillId="0" borderId="16" xfId="0" applyBorder="1"/>
    <xf numFmtId="0" fontId="0" fillId="0" borderId="17" xfId="0" applyBorder="1"/>
    <xf numFmtId="0" fontId="31" fillId="0" borderId="13" xfId="9" applyFont="1" applyBorder="1" applyAlignment="1">
      <alignment horizontal="left" wrapText="1"/>
    </xf>
    <xf numFmtId="0" fontId="0" fillId="0" borderId="4" xfId="0" applyBorder="1"/>
    <xf numFmtId="0" fontId="0" fillId="0" borderId="14" xfId="0" applyBorder="1"/>
    <xf numFmtId="0" fontId="31" fillId="2" borderId="2" xfId="32" applyFill="1" applyBorder="1" applyAlignment="1" applyProtection="1">
      <alignment horizontal="left" vertical="top" wrapText="1"/>
      <protection locked="0"/>
    </xf>
    <xf numFmtId="0" fontId="31" fillId="2" borderId="2" xfId="32" applyFill="1" applyBorder="1" applyAlignment="1" applyProtection="1">
      <alignment wrapText="1"/>
      <protection locked="0"/>
    </xf>
    <xf numFmtId="0" fontId="28" fillId="0" borderId="9" xfId="14" applyFont="1" applyBorder="1" applyAlignment="1">
      <alignment horizontal="left"/>
    </xf>
    <xf numFmtId="0" fontId="28" fillId="0" borderId="6" xfId="14" applyFont="1" applyBorder="1" applyAlignment="1">
      <alignment horizontal="left"/>
    </xf>
    <xf numFmtId="0" fontId="28" fillId="0" borderId="8" xfId="14" applyFont="1" applyBorder="1" applyAlignment="1">
      <alignment horizontal="left"/>
    </xf>
    <xf numFmtId="0" fontId="28" fillId="2" borderId="9" xfId="14" applyFont="1" applyFill="1" applyBorder="1" applyAlignment="1" applyProtection="1">
      <alignment horizontal="left"/>
      <protection locked="0"/>
    </xf>
    <xf numFmtId="0" fontId="28" fillId="2" borderId="6" xfId="14" applyFont="1" applyFill="1" applyBorder="1" applyAlignment="1" applyProtection="1">
      <alignment horizontal="left"/>
      <protection locked="0"/>
    </xf>
    <xf numFmtId="0" fontId="28" fillId="2" borderId="8" xfId="14" applyFont="1" applyFill="1" applyBorder="1" applyAlignment="1" applyProtection="1">
      <alignment horizontal="left"/>
      <protection locked="0"/>
    </xf>
    <xf numFmtId="0" fontId="69" fillId="2" borderId="9" xfId="14" applyFont="1" applyFill="1" applyBorder="1" applyAlignment="1" applyProtection="1">
      <alignment horizontal="left"/>
      <protection locked="0"/>
    </xf>
    <xf numFmtId="0" fontId="69" fillId="2" borderId="6" xfId="14" applyFont="1" applyFill="1" applyBorder="1" applyAlignment="1" applyProtection="1">
      <alignment horizontal="left"/>
      <protection locked="0"/>
    </xf>
    <xf numFmtId="0" fontId="69" fillId="2" borderId="8" xfId="14" applyFont="1" applyFill="1" applyBorder="1" applyAlignment="1" applyProtection="1">
      <alignment horizontal="left"/>
      <protection locked="0"/>
    </xf>
  </cellXfs>
  <cellStyles count="301">
    <cellStyle name="Comma" xfId="1" builtinId="3"/>
    <cellStyle name="Comma 2" xfId="36" xr:uid="{00000000-0005-0000-0000-000001000000}"/>
    <cellStyle name="Comma 2 2" xfId="108" xr:uid="{00000000-0005-0000-0000-000002000000}"/>
    <cellStyle name="Comma 3" xfId="51" xr:uid="{00000000-0005-0000-0000-000003000000}"/>
    <cellStyle name="Comma 3 2" xfId="65" xr:uid="{00000000-0005-0000-0000-000004000000}"/>
    <cellStyle name="Comma 3 2 2" xfId="74" xr:uid="{00000000-0005-0000-0000-000005000000}"/>
    <cellStyle name="Comma 3 2 3" xfId="109" xr:uid="{00000000-0005-0000-0000-000006000000}"/>
    <cellStyle name="Comma 3 2 3 2" xfId="211" xr:uid="{00000000-0005-0000-0000-000007000000}"/>
    <cellStyle name="Comma 3 2 3 3" xfId="284" xr:uid="{00000000-0005-0000-0000-000008000000}"/>
    <cellStyle name="Comma 3 2 4" xfId="190" xr:uid="{00000000-0005-0000-0000-000009000000}"/>
    <cellStyle name="Comma 3 2 5" xfId="266" xr:uid="{00000000-0005-0000-0000-00000A000000}"/>
    <cellStyle name="Comma 3 3" xfId="71" xr:uid="{00000000-0005-0000-0000-00000B000000}"/>
    <cellStyle name="Comma 3 3 2" xfId="196" xr:uid="{00000000-0005-0000-0000-00000C000000}"/>
    <cellStyle name="Comma 3 3 3" xfId="271" xr:uid="{00000000-0005-0000-0000-00000D000000}"/>
    <cellStyle name="Comma 3 4" xfId="101" xr:uid="{00000000-0005-0000-0000-00000E000000}"/>
    <cellStyle name="Comma 3 4 2" xfId="208" xr:uid="{00000000-0005-0000-0000-00000F000000}"/>
    <cellStyle name="Comma 3 4 3" xfId="282" xr:uid="{00000000-0005-0000-0000-000010000000}"/>
    <cellStyle name="Comma 3 5" xfId="177" xr:uid="{00000000-0005-0000-0000-000011000000}"/>
    <cellStyle name="Comma 3 6" xfId="253" xr:uid="{00000000-0005-0000-0000-000012000000}"/>
    <cellStyle name="Comma 4" xfId="75" xr:uid="{00000000-0005-0000-0000-000013000000}"/>
    <cellStyle name="Comma 4 2" xfId="110" xr:uid="{00000000-0005-0000-0000-000014000000}"/>
    <cellStyle name="Comma 4 2 2" xfId="111" xr:uid="{00000000-0005-0000-0000-000015000000}"/>
    <cellStyle name="Comma 4 2 3" xfId="112" xr:uid="{00000000-0005-0000-0000-000016000000}"/>
    <cellStyle name="Comma 4 2 3 2" xfId="213" xr:uid="{00000000-0005-0000-0000-000017000000}"/>
    <cellStyle name="Comma 4 2 4" xfId="212" xr:uid="{00000000-0005-0000-0000-000018000000}"/>
    <cellStyle name="Comma 4 3" xfId="113" xr:uid="{00000000-0005-0000-0000-000019000000}"/>
    <cellStyle name="Comma 4 3 2" xfId="214" xr:uid="{00000000-0005-0000-0000-00001A000000}"/>
    <cellStyle name="Comma 4 4" xfId="114" xr:uid="{00000000-0005-0000-0000-00001B000000}"/>
    <cellStyle name="Comma 4 4 2" xfId="215" xr:uid="{00000000-0005-0000-0000-00001C000000}"/>
    <cellStyle name="Comma 4 5" xfId="115" xr:uid="{00000000-0005-0000-0000-00001D000000}"/>
    <cellStyle name="Comma 4 5 2" xfId="216" xr:uid="{00000000-0005-0000-0000-00001E000000}"/>
    <cellStyle name="Comma 4 6" xfId="116" xr:uid="{00000000-0005-0000-0000-00001F000000}"/>
    <cellStyle name="Comma 4 6 2" xfId="217" xr:uid="{00000000-0005-0000-0000-000020000000}"/>
    <cellStyle name="Comma 5" xfId="106" xr:uid="{00000000-0005-0000-0000-000021000000}"/>
    <cellStyle name="Comma 5 2" xfId="117" xr:uid="{00000000-0005-0000-0000-000022000000}"/>
    <cellStyle name="Comma 5 3" xfId="167" xr:uid="{00000000-0005-0000-0000-000023000000}"/>
    <cellStyle name="Comma 6" xfId="107" xr:uid="{00000000-0005-0000-0000-000024000000}"/>
    <cellStyle name="Comma0" xfId="2" xr:uid="{00000000-0005-0000-0000-000025000000}"/>
    <cellStyle name="Currency 2" xfId="118" xr:uid="{00000000-0005-0000-0000-000026000000}"/>
    <cellStyle name="Currency 2 2" xfId="119" xr:uid="{00000000-0005-0000-0000-000027000000}"/>
    <cellStyle name="Currency 2 2 2" xfId="120" xr:uid="{00000000-0005-0000-0000-000028000000}"/>
    <cellStyle name="Currency 2 2 2 2" xfId="220" xr:uid="{00000000-0005-0000-0000-000029000000}"/>
    <cellStyle name="Currency 2 2 3" xfId="219" xr:uid="{00000000-0005-0000-0000-00002A000000}"/>
    <cellStyle name="Currency 2 3" xfId="121" xr:uid="{00000000-0005-0000-0000-00002B000000}"/>
    <cellStyle name="Currency 2 3 2" xfId="221" xr:uid="{00000000-0005-0000-0000-00002C000000}"/>
    <cellStyle name="Currency 2 4" xfId="122" xr:uid="{00000000-0005-0000-0000-00002D000000}"/>
    <cellStyle name="Currency 2 4 2" xfId="222" xr:uid="{00000000-0005-0000-0000-00002E000000}"/>
    <cellStyle name="Currency 2 5" xfId="123" xr:uid="{00000000-0005-0000-0000-00002F000000}"/>
    <cellStyle name="Currency 2 5 2" xfId="223" xr:uid="{00000000-0005-0000-0000-000030000000}"/>
    <cellStyle name="Currency 2 6" xfId="124" xr:uid="{00000000-0005-0000-0000-000031000000}"/>
    <cellStyle name="Currency 2 6 2" xfId="224" xr:uid="{00000000-0005-0000-0000-000032000000}"/>
    <cellStyle name="Currency 2 7" xfId="218" xr:uid="{00000000-0005-0000-0000-000033000000}"/>
    <cellStyle name="Currency 3" xfId="125" xr:uid="{00000000-0005-0000-0000-000034000000}"/>
    <cellStyle name="Currency 4" xfId="126" xr:uid="{00000000-0005-0000-0000-000035000000}"/>
    <cellStyle name="Currency 5" xfId="127" xr:uid="{00000000-0005-0000-0000-000036000000}"/>
    <cellStyle name="Currency0" xfId="3" xr:uid="{00000000-0005-0000-0000-000037000000}"/>
    <cellStyle name="Date" xfId="4" xr:uid="{00000000-0005-0000-0000-000038000000}"/>
    <cellStyle name="Fixed" xfId="5" xr:uid="{00000000-0005-0000-0000-000039000000}"/>
    <cellStyle name="Heading 1" xfId="6" builtinId="16" customBuiltin="1"/>
    <cellStyle name="Heading 1 2" xfId="37" xr:uid="{00000000-0005-0000-0000-00003B000000}"/>
    <cellStyle name="Heading 1 3" xfId="76" xr:uid="{00000000-0005-0000-0000-00003C000000}"/>
    <cellStyle name="Heading 2" xfId="7" builtinId="17" customBuiltin="1"/>
    <cellStyle name="Heading 2 2" xfId="38" xr:uid="{00000000-0005-0000-0000-00003E000000}"/>
    <cellStyle name="Heading 2 3" xfId="77" xr:uid="{00000000-0005-0000-0000-00003F000000}"/>
    <cellStyle name="Hyperlink" xfId="8" builtinId="8"/>
    <cellStyle name="Hyperlink 2" xfId="78" xr:uid="{00000000-0005-0000-0000-000041000000}"/>
    <cellStyle name="Hyperlink 3" xfId="79" xr:uid="{00000000-0005-0000-0000-000042000000}"/>
    <cellStyle name="Normal" xfId="0" builtinId="0"/>
    <cellStyle name="Normal 10" xfId="128" xr:uid="{00000000-0005-0000-0000-000044000000}"/>
    <cellStyle name="Normal 10 2 2" xfId="299" xr:uid="{3D139509-30F5-434D-88E5-24929454E370}"/>
    <cellStyle name="Normal 11" xfId="100" xr:uid="{00000000-0005-0000-0000-000045000000}"/>
    <cellStyle name="Normal 12" xfId="297" xr:uid="{999E17A6-166F-44A7-8D3F-0720A6A74CA9}"/>
    <cellStyle name="Normal 13" xfId="298" xr:uid="{21432713-EFAB-48A2-9F6E-D8C88BD6F9DB}"/>
    <cellStyle name="Normal 14" xfId="300" xr:uid="{BE00D829-1BD6-42A9-B0CB-E1CFC7FA030D}"/>
    <cellStyle name="Normal 2" xfId="33" xr:uid="{00000000-0005-0000-0000-000046000000}"/>
    <cellStyle name="Normal 2 2" xfId="80" xr:uid="{00000000-0005-0000-0000-000047000000}"/>
    <cellStyle name="Normal 2 2 2" xfId="81" xr:uid="{00000000-0005-0000-0000-000048000000}"/>
    <cellStyle name="Normal 2 2 2 2" xfId="129" xr:uid="{00000000-0005-0000-0000-000049000000}"/>
    <cellStyle name="Normal 2 2 2 2 2" xfId="225" xr:uid="{00000000-0005-0000-0000-00004A000000}"/>
    <cellStyle name="Normal 2 2 2 2 3" xfId="285" xr:uid="{00000000-0005-0000-0000-00004B000000}"/>
    <cellStyle name="Normal 2 2 2 3" xfId="130" xr:uid="{00000000-0005-0000-0000-00004C000000}"/>
    <cellStyle name="Normal 2 2 2 3 2" xfId="226" xr:uid="{00000000-0005-0000-0000-00004D000000}"/>
    <cellStyle name="Normal 2 2 2 3 3" xfId="286" xr:uid="{00000000-0005-0000-0000-00004E000000}"/>
    <cellStyle name="Normal 2 2 2 4" xfId="199" xr:uid="{00000000-0005-0000-0000-00004F000000}"/>
    <cellStyle name="Normal 2 2 2 5" xfId="273" xr:uid="{00000000-0005-0000-0000-000050000000}"/>
    <cellStyle name="Normal 2 2 3" xfId="131" xr:uid="{00000000-0005-0000-0000-000051000000}"/>
    <cellStyle name="Normal 2 2 3 2" xfId="227" xr:uid="{00000000-0005-0000-0000-000052000000}"/>
    <cellStyle name="Normal 2 2 3 3" xfId="287" xr:uid="{00000000-0005-0000-0000-000053000000}"/>
    <cellStyle name="Normal 2 2 4" xfId="132" xr:uid="{00000000-0005-0000-0000-000054000000}"/>
    <cellStyle name="Normal 2 2 4 2" xfId="228" xr:uid="{00000000-0005-0000-0000-000055000000}"/>
    <cellStyle name="Normal 2 2 4 3" xfId="288" xr:uid="{00000000-0005-0000-0000-000056000000}"/>
    <cellStyle name="Normal 2 2 5" xfId="198" xr:uid="{00000000-0005-0000-0000-000057000000}"/>
    <cellStyle name="Normal 2 2 6" xfId="272" xr:uid="{00000000-0005-0000-0000-000058000000}"/>
    <cellStyle name="Normal 2 3" xfId="133" xr:uid="{00000000-0005-0000-0000-000059000000}"/>
    <cellStyle name="Normal 3" xfId="34" xr:uid="{00000000-0005-0000-0000-00005A000000}"/>
    <cellStyle name="Normal 3 2" xfId="82" xr:uid="{00000000-0005-0000-0000-00005B000000}"/>
    <cellStyle name="Normal 3 2 2" xfId="134" xr:uid="{00000000-0005-0000-0000-00005C000000}"/>
    <cellStyle name="Normal 3 3" xfId="83" xr:uid="{00000000-0005-0000-0000-00005D000000}"/>
    <cellStyle name="Normal 3 3 2" xfId="135" xr:uid="{00000000-0005-0000-0000-00005E000000}"/>
    <cellStyle name="Normal 3 3 2 2" xfId="229" xr:uid="{00000000-0005-0000-0000-00005F000000}"/>
    <cellStyle name="Normal 3 3 2 3" xfId="289" xr:uid="{00000000-0005-0000-0000-000060000000}"/>
    <cellStyle name="Normal 3 3 3" xfId="136" xr:uid="{00000000-0005-0000-0000-000061000000}"/>
    <cellStyle name="Normal 3 3 3 2" xfId="230" xr:uid="{00000000-0005-0000-0000-000062000000}"/>
    <cellStyle name="Normal 3 3 3 3" xfId="290" xr:uid="{00000000-0005-0000-0000-000063000000}"/>
    <cellStyle name="Normal 3 3 4" xfId="200" xr:uid="{00000000-0005-0000-0000-000064000000}"/>
    <cellStyle name="Normal 3 3 5" xfId="274" xr:uid="{00000000-0005-0000-0000-000065000000}"/>
    <cellStyle name="Normal 3 4" xfId="84" xr:uid="{00000000-0005-0000-0000-000066000000}"/>
    <cellStyle name="Normal 3 4 2" xfId="137" xr:uid="{00000000-0005-0000-0000-000067000000}"/>
    <cellStyle name="Normal 3 4 2 2" xfId="231" xr:uid="{00000000-0005-0000-0000-000068000000}"/>
    <cellStyle name="Normal 3 4 2 3" xfId="291" xr:uid="{00000000-0005-0000-0000-000069000000}"/>
    <cellStyle name="Normal 3 4 3" xfId="138" xr:uid="{00000000-0005-0000-0000-00006A000000}"/>
    <cellStyle name="Normal 3 4 3 2" xfId="232" xr:uid="{00000000-0005-0000-0000-00006B000000}"/>
    <cellStyle name="Normal 3 4 3 3" xfId="292" xr:uid="{00000000-0005-0000-0000-00006C000000}"/>
    <cellStyle name="Normal 3 4 4" xfId="201" xr:uid="{00000000-0005-0000-0000-00006D000000}"/>
    <cellStyle name="Normal 3 4 5" xfId="275" xr:uid="{00000000-0005-0000-0000-00006E000000}"/>
    <cellStyle name="Normal 3 5" xfId="85" xr:uid="{00000000-0005-0000-0000-00006F000000}"/>
    <cellStyle name="Normal 3 6" xfId="73" xr:uid="{00000000-0005-0000-0000-000070000000}"/>
    <cellStyle name="Normal 4" xfId="35" xr:uid="{00000000-0005-0000-0000-000071000000}"/>
    <cellStyle name="Normal 4 10" xfId="244" xr:uid="{00000000-0005-0000-0000-000072000000}"/>
    <cellStyle name="Normal 4 2" xfId="42" xr:uid="{00000000-0005-0000-0000-000073000000}"/>
    <cellStyle name="Normal 4 2 2" xfId="45" xr:uid="{00000000-0005-0000-0000-000074000000}"/>
    <cellStyle name="Normal 4 2 2 2" xfId="57" xr:uid="{00000000-0005-0000-0000-000075000000}"/>
    <cellStyle name="Normal 4 2 2 2 2" xfId="105" xr:uid="{00000000-0005-0000-0000-000076000000}"/>
    <cellStyle name="Normal 4 2 2 2 2 2" xfId="210" xr:uid="{00000000-0005-0000-0000-000077000000}"/>
    <cellStyle name="Normal 4 2 2 2 2 3" xfId="283" xr:uid="{00000000-0005-0000-0000-000078000000}"/>
    <cellStyle name="Normal 4 2 2 2 3" xfId="182" xr:uid="{00000000-0005-0000-0000-000079000000}"/>
    <cellStyle name="Normal 4 2 2 2 4" xfId="258" xr:uid="{00000000-0005-0000-0000-00007A000000}"/>
    <cellStyle name="Normal 4 2 2 3" xfId="88" xr:uid="{00000000-0005-0000-0000-00007B000000}"/>
    <cellStyle name="Normal 4 2 2 3 2" xfId="204" xr:uid="{00000000-0005-0000-0000-00007C000000}"/>
    <cellStyle name="Normal 4 2 2 3 3" xfId="278" xr:uid="{00000000-0005-0000-0000-00007D000000}"/>
    <cellStyle name="Normal 4 2 2 4" xfId="171" xr:uid="{00000000-0005-0000-0000-00007E000000}"/>
    <cellStyle name="Normal 4 2 2 5" xfId="247" xr:uid="{00000000-0005-0000-0000-00007F000000}"/>
    <cellStyle name="Normal 4 2 3" xfId="48" xr:uid="{00000000-0005-0000-0000-000080000000}"/>
    <cellStyle name="Normal 4 2 3 2" xfId="59" xr:uid="{00000000-0005-0000-0000-000081000000}"/>
    <cellStyle name="Normal 4 2 3 2 2" xfId="184" xr:uid="{00000000-0005-0000-0000-000082000000}"/>
    <cellStyle name="Normal 4 2 3 2 3" xfId="260" xr:uid="{00000000-0005-0000-0000-000083000000}"/>
    <cellStyle name="Normal 4 2 3 3" xfId="89" xr:uid="{00000000-0005-0000-0000-000084000000}"/>
    <cellStyle name="Normal 4 2 3 3 2" xfId="205" xr:uid="{00000000-0005-0000-0000-000085000000}"/>
    <cellStyle name="Normal 4 2 3 3 3" xfId="279" xr:uid="{00000000-0005-0000-0000-000086000000}"/>
    <cellStyle name="Normal 4 2 3 4" xfId="174" xr:uid="{00000000-0005-0000-0000-000087000000}"/>
    <cellStyle name="Normal 4 2 3 5" xfId="250" xr:uid="{00000000-0005-0000-0000-000088000000}"/>
    <cellStyle name="Normal 4 2 4" xfId="62" xr:uid="{00000000-0005-0000-0000-000089000000}"/>
    <cellStyle name="Normal 4 2 4 2" xfId="87" xr:uid="{00000000-0005-0000-0000-00008A000000}"/>
    <cellStyle name="Normal 4 2 4 2 2" xfId="203" xr:uid="{00000000-0005-0000-0000-00008B000000}"/>
    <cellStyle name="Normal 4 2 4 2 3" xfId="277" xr:uid="{00000000-0005-0000-0000-00008C000000}"/>
    <cellStyle name="Normal 4 2 4 3" xfId="187" xr:uid="{00000000-0005-0000-0000-00008D000000}"/>
    <cellStyle name="Normal 4 2 4 4" xfId="263" xr:uid="{00000000-0005-0000-0000-00008E000000}"/>
    <cellStyle name="Normal 4 2 5" xfId="54" xr:uid="{00000000-0005-0000-0000-00008F000000}"/>
    <cellStyle name="Normal 4 2 5 2" xfId="179" xr:uid="{00000000-0005-0000-0000-000090000000}"/>
    <cellStyle name="Normal 4 2 5 3" xfId="255" xr:uid="{00000000-0005-0000-0000-000091000000}"/>
    <cellStyle name="Normal 4 2 6" xfId="68" xr:uid="{00000000-0005-0000-0000-000092000000}"/>
    <cellStyle name="Normal 4 2 6 2" xfId="193" xr:uid="{00000000-0005-0000-0000-000093000000}"/>
    <cellStyle name="Normal 4 2 6 3" xfId="268" xr:uid="{00000000-0005-0000-0000-000094000000}"/>
    <cellStyle name="Normal 4 2 7" xfId="169" xr:uid="{00000000-0005-0000-0000-000095000000}"/>
    <cellStyle name="Normal 4 2 8" xfId="245" xr:uid="{00000000-0005-0000-0000-000096000000}"/>
    <cellStyle name="Normal 4 3" xfId="44" xr:uid="{00000000-0005-0000-0000-000097000000}"/>
    <cellStyle name="Normal 4 3 2" xfId="55" xr:uid="{00000000-0005-0000-0000-000098000000}"/>
    <cellStyle name="Normal 4 3 2 2" xfId="91" xr:uid="{00000000-0005-0000-0000-000099000000}"/>
    <cellStyle name="Normal 4 3 2 3" xfId="180" xr:uid="{00000000-0005-0000-0000-00009A000000}"/>
    <cellStyle name="Normal 4 3 2 4" xfId="256" xr:uid="{00000000-0005-0000-0000-00009B000000}"/>
    <cellStyle name="Normal 4 3 3" xfId="90" xr:uid="{00000000-0005-0000-0000-00009C000000}"/>
    <cellStyle name="Normal 4 3 3 2" xfId="206" xr:uid="{00000000-0005-0000-0000-00009D000000}"/>
    <cellStyle name="Normal 4 3 3 3" xfId="280" xr:uid="{00000000-0005-0000-0000-00009E000000}"/>
    <cellStyle name="Normal 4 3 4" xfId="139" xr:uid="{00000000-0005-0000-0000-00009F000000}"/>
    <cellStyle name="Normal 4 3 4 2" xfId="233" xr:uid="{00000000-0005-0000-0000-0000A0000000}"/>
    <cellStyle name="Normal 4 3 4 3" xfId="293" xr:uid="{00000000-0005-0000-0000-0000A1000000}"/>
    <cellStyle name="Normal 4 3 5" xfId="140" xr:uid="{00000000-0005-0000-0000-0000A2000000}"/>
    <cellStyle name="Normal 4 3 5 2" xfId="234" xr:uid="{00000000-0005-0000-0000-0000A3000000}"/>
    <cellStyle name="Normal 4 3 5 3" xfId="294" xr:uid="{00000000-0005-0000-0000-0000A4000000}"/>
    <cellStyle name="Normal 4 3 6" xfId="170" xr:uid="{00000000-0005-0000-0000-0000A5000000}"/>
    <cellStyle name="Normal 4 3 7" xfId="246" xr:uid="{00000000-0005-0000-0000-0000A6000000}"/>
    <cellStyle name="Normal 4 4" xfId="47" xr:uid="{00000000-0005-0000-0000-0000A7000000}"/>
    <cellStyle name="Normal 4 4 2" xfId="56" xr:uid="{00000000-0005-0000-0000-0000A8000000}"/>
    <cellStyle name="Normal 4 4 2 2" xfId="181" xr:uid="{00000000-0005-0000-0000-0000A9000000}"/>
    <cellStyle name="Normal 4 4 2 3" xfId="257" xr:uid="{00000000-0005-0000-0000-0000AA000000}"/>
    <cellStyle name="Normal 4 4 3" xfId="92" xr:uid="{00000000-0005-0000-0000-0000AB000000}"/>
    <cellStyle name="Normal 4 4 4" xfId="173" xr:uid="{00000000-0005-0000-0000-0000AC000000}"/>
    <cellStyle name="Normal 4 4 5" xfId="249" xr:uid="{00000000-0005-0000-0000-0000AD000000}"/>
    <cellStyle name="Normal 4 5" xfId="58" xr:uid="{00000000-0005-0000-0000-0000AE000000}"/>
    <cellStyle name="Normal 4 5 2" xfId="86" xr:uid="{00000000-0005-0000-0000-0000AF000000}"/>
    <cellStyle name="Normal 4 5 2 2" xfId="202" xr:uid="{00000000-0005-0000-0000-0000B0000000}"/>
    <cellStyle name="Normal 4 5 2 3" xfId="276" xr:uid="{00000000-0005-0000-0000-0000B1000000}"/>
    <cellStyle name="Normal 4 5 3" xfId="183" xr:uid="{00000000-0005-0000-0000-0000B2000000}"/>
    <cellStyle name="Normal 4 5 4" xfId="259" xr:uid="{00000000-0005-0000-0000-0000B3000000}"/>
    <cellStyle name="Normal 4 6" xfId="61" xr:uid="{00000000-0005-0000-0000-0000B4000000}"/>
    <cellStyle name="Normal 4 6 2" xfId="186" xr:uid="{00000000-0005-0000-0000-0000B5000000}"/>
    <cellStyle name="Normal 4 6 3" xfId="262" xr:uid="{00000000-0005-0000-0000-0000B6000000}"/>
    <cellStyle name="Normal 4 7" xfId="53" xr:uid="{00000000-0005-0000-0000-0000B7000000}"/>
    <cellStyle name="Normal 4 7 2" xfId="178" xr:uid="{00000000-0005-0000-0000-0000B8000000}"/>
    <cellStyle name="Normal 4 7 3" xfId="254" xr:uid="{00000000-0005-0000-0000-0000B9000000}"/>
    <cellStyle name="Normal 4 8" xfId="67" xr:uid="{00000000-0005-0000-0000-0000BA000000}"/>
    <cellStyle name="Normal 4 8 2" xfId="192" xr:uid="{00000000-0005-0000-0000-0000BB000000}"/>
    <cellStyle name="Normal 4 8 3" xfId="267" xr:uid="{00000000-0005-0000-0000-0000BC000000}"/>
    <cellStyle name="Normal 4 9" xfId="168" xr:uid="{00000000-0005-0000-0000-0000BD000000}"/>
    <cellStyle name="Normal 5" xfId="46" xr:uid="{00000000-0005-0000-0000-0000BE000000}"/>
    <cellStyle name="Normal 5 2" xfId="49" xr:uid="{00000000-0005-0000-0000-0000BF000000}"/>
    <cellStyle name="Normal 5 2 2" xfId="63" xr:uid="{00000000-0005-0000-0000-0000C0000000}"/>
    <cellStyle name="Normal 5 2 2 2" xfId="188" xr:uid="{00000000-0005-0000-0000-0000C1000000}"/>
    <cellStyle name="Normal 5 2 2 3" xfId="264" xr:uid="{00000000-0005-0000-0000-0000C2000000}"/>
    <cellStyle name="Normal 5 2 3" xfId="94" xr:uid="{00000000-0005-0000-0000-0000C3000000}"/>
    <cellStyle name="Normal 5 2 4" xfId="175" xr:uid="{00000000-0005-0000-0000-0000C4000000}"/>
    <cellStyle name="Normal 5 2 5" xfId="251" xr:uid="{00000000-0005-0000-0000-0000C5000000}"/>
    <cellStyle name="Normal 5 3" xfId="60" xr:uid="{00000000-0005-0000-0000-0000C6000000}"/>
    <cellStyle name="Normal 5 3 2" xfId="93" xr:uid="{00000000-0005-0000-0000-0000C7000000}"/>
    <cellStyle name="Normal 5 3 2 2" xfId="207" xr:uid="{00000000-0005-0000-0000-0000C8000000}"/>
    <cellStyle name="Normal 5 3 2 3" xfId="281" xr:uid="{00000000-0005-0000-0000-0000C9000000}"/>
    <cellStyle name="Normal 5 3 3" xfId="185" xr:uid="{00000000-0005-0000-0000-0000CA000000}"/>
    <cellStyle name="Normal 5 3 4" xfId="261" xr:uid="{00000000-0005-0000-0000-0000CB000000}"/>
    <cellStyle name="Normal 5 4" xfId="69" xr:uid="{00000000-0005-0000-0000-0000CC000000}"/>
    <cellStyle name="Normal 5 4 2" xfId="194" xr:uid="{00000000-0005-0000-0000-0000CD000000}"/>
    <cellStyle name="Normal 5 4 3" xfId="269" xr:uid="{00000000-0005-0000-0000-0000CE000000}"/>
    <cellStyle name="Normal 5 5" xfId="141" xr:uid="{00000000-0005-0000-0000-0000CF000000}"/>
    <cellStyle name="Normal 5 5 2" xfId="235" xr:uid="{00000000-0005-0000-0000-0000D0000000}"/>
    <cellStyle name="Normal 5 5 3" xfId="295" xr:uid="{00000000-0005-0000-0000-0000D1000000}"/>
    <cellStyle name="Normal 5 6" xfId="172" xr:uid="{00000000-0005-0000-0000-0000D2000000}"/>
    <cellStyle name="Normal 5 7" xfId="248" xr:uid="{00000000-0005-0000-0000-0000D3000000}"/>
    <cellStyle name="Normal 6" xfId="50" xr:uid="{00000000-0005-0000-0000-0000D4000000}"/>
    <cellStyle name="Normal 6 2" xfId="64" xr:uid="{00000000-0005-0000-0000-0000D5000000}"/>
    <cellStyle name="Normal 6 2 2" xfId="95" xr:uid="{00000000-0005-0000-0000-0000D6000000}"/>
    <cellStyle name="Normal 6 2 3" xfId="142" xr:uid="{00000000-0005-0000-0000-0000D7000000}"/>
    <cellStyle name="Normal 6 2 3 2" xfId="236" xr:uid="{00000000-0005-0000-0000-0000D8000000}"/>
    <cellStyle name="Normal 6 2 3 3" xfId="296" xr:uid="{00000000-0005-0000-0000-0000D9000000}"/>
    <cellStyle name="Normal 6 2 4" xfId="189" xr:uid="{00000000-0005-0000-0000-0000DA000000}"/>
    <cellStyle name="Normal 6 2 5" xfId="265" xr:uid="{00000000-0005-0000-0000-0000DB000000}"/>
    <cellStyle name="Normal 6 3" xfId="70" xr:uid="{00000000-0005-0000-0000-0000DC000000}"/>
    <cellStyle name="Normal 6 3 2" xfId="195" xr:uid="{00000000-0005-0000-0000-0000DD000000}"/>
    <cellStyle name="Normal 6 3 3" xfId="270" xr:uid="{00000000-0005-0000-0000-0000DE000000}"/>
    <cellStyle name="Normal 6 4" xfId="176" xr:uid="{00000000-0005-0000-0000-0000DF000000}"/>
    <cellStyle name="Normal 6 5" xfId="252" xr:uid="{00000000-0005-0000-0000-0000E0000000}"/>
    <cellStyle name="Normal 7" xfId="52" xr:uid="{00000000-0005-0000-0000-0000E1000000}"/>
    <cellStyle name="Normal 7 2" xfId="66" xr:uid="{00000000-0005-0000-0000-0000E2000000}"/>
    <cellStyle name="Normal 7 2 2" xfId="191" xr:uid="{00000000-0005-0000-0000-0000E3000000}"/>
    <cellStyle name="Normal 7 3" xfId="96" xr:uid="{00000000-0005-0000-0000-0000E4000000}"/>
    <cellStyle name="Normal 7 4" xfId="143" xr:uid="{00000000-0005-0000-0000-0000E5000000}"/>
    <cellStyle name="Normal 7 5" xfId="144" xr:uid="{00000000-0005-0000-0000-0000E6000000}"/>
    <cellStyle name="Normal 8" xfId="72" xr:uid="{00000000-0005-0000-0000-0000E7000000}"/>
    <cellStyle name="Normal 8 2" xfId="102" xr:uid="{00000000-0005-0000-0000-0000E8000000}"/>
    <cellStyle name="Normal 8 2 2" xfId="145" xr:uid="{00000000-0005-0000-0000-0000E9000000}"/>
    <cellStyle name="Normal 8 2 2 2" xfId="237" xr:uid="{00000000-0005-0000-0000-0000EA000000}"/>
    <cellStyle name="Normal 8 2 3" xfId="209" xr:uid="{00000000-0005-0000-0000-0000EB000000}"/>
    <cellStyle name="Normal 8 3" xfId="146" xr:uid="{00000000-0005-0000-0000-0000EC000000}"/>
    <cellStyle name="Normal 8 3 2" xfId="238" xr:uid="{00000000-0005-0000-0000-0000ED000000}"/>
    <cellStyle name="Normal 8 4" xfId="147" xr:uid="{00000000-0005-0000-0000-0000EE000000}"/>
    <cellStyle name="Normal 8 4 2" xfId="239" xr:uid="{00000000-0005-0000-0000-0000EF000000}"/>
    <cellStyle name="Normal 8 5" xfId="148" xr:uid="{00000000-0005-0000-0000-0000F0000000}"/>
    <cellStyle name="Normal 8 5 2" xfId="240" xr:uid="{00000000-0005-0000-0000-0000F1000000}"/>
    <cellStyle name="Normal 8 6" xfId="149" xr:uid="{00000000-0005-0000-0000-0000F2000000}"/>
    <cellStyle name="Normal 8 6 2" xfId="241" xr:uid="{00000000-0005-0000-0000-0000F3000000}"/>
    <cellStyle name="Normal 8 7" xfId="197" xr:uid="{00000000-0005-0000-0000-0000F4000000}"/>
    <cellStyle name="Normal 9" xfId="103" xr:uid="{00000000-0005-0000-0000-0000F5000000}"/>
    <cellStyle name="Normal 9 2" xfId="104" xr:uid="{00000000-0005-0000-0000-0000F6000000}"/>
    <cellStyle name="Normal 9 2 2" xfId="150" xr:uid="{00000000-0005-0000-0000-0000F7000000}"/>
    <cellStyle name="Normal 9 2 2 2" xfId="242" xr:uid="{00000000-0005-0000-0000-0000F8000000}"/>
    <cellStyle name="Normal 9 3" xfId="151" xr:uid="{00000000-0005-0000-0000-0000F9000000}"/>
    <cellStyle name="Normal 9 3 2" xfId="243" xr:uid="{00000000-0005-0000-0000-0000FA000000}"/>
    <cellStyle name="Normal 9 4" xfId="166" xr:uid="{00000000-0005-0000-0000-0000FB000000}"/>
    <cellStyle name="Normal_Att HE-14-Cash" xfId="9" xr:uid="{00000000-0005-0000-0000-0000FC000000}"/>
    <cellStyle name="Normal_Att20" xfId="41" xr:uid="{00000000-0005-0000-0000-0000FD000000}"/>
    <cellStyle name="Normal_Att22 Cash" xfId="43" xr:uid="{00000000-0005-0000-0000-0000FE000000}"/>
    <cellStyle name="Normal_Att9" xfId="10" xr:uid="{00000000-0005-0000-0000-0000FF000000}"/>
    <cellStyle name="Normal_Att9 Enterprise" xfId="11" xr:uid="{00000000-0005-0000-0000-000000010000}"/>
    <cellStyle name="Normal_Book2" xfId="12" xr:uid="{00000000-0005-0000-0000-000001010000}"/>
    <cellStyle name="Normal_Certification tab (version 2) 2" xfId="32" xr:uid="{00000000-0005-0000-0000-000002010000}"/>
    <cellStyle name="Normal_Property, Plant &amp; Equipment" xfId="13" xr:uid="{00000000-0005-0000-0000-000003010000}"/>
    <cellStyle name="Normal_Receivables" xfId="14" xr:uid="{00000000-0005-0000-0000-000004010000}"/>
    <cellStyle name="Normal_Sheet1" xfId="31" xr:uid="{00000000-0005-0000-0000-000005010000}"/>
    <cellStyle name="Normal_Sheet2" xfId="15" xr:uid="{00000000-0005-0000-0000-000006010000}"/>
    <cellStyle name="Normal_Tab 3-Capital Assets" xfId="16" xr:uid="{00000000-0005-0000-0000-000007010000}"/>
    <cellStyle name="Number0DecimalStyle" xfId="17" xr:uid="{00000000-0005-0000-0000-000008010000}"/>
    <cellStyle name="Number0DecimalStyle 2" xfId="152" xr:uid="{00000000-0005-0000-0000-000009010000}"/>
    <cellStyle name="Number10DecimalStyle" xfId="18" xr:uid="{00000000-0005-0000-0000-00000A010000}"/>
    <cellStyle name="Number10DecimalStyle 2" xfId="153" xr:uid="{00000000-0005-0000-0000-00000B010000}"/>
    <cellStyle name="Number1DecimalStyle" xfId="19" xr:uid="{00000000-0005-0000-0000-00000C010000}"/>
    <cellStyle name="Number1DecimalStyle 2" xfId="154" xr:uid="{00000000-0005-0000-0000-00000D010000}"/>
    <cellStyle name="Number2DecimalStyle" xfId="20" xr:uid="{00000000-0005-0000-0000-00000E010000}"/>
    <cellStyle name="Number2DecimalStyle 2" xfId="155" xr:uid="{00000000-0005-0000-0000-00000F010000}"/>
    <cellStyle name="Number3DecimalStyle" xfId="21" xr:uid="{00000000-0005-0000-0000-000010010000}"/>
    <cellStyle name="Number3DecimalStyle 2" xfId="156" xr:uid="{00000000-0005-0000-0000-000011010000}"/>
    <cellStyle name="Number4DecimalStyle" xfId="22" xr:uid="{00000000-0005-0000-0000-000012010000}"/>
    <cellStyle name="Number4DecimalStyle 2" xfId="157" xr:uid="{00000000-0005-0000-0000-000013010000}"/>
    <cellStyle name="Number5DecimalStyle" xfId="23" xr:uid="{00000000-0005-0000-0000-000014010000}"/>
    <cellStyle name="Number5DecimalStyle 2" xfId="158" xr:uid="{00000000-0005-0000-0000-000015010000}"/>
    <cellStyle name="Number6DecimalStyle" xfId="24" xr:uid="{00000000-0005-0000-0000-000016010000}"/>
    <cellStyle name="Number6DecimalStyle 2" xfId="159" xr:uid="{00000000-0005-0000-0000-000017010000}"/>
    <cellStyle name="Number7DecimalStyle" xfId="25" xr:uid="{00000000-0005-0000-0000-000018010000}"/>
    <cellStyle name="Number7DecimalStyle 2" xfId="160" xr:uid="{00000000-0005-0000-0000-000019010000}"/>
    <cellStyle name="Number8DecimalStyle" xfId="26" xr:uid="{00000000-0005-0000-0000-00001A010000}"/>
    <cellStyle name="Number8DecimalStyle 2" xfId="161" xr:uid="{00000000-0005-0000-0000-00001B010000}"/>
    <cellStyle name="Number9DecimalStyle" xfId="27" xr:uid="{00000000-0005-0000-0000-00001C010000}"/>
    <cellStyle name="Number9DecimalStyle 2" xfId="162" xr:uid="{00000000-0005-0000-0000-00001D010000}"/>
    <cellStyle name="Percent" xfId="28" builtinId="5"/>
    <cellStyle name="Percent 2" xfId="39" xr:uid="{00000000-0005-0000-0000-00001F010000}"/>
    <cellStyle name="Percent 2 2" xfId="163" xr:uid="{00000000-0005-0000-0000-000020010000}"/>
    <cellStyle name="Percent 3" xfId="97" xr:uid="{00000000-0005-0000-0000-000021010000}"/>
    <cellStyle name="Percent 3 2" xfId="164" xr:uid="{00000000-0005-0000-0000-000022010000}"/>
    <cellStyle name="Style 1" xfId="98" xr:uid="{00000000-0005-0000-0000-000023010000}"/>
    <cellStyle name="TextStyle" xfId="29" xr:uid="{00000000-0005-0000-0000-000024010000}"/>
    <cellStyle name="TextStyle 2" xfId="165" xr:uid="{00000000-0005-0000-0000-000025010000}"/>
    <cellStyle name="Total" xfId="30" builtinId="25" customBuiltin="1"/>
    <cellStyle name="Total 2" xfId="40" xr:uid="{00000000-0005-0000-0000-000027010000}"/>
    <cellStyle name="Total 3" xfId="99" xr:uid="{00000000-0005-0000-0000-000028010000}"/>
  </cellStyles>
  <dxfs count="20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f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1" defaultTableStyle="TableStyleMedium9" defaultPivotStyle="PivotStyleLight16">
    <tableStyle name="Invisible" pivot="0" table="0" count="0" xr9:uid="{5DF7FF57-3606-4529-9137-3A21D3176A18}"/>
  </tableStyles>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35</xdr:row>
          <xdr:rowOff>19050</xdr:rowOff>
        </xdr:from>
        <xdr:to>
          <xdr:col>10</xdr:col>
          <xdr:colOff>314325</xdr:colOff>
          <xdr:row>36</xdr:row>
          <xdr:rowOff>114300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1500-000001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19050</xdr:rowOff>
        </xdr:from>
        <xdr:to>
          <xdr:col>10</xdr:col>
          <xdr:colOff>314325</xdr:colOff>
          <xdr:row>39</xdr:row>
          <xdr:rowOff>104775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1500-000002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314325</xdr:colOff>
          <xdr:row>42</xdr:row>
          <xdr:rowOff>104775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1500-000003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45</xdr:row>
          <xdr:rowOff>104775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1500-000004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xdr:rowOff>
        </xdr:from>
        <xdr:to>
          <xdr:col>10</xdr:col>
          <xdr:colOff>314325</xdr:colOff>
          <xdr:row>50</xdr:row>
          <xdr:rowOff>114300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1500-000005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19050</xdr:rowOff>
        </xdr:from>
        <xdr:to>
          <xdr:col>10</xdr:col>
          <xdr:colOff>314325</xdr:colOff>
          <xdr:row>53</xdr:row>
          <xdr:rowOff>104775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1500-000006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19050</xdr:rowOff>
        </xdr:from>
        <xdr:to>
          <xdr:col>10</xdr:col>
          <xdr:colOff>314325</xdr:colOff>
          <xdr:row>56</xdr:row>
          <xdr:rowOff>104775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1500-000007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19050</xdr:rowOff>
        </xdr:from>
        <xdr:to>
          <xdr:col>10</xdr:col>
          <xdr:colOff>314325</xdr:colOff>
          <xdr:row>59</xdr:row>
          <xdr:rowOff>104775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1500-0000080801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0.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sheetPr>
  <dimension ref="A1:L1149"/>
  <sheetViews>
    <sheetView topLeftCell="A30" workbookViewId="0">
      <selection activeCell="C44" sqref="C44"/>
    </sheetView>
  </sheetViews>
  <sheetFormatPr defaultColWidth="10.28515625" defaultRowHeight="12.75"/>
  <cols>
    <col min="1" max="2" width="18.7109375" customWidth="1"/>
    <col min="3" max="3" width="32.85546875" bestFit="1" customWidth="1"/>
    <col min="4" max="5" width="9.7109375"/>
    <col min="6" max="6" width="39.5703125" bestFit="1" customWidth="1"/>
    <col min="7" max="7" width="11.140625" bestFit="1" customWidth="1"/>
    <col min="8" max="8" width="31.5703125" bestFit="1" customWidth="1"/>
  </cols>
  <sheetData>
    <row r="1" spans="1:12" ht="14.25" thickTop="1" thickBot="1">
      <c r="A1" s="643" t="s">
        <v>1008</v>
      </c>
      <c r="B1" s="644" t="s">
        <v>1009</v>
      </c>
      <c r="C1" s="644" t="s">
        <v>1010</v>
      </c>
      <c r="I1" s="989" t="s">
        <v>3420</v>
      </c>
      <c r="J1" s="989"/>
      <c r="K1" s="989"/>
      <c r="L1" s="989"/>
    </row>
    <row r="2" spans="1:12" ht="14.25" thickTop="1" thickBot="1">
      <c r="A2" t="s">
        <v>1011</v>
      </c>
      <c r="B2">
        <v>1000</v>
      </c>
      <c r="C2" t="s">
        <v>1012</v>
      </c>
    </row>
    <row r="3" spans="1:12">
      <c r="A3" t="s">
        <v>1013</v>
      </c>
      <c r="B3">
        <v>2001</v>
      </c>
      <c r="C3" t="s">
        <v>1014</v>
      </c>
      <c r="F3" s="950" t="s">
        <v>3421</v>
      </c>
      <c r="G3" s="951" t="s">
        <v>1008</v>
      </c>
      <c r="H3" s="952" t="s">
        <v>1010</v>
      </c>
    </row>
    <row r="4" spans="1:12">
      <c r="A4" t="s">
        <v>1015</v>
      </c>
      <c r="B4">
        <v>2002</v>
      </c>
      <c r="C4" t="s">
        <v>1016</v>
      </c>
      <c r="F4" s="953" t="s">
        <v>3422</v>
      </c>
      <c r="G4" s="954" t="s">
        <v>1011</v>
      </c>
      <c r="H4" s="955" t="s">
        <v>1012</v>
      </c>
    </row>
    <row r="5" spans="1:12">
      <c r="A5" t="s">
        <v>1017</v>
      </c>
      <c r="B5">
        <v>2003</v>
      </c>
      <c r="C5" t="s">
        <v>1018</v>
      </c>
      <c r="F5" s="953" t="s">
        <v>3423</v>
      </c>
      <c r="G5" t="s">
        <v>2682</v>
      </c>
      <c r="H5" s="955" t="s">
        <v>2683</v>
      </c>
    </row>
    <row r="6" spans="1:12">
      <c r="A6" t="s">
        <v>1019</v>
      </c>
      <c r="B6">
        <v>2004</v>
      </c>
      <c r="C6" t="s">
        <v>1020</v>
      </c>
      <c r="F6" s="953" t="s">
        <v>3424</v>
      </c>
      <c r="G6" s="954" t="s">
        <v>3425</v>
      </c>
      <c r="H6" s="955" t="s">
        <v>3426</v>
      </c>
    </row>
    <row r="7" spans="1:12" ht="13.5" thickBot="1">
      <c r="A7" t="s">
        <v>1021</v>
      </c>
      <c r="B7">
        <v>2005</v>
      </c>
      <c r="C7" t="s">
        <v>1022</v>
      </c>
      <c r="F7" s="956" t="s">
        <v>3648</v>
      </c>
      <c r="G7" s="978" t="s">
        <v>3649</v>
      </c>
      <c r="H7" s="957" t="s">
        <v>3650</v>
      </c>
    </row>
    <row r="8" spans="1:12">
      <c r="A8" t="s">
        <v>3649</v>
      </c>
      <c r="B8">
        <v>2006</v>
      </c>
      <c r="C8" t="s">
        <v>3650</v>
      </c>
    </row>
    <row r="9" spans="1:12">
      <c r="A9" t="s">
        <v>3203</v>
      </c>
      <c r="B9">
        <v>2009</v>
      </c>
      <c r="C9" t="s">
        <v>3204</v>
      </c>
    </row>
    <row r="10" spans="1:12">
      <c r="A10" t="s">
        <v>1023</v>
      </c>
      <c r="B10">
        <v>2010</v>
      </c>
      <c r="C10" t="s">
        <v>1024</v>
      </c>
    </row>
    <row r="11" spans="1:12">
      <c r="A11" t="s">
        <v>1025</v>
      </c>
      <c r="B11">
        <v>2011</v>
      </c>
      <c r="C11" t="s">
        <v>1026</v>
      </c>
    </row>
    <row r="12" spans="1:12">
      <c r="A12" t="s">
        <v>1027</v>
      </c>
      <c r="B12">
        <v>2012</v>
      </c>
      <c r="C12" t="s">
        <v>1028</v>
      </c>
    </row>
    <row r="13" spans="1:12">
      <c r="A13" t="s">
        <v>1029</v>
      </c>
      <c r="B13">
        <v>2013</v>
      </c>
      <c r="C13" t="s">
        <v>1030</v>
      </c>
    </row>
    <row r="14" spans="1:12">
      <c r="A14" t="s">
        <v>3427</v>
      </c>
      <c r="B14">
        <v>2014</v>
      </c>
      <c r="C14" t="s">
        <v>3428</v>
      </c>
    </row>
    <row r="15" spans="1:12">
      <c r="A15" t="s">
        <v>3025</v>
      </c>
      <c r="B15">
        <v>2017</v>
      </c>
      <c r="C15" t="s">
        <v>3026</v>
      </c>
    </row>
    <row r="16" spans="1:12">
      <c r="A16" t="s">
        <v>3027</v>
      </c>
      <c r="B16">
        <v>2018</v>
      </c>
      <c r="C16" t="s">
        <v>3028</v>
      </c>
    </row>
    <row r="17" spans="1:3">
      <c r="A17" t="s">
        <v>3029</v>
      </c>
      <c r="B17">
        <v>2019</v>
      </c>
      <c r="C17" t="s">
        <v>3030</v>
      </c>
    </row>
    <row r="18" spans="1:3">
      <c r="A18" t="s">
        <v>1031</v>
      </c>
      <c r="B18">
        <v>2020</v>
      </c>
      <c r="C18" t="s">
        <v>1032</v>
      </c>
    </row>
    <row r="19" spans="1:3">
      <c r="A19" t="s">
        <v>1033</v>
      </c>
      <c r="B19">
        <v>2021</v>
      </c>
      <c r="C19" t="s">
        <v>1034</v>
      </c>
    </row>
    <row r="20" spans="1:3">
      <c r="A20" t="s">
        <v>1035</v>
      </c>
      <c r="B20">
        <v>2022</v>
      </c>
      <c r="C20" t="s">
        <v>1036</v>
      </c>
    </row>
    <row r="21" spans="1:3">
      <c r="A21" t="s">
        <v>1037</v>
      </c>
      <c r="B21">
        <v>2023</v>
      </c>
      <c r="C21" t="s">
        <v>1038</v>
      </c>
    </row>
    <row r="22" spans="1:3">
      <c r="A22" t="s">
        <v>1039</v>
      </c>
      <c r="B22">
        <v>2024</v>
      </c>
      <c r="C22" t="s">
        <v>1040</v>
      </c>
    </row>
    <row r="23" spans="1:3">
      <c r="A23" t="s">
        <v>3031</v>
      </c>
      <c r="B23">
        <v>2025</v>
      </c>
      <c r="C23" t="s">
        <v>3032</v>
      </c>
    </row>
    <row r="24" spans="1:3">
      <c r="A24" t="s">
        <v>3429</v>
      </c>
      <c r="B24">
        <v>2026</v>
      </c>
      <c r="C24" t="s">
        <v>3430</v>
      </c>
    </row>
    <row r="25" spans="1:3">
      <c r="A25" t="s">
        <v>3651</v>
      </c>
      <c r="B25">
        <v>2027</v>
      </c>
      <c r="C25" t="s">
        <v>3652</v>
      </c>
    </row>
    <row r="26" spans="1:3">
      <c r="A26" t="s">
        <v>1041</v>
      </c>
      <c r="B26">
        <v>2030</v>
      </c>
      <c r="C26" t="s">
        <v>1042</v>
      </c>
    </row>
    <row r="27" spans="1:3">
      <c r="A27" t="s">
        <v>1043</v>
      </c>
      <c r="B27">
        <v>2031</v>
      </c>
      <c r="C27" t="s">
        <v>1044</v>
      </c>
    </row>
    <row r="28" spans="1:3">
      <c r="A28" t="s">
        <v>1045</v>
      </c>
      <c r="B28">
        <v>2032</v>
      </c>
      <c r="C28" t="s">
        <v>1046</v>
      </c>
    </row>
    <row r="29" spans="1:3">
      <c r="A29" t="s">
        <v>1047</v>
      </c>
      <c r="B29">
        <v>2033</v>
      </c>
      <c r="C29" t="s">
        <v>1048</v>
      </c>
    </row>
    <row r="30" spans="1:3">
      <c r="A30" t="s">
        <v>1049</v>
      </c>
      <c r="B30">
        <v>2040</v>
      </c>
      <c r="C30" t="s">
        <v>1050</v>
      </c>
    </row>
    <row r="31" spans="1:3">
      <c r="A31" t="s">
        <v>1051</v>
      </c>
      <c r="B31">
        <v>2041</v>
      </c>
      <c r="C31" t="s">
        <v>1052</v>
      </c>
    </row>
    <row r="32" spans="1:3">
      <c r="A32" t="s">
        <v>1053</v>
      </c>
      <c r="B32">
        <v>2042</v>
      </c>
      <c r="C32" t="s">
        <v>1054</v>
      </c>
    </row>
    <row r="33" spans="1:3">
      <c r="A33" t="s">
        <v>1055</v>
      </c>
      <c r="B33">
        <v>2043</v>
      </c>
      <c r="C33" t="s">
        <v>1056</v>
      </c>
    </row>
    <row r="34" spans="1:3">
      <c r="A34" t="s">
        <v>1057</v>
      </c>
      <c r="B34">
        <v>2044</v>
      </c>
      <c r="C34" t="s">
        <v>1058</v>
      </c>
    </row>
    <row r="35" spans="1:3">
      <c r="A35" t="s">
        <v>1059</v>
      </c>
      <c r="B35">
        <v>2050</v>
      </c>
      <c r="C35" t="s">
        <v>1060</v>
      </c>
    </row>
    <row r="36" spans="1:3">
      <c r="A36" t="s">
        <v>1061</v>
      </c>
      <c r="B36">
        <v>2051</v>
      </c>
      <c r="C36" t="s">
        <v>1062</v>
      </c>
    </row>
    <row r="37" spans="1:3">
      <c r="A37" t="s">
        <v>1063</v>
      </c>
      <c r="B37">
        <v>2052</v>
      </c>
      <c r="C37" t="s">
        <v>1064</v>
      </c>
    </row>
    <row r="38" spans="1:3">
      <c r="A38" t="s">
        <v>3431</v>
      </c>
      <c r="B38">
        <v>2054</v>
      </c>
      <c r="C38" t="s">
        <v>3432</v>
      </c>
    </row>
    <row r="39" spans="1:3">
      <c r="A39" t="s">
        <v>1065</v>
      </c>
      <c r="B39">
        <v>2055</v>
      </c>
      <c r="C39" t="s">
        <v>1066</v>
      </c>
    </row>
    <row r="40" spans="1:3">
      <c r="A40" t="s">
        <v>1067</v>
      </c>
      <c r="B40">
        <v>2060</v>
      </c>
      <c r="C40" t="s">
        <v>1068</v>
      </c>
    </row>
    <row r="41" spans="1:3">
      <c r="A41" t="s">
        <v>1069</v>
      </c>
      <c r="B41">
        <v>2061</v>
      </c>
      <c r="C41" t="s">
        <v>1070</v>
      </c>
    </row>
    <row r="42" spans="1:3">
      <c r="A42" t="s">
        <v>1071</v>
      </c>
      <c r="B42">
        <v>2062</v>
      </c>
      <c r="C42" t="s">
        <v>1072</v>
      </c>
    </row>
    <row r="43" spans="1:3">
      <c r="A43" t="s">
        <v>1073</v>
      </c>
      <c r="B43">
        <v>2063</v>
      </c>
      <c r="C43" t="s">
        <v>1074</v>
      </c>
    </row>
    <row r="44" spans="1:3">
      <c r="A44" t="s">
        <v>3033</v>
      </c>
      <c r="B44">
        <v>2064</v>
      </c>
      <c r="C44" t="s">
        <v>3034</v>
      </c>
    </row>
    <row r="45" spans="1:3">
      <c r="A45" t="s">
        <v>1075</v>
      </c>
      <c r="B45">
        <v>2070</v>
      </c>
      <c r="C45" t="s">
        <v>1076</v>
      </c>
    </row>
    <row r="46" spans="1:3">
      <c r="A46" t="s">
        <v>1077</v>
      </c>
      <c r="B46">
        <v>2072</v>
      </c>
      <c r="C46" t="s">
        <v>1078</v>
      </c>
    </row>
    <row r="47" spans="1:3">
      <c r="A47" t="s">
        <v>3035</v>
      </c>
      <c r="B47">
        <v>2073</v>
      </c>
      <c r="C47" t="s">
        <v>3036</v>
      </c>
    </row>
    <row r="48" spans="1:3">
      <c r="A48" t="s">
        <v>3205</v>
      </c>
      <c r="B48">
        <v>2074</v>
      </c>
      <c r="C48" t="s">
        <v>3206</v>
      </c>
    </row>
    <row r="49" spans="1:3">
      <c r="A49" t="s">
        <v>1079</v>
      </c>
      <c r="B49">
        <v>2080</v>
      </c>
      <c r="C49" t="s">
        <v>1080</v>
      </c>
    </row>
    <row r="50" spans="1:3">
      <c r="A50" t="s">
        <v>1081</v>
      </c>
      <c r="B50">
        <v>2081</v>
      </c>
      <c r="C50" t="s">
        <v>1082</v>
      </c>
    </row>
    <row r="51" spans="1:3">
      <c r="A51" t="s">
        <v>1083</v>
      </c>
      <c r="B51">
        <v>2083</v>
      </c>
      <c r="C51" t="s">
        <v>1084</v>
      </c>
    </row>
    <row r="52" spans="1:3">
      <c r="A52" t="s">
        <v>3037</v>
      </c>
      <c r="B52">
        <v>2085</v>
      </c>
      <c r="C52" t="s">
        <v>3038</v>
      </c>
    </row>
    <row r="53" spans="1:3">
      <c r="A53" t="s">
        <v>1085</v>
      </c>
      <c r="B53">
        <v>2090</v>
      </c>
      <c r="C53" t="s">
        <v>1086</v>
      </c>
    </row>
    <row r="54" spans="1:3">
      <c r="A54" t="s">
        <v>3207</v>
      </c>
      <c r="B54">
        <v>2095</v>
      </c>
      <c r="C54" t="s">
        <v>3208</v>
      </c>
    </row>
    <row r="55" spans="1:3">
      <c r="A55" t="s">
        <v>3039</v>
      </c>
      <c r="B55">
        <v>2099</v>
      </c>
      <c r="C55" t="s">
        <v>3040</v>
      </c>
    </row>
    <row r="56" spans="1:3">
      <c r="A56" t="s">
        <v>1087</v>
      </c>
      <c r="B56">
        <v>2100</v>
      </c>
      <c r="C56" t="s">
        <v>1088</v>
      </c>
    </row>
    <row r="57" spans="1:3">
      <c r="A57" t="s">
        <v>1089</v>
      </c>
      <c r="B57">
        <v>2101</v>
      </c>
      <c r="C57" t="s">
        <v>1090</v>
      </c>
    </row>
    <row r="58" spans="1:3">
      <c r="A58" t="s">
        <v>1091</v>
      </c>
      <c r="B58">
        <v>2102</v>
      </c>
      <c r="C58" t="s">
        <v>1092</v>
      </c>
    </row>
    <row r="59" spans="1:3">
      <c r="A59" t="s">
        <v>1093</v>
      </c>
      <c r="B59">
        <v>2103</v>
      </c>
      <c r="C59" t="s">
        <v>1094</v>
      </c>
    </row>
    <row r="60" spans="1:3">
      <c r="A60" t="s">
        <v>1095</v>
      </c>
      <c r="B60">
        <v>2104</v>
      </c>
      <c r="C60" t="s">
        <v>1096</v>
      </c>
    </row>
    <row r="61" spans="1:3">
      <c r="A61" t="s">
        <v>1097</v>
      </c>
      <c r="B61">
        <v>2107</v>
      </c>
      <c r="C61" t="s">
        <v>1098</v>
      </c>
    </row>
    <row r="62" spans="1:3">
      <c r="A62" t="s">
        <v>1099</v>
      </c>
      <c r="B62">
        <v>2108</v>
      </c>
      <c r="C62" t="s">
        <v>1100</v>
      </c>
    </row>
    <row r="63" spans="1:3">
      <c r="A63" t="s">
        <v>1101</v>
      </c>
      <c r="B63">
        <v>2109</v>
      </c>
      <c r="C63" t="s">
        <v>1102</v>
      </c>
    </row>
    <row r="64" spans="1:3">
      <c r="A64" t="s">
        <v>1103</v>
      </c>
      <c r="B64">
        <v>2110</v>
      </c>
      <c r="C64" t="s">
        <v>1104</v>
      </c>
    </row>
    <row r="65" spans="1:3">
      <c r="A65" t="s">
        <v>1105</v>
      </c>
      <c r="B65">
        <v>2111</v>
      </c>
      <c r="C65" t="s">
        <v>1106</v>
      </c>
    </row>
    <row r="66" spans="1:3">
      <c r="A66" t="s">
        <v>1107</v>
      </c>
      <c r="B66">
        <v>2113</v>
      </c>
      <c r="C66" t="s">
        <v>1108</v>
      </c>
    </row>
    <row r="67" spans="1:3">
      <c r="A67" t="s">
        <v>1109</v>
      </c>
      <c r="B67">
        <v>2120</v>
      </c>
      <c r="C67" t="s">
        <v>1110</v>
      </c>
    </row>
    <row r="68" spans="1:3">
      <c r="A68" t="s">
        <v>3041</v>
      </c>
      <c r="B68">
        <v>2121</v>
      </c>
      <c r="C68" t="s">
        <v>3042</v>
      </c>
    </row>
    <row r="69" spans="1:3">
      <c r="A69" t="s">
        <v>1111</v>
      </c>
      <c r="B69">
        <v>2122</v>
      </c>
      <c r="C69" t="s">
        <v>1112</v>
      </c>
    </row>
    <row r="70" spans="1:3">
      <c r="A70" t="s">
        <v>1113</v>
      </c>
      <c r="B70">
        <v>2123</v>
      </c>
      <c r="C70" t="s">
        <v>1114</v>
      </c>
    </row>
    <row r="71" spans="1:3">
      <c r="A71" t="s">
        <v>1115</v>
      </c>
      <c r="B71">
        <v>2124</v>
      </c>
      <c r="C71" t="s">
        <v>1116</v>
      </c>
    </row>
    <row r="72" spans="1:3">
      <c r="A72" t="s">
        <v>1117</v>
      </c>
      <c r="B72">
        <v>2125</v>
      </c>
      <c r="C72" t="s">
        <v>1118</v>
      </c>
    </row>
    <row r="73" spans="1:3">
      <c r="A73" t="s">
        <v>1119</v>
      </c>
      <c r="B73">
        <v>2127</v>
      </c>
      <c r="C73" t="s">
        <v>1120</v>
      </c>
    </row>
    <row r="74" spans="1:3">
      <c r="A74" t="s">
        <v>1121</v>
      </c>
      <c r="B74">
        <v>2128</v>
      </c>
      <c r="C74" t="s">
        <v>1122</v>
      </c>
    </row>
    <row r="75" spans="1:3">
      <c r="A75" t="s">
        <v>1123</v>
      </c>
      <c r="B75">
        <v>2129</v>
      </c>
      <c r="C75" t="s">
        <v>1124</v>
      </c>
    </row>
    <row r="76" spans="1:3">
      <c r="A76" t="s">
        <v>1125</v>
      </c>
      <c r="B76">
        <v>2130</v>
      </c>
      <c r="C76" t="s">
        <v>1126</v>
      </c>
    </row>
    <row r="77" spans="1:3">
      <c r="A77" t="s">
        <v>1127</v>
      </c>
      <c r="B77">
        <v>2131</v>
      </c>
      <c r="C77" t="s">
        <v>1128</v>
      </c>
    </row>
    <row r="78" spans="1:3">
      <c r="A78" t="s">
        <v>1129</v>
      </c>
      <c r="B78">
        <v>2132</v>
      </c>
      <c r="C78" t="s">
        <v>1130</v>
      </c>
    </row>
    <row r="79" spans="1:3">
      <c r="A79" t="s">
        <v>1131</v>
      </c>
      <c r="B79">
        <v>2133</v>
      </c>
      <c r="C79" t="s">
        <v>1132</v>
      </c>
    </row>
    <row r="80" spans="1:3">
      <c r="A80" t="s">
        <v>1133</v>
      </c>
      <c r="B80">
        <v>2140</v>
      </c>
      <c r="C80" t="s">
        <v>1134</v>
      </c>
    </row>
    <row r="81" spans="1:3">
      <c r="A81" t="s">
        <v>1135</v>
      </c>
      <c r="B81">
        <v>2141</v>
      </c>
      <c r="C81" t="s">
        <v>1136</v>
      </c>
    </row>
    <row r="82" spans="1:3">
      <c r="A82" t="s">
        <v>1137</v>
      </c>
      <c r="B82">
        <v>2142</v>
      </c>
      <c r="C82" t="s">
        <v>1138</v>
      </c>
    </row>
    <row r="83" spans="1:3">
      <c r="A83" t="s">
        <v>1139</v>
      </c>
      <c r="B83">
        <v>2143</v>
      </c>
      <c r="C83" t="s">
        <v>1140</v>
      </c>
    </row>
    <row r="84" spans="1:3">
      <c r="A84" t="s">
        <v>1141</v>
      </c>
      <c r="B84">
        <v>2144</v>
      </c>
      <c r="C84" t="s">
        <v>1142</v>
      </c>
    </row>
    <row r="85" spans="1:3">
      <c r="A85" t="s">
        <v>1143</v>
      </c>
      <c r="B85">
        <v>2145</v>
      </c>
      <c r="C85" t="s">
        <v>1144</v>
      </c>
    </row>
    <row r="86" spans="1:3">
      <c r="A86" t="s">
        <v>1145</v>
      </c>
      <c r="B86">
        <v>2146</v>
      </c>
      <c r="C86" t="s">
        <v>1146</v>
      </c>
    </row>
    <row r="87" spans="1:3">
      <c r="A87" t="s">
        <v>1147</v>
      </c>
      <c r="B87">
        <v>2147</v>
      </c>
      <c r="C87" t="s">
        <v>1148</v>
      </c>
    </row>
    <row r="88" spans="1:3">
      <c r="A88" t="s">
        <v>1149</v>
      </c>
      <c r="B88">
        <v>2148</v>
      </c>
      <c r="C88" t="s">
        <v>1150</v>
      </c>
    </row>
    <row r="89" spans="1:3">
      <c r="A89" t="s">
        <v>1151</v>
      </c>
      <c r="B89">
        <v>2149</v>
      </c>
      <c r="C89" t="s">
        <v>1152</v>
      </c>
    </row>
    <row r="90" spans="1:3">
      <c r="A90" t="s">
        <v>1153</v>
      </c>
      <c r="B90">
        <v>2150</v>
      </c>
      <c r="C90" t="s">
        <v>1154</v>
      </c>
    </row>
    <row r="91" spans="1:3">
      <c r="A91" t="s">
        <v>1155</v>
      </c>
      <c r="B91">
        <v>2151</v>
      </c>
      <c r="C91" t="s">
        <v>1156</v>
      </c>
    </row>
    <row r="92" spans="1:3">
      <c r="A92" t="s">
        <v>1157</v>
      </c>
      <c r="B92">
        <v>2152</v>
      </c>
      <c r="C92" t="s">
        <v>1158</v>
      </c>
    </row>
    <row r="93" spans="1:3">
      <c r="A93" t="s">
        <v>1159</v>
      </c>
      <c r="B93">
        <v>2153</v>
      </c>
      <c r="C93" t="s">
        <v>1160</v>
      </c>
    </row>
    <row r="94" spans="1:3">
      <c r="A94" t="s">
        <v>1161</v>
      </c>
      <c r="B94">
        <v>2154</v>
      </c>
      <c r="C94" t="s">
        <v>1162</v>
      </c>
    </row>
    <row r="95" spans="1:3">
      <c r="A95" t="s">
        <v>1163</v>
      </c>
      <c r="B95">
        <v>2155</v>
      </c>
      <c r="C95" t="s">
        <v>1164</v>
      </c>
    </row>
    <row r="96" spans="1:3">
      <c r="A96" t="s">
        <v>1165</v>
      </c>
      <c r="B96">
        <v>2156</v>
      </c>
      <c r="C96" t="s">
        <v>1166</v>
      </c>
    </row>
    <row r="97" spans="1:3">
      <c r="A97" t="s">
        <v>1167</v>
      </c>
      <c r="B97">
        <v>2157</v>
      </c>
      <c r="C97" t="s">
        <v>1168</v>
      </c>
    </row>
    <row r="98" spans="1:3">
      <c r="A98" t="s">
        <v>1169</v>
      </c>
      <c r="B98">
        <v>2159</v>
      </c>
      <c r="C98" t="s">
        <v>1170</v>
      </c>
    </row>
    <row r="99" spans="1:3">
      <c r="A99" t="s">
        <v>1171</v>
      </c>
      <c r="B99">
        <v>2160</v>
      </c>
      <c r="C99" t="s">
        <v>1172</v>
      </c>
    </row>
    <row r="100" spans="1:3">
      <c r="A100" t="s">
        <v>1173</v>
      </c>
      <c r="B100">
        <v>2164</v>
      </c>
      <c r="C100" t="s">
        <v>1174</v>
      </c>
    </row>
    <row r="101" spans="1:3">
      <c r="A101" t="s">
        <v>1175</v>
      </c>
      <c r="B101">
        <v>2165</v>
      </c>
      <c r="C101" t="s">
        <v>1176</v>
      </c>
    </row>
    <row r="102" spans="1:3">
      <c r="A102" t="s">
        <v>1177</v>
      </c>
      <c r="B102">
        <v>2167</v>
      </c>
      <c r="C102" t="s">
        <v>1178</v>
      </c>
    </row>
    <row r="103" spans="1:3">
      <c r="A103" t="s">
        <v>1179</v>
      </c>
      <c r="B103">
        <v>2169</v>
      </c>
      <c r="C103" t="s">
        <v>1180</v>
      </c>
    </row>
    <row r="104" spans="1:3">
      <c r="A104" t="s">
        <v>1181</v>
      </c>
      <c r="B104">
        <v>2170</v>
      </c>
      <c r="C104" t="s">
        <v>1182</v>
      </c>
    </row>
    <row r="105" spans="1:3">
      <c r="A105" t="s">
        <v>1183</v>
      </c>
      <c r="B105">
        <v>2171</v>
      </c>
      <c r="C105" t="s">
        <v>1184</v>
      </c>
    </row>
    <row r="106" spans="1:3">
      <c r="A106" t="s">
        <v>1185</v>
      </c>
      <c r="B106">
        <v>2173</v>
      </c>
      <c r="C106" t="s">
        <v>1186</v>
      </c>
    </row>
    <row r="107" spans="1:3">
      <c r="A107" t="s">
        <v>1187</v>
      </c>
      <c r="B107">
        <v>2176</v>
      </c>
      <c r="C107" t="s">
        <v>1188</v>
      </c>
    </row>
    <row r="108" spans="1:3">
      <c r="A108" t="s">
        <v>1189</v>
      </c>
      <c r="B108">
        <v>2180</v>
      </c>
      <c r="C108" t="s">
        <v>1190</v>
      </c>
    </row>
    <row r="109" spans="1:3">
      <c r="A109" t="s">
        <v>1191</v>
      </c>
      <c r="B109">
        <v>2181</v>
      </c>
      <c r="C109" t="s">
        <v>1192</v>
      </c>
    </row>
    <row r="110" spans="1:3">
      <c r="A110" t="s">
        <v>1193</v>
      </c>
      <c r="B110">
        <v>2182</v>
      </c>
      <c r="C110" t="s">
        <v>1194</v>
      </c>
    </row>
    <row r="111" spans="1:3">
      <c r="A111" t="s">
        <v>1195</v>
      </c>
      <c r="B111">
        <v>2183</v>
      </c>
      <c r="C111" t="s">
        <v>1196</v>
      </c>
    </row>
    <row r="112" spans="1:3">
      <c r="A112" t="s">
        <v>1197</v>
      </c>
      <c r="B112">
        <v>2187</v>
      </c>
      <c r="C112" t="s">
        <v>1178</v>
      </c>
    </row>
    <row r="113" spans="1:3">
      <c r="A113" t="s">
        <v>1198</v>
      </c>
      <c r="B113">
        <v>2188</v>
      </c>
      <c r="C113" t="s">
        <v>1199</v>
      </c>
    </row>
    <row r="114" spans="1:3">
      <c r="A114" t="s">
        <v>2724</v>
      </c>
      <c r="B114">
        <v>2189</v>
      </c>
      <c r="C114" t="s">
        <v>2725</v>
      </c>
    </row>
    <row r="115" spans="1:3">
      <c r="A115" t="s">
        <v>1200</v>
      </c>
      <c r="B115">
        <v>2190</v>
      </c>
      <c r="C115" t="s">
        <v>1201</v>
      </c>
    </row>
    <row r="116" spans="1:3">
      <c r="A116" t="s">
        <v>1202</v>
      </c>
      <c r="B116">
        <v>2192</v>
      </c>
      <c r="C116" t="s">
        <v>1203</v>
      </c>
    </row>
    <row r="117" spans="1:3">
      <c r="A117" t="s">
        <v>1204</v>
      </c>
      <c r="B117">
        <v>2194</v>
      </c>
      <c r="C117" t="s">
        <v>1205</v>
      </c>
    </row>
    <row r="118" spans="1:3">
      <c r="A118" t="s">
        <v>1206</v>
      </c>
      <c r="B118">
        <v>2195</v>
      </c>
      <c r="C118" t="s">
        <v>1207</v>
      </c>
    </row>
    <row r="119" spans="1:3">
      <c r="A119" t="s">
        <v>1208</v>
      </c>
      <c r="B119">
        <v>2197</v>
      </c>
      <c r="C119" t="s">
        <v>1209</v>
      </c>
    </row>
    <row r="120" spans="1:3">
      <c r="A120" t="s">
        <v>1210</v>
      </c>
      <c r="B120">
        <v>2199</v>
      </c>
      <c r="C120" t="s">
        <v>1211</v>
      </c>
    </row>
    <row r="121" spans="1:3">
      <c r="A121" t="s">
        <v>1212</v>
      </c>
      <c r="B121">
        <v>2200</v>
      </c>
      <c r="C121" t="s">
        <v>1213</v>
      </c>
    </row>
    <row r="122" spans="1:3">
      <c r="A122" t="s">
        <v>1214</v>
      </c>
      <c r="B122">
        <v>2201</v>
      </c>
      <c r="C122" t="s">
        <v>1215</v>
      </c>
    </row>
    <row r="123" spans="1:3">
      <c r="A123" t="s">
        <v>1216</v>
      </c>
      <c r="B123">
        <v>2202</v>
      </c>
      <c r="C123" t="s">
        <v>1217</v>
      </c>
    </row>
    <row r="124" spans="1:3">
      <c r="A124" t="s">
        <v>1218</v>
      </c>
      <c r="B124">
        <v>2203</v>
      </c>
      <c r="C124" t="s">
        <v>1219</v>
      </c>
    </row>
    <row r="125" spans="1:3">
      <c r="A125" t="s">
        <v>1220</v>
      </c>
      <c r="B125">
        <v>2204</v>
      </c>
      <c r="C125" t="s">
        <v>1221</v>
      </c>
    </row>
    <row r="126" spans="1:3">
      <c r="A126" t="s">
        <v>1222</v>
      </c>
      <c r="B126">
        <v>2205</v>
      </c>
      <c r="C126" t="s">
        <v>1223</v>
      </c>
    </row>
    <row r="127" spans="1:3">
      <c r="A127" t="s">
        <v>1224</v>
      </c>
      <c r="B127">
        <v>2206</v>
      </c>
      <c r="C127" t="s">
        <v>1225</v>
      </c>
    </row>
    <row r="128" spans="1:3">
      <c r="A128" t="s">
        <v>1226</v>
      </c>
      <c r="B128">
        <v>2207</v>
      </c>
      <c r="C128" t="s">
        <v>1227</v>
      </c>
    </row>
    <row r="129" spans="1:3">
      <c r="A129" t="s">
        <v>1228</v>
      </c>
      <c r="B129">
        <v>2210</v>
      </c>
      <c r="C129" t="s">
        <v>1229</v>
      </c>
    </row>
    <row r="130" spans="1:3">
      <c r="A130" t="s">
        <v>1230</v>
      </c>
      <c r="B130">
        <v>2211</v>
      </c>
      <c r="C130" t="s">
        <v>1231</v>
      </c>
    </row>
    <row r="131" spans="1:3">
      <c r="A131" t="s">
        <v>1232</v>
      </c>
      <c r="B131">
        <v>2215</v>
      </c>
      <c r="C131" t="s">
        <v>1233</v>
      </c>
    </row>
    <row r="132" spans="1:3">
      <c r="A132" t="s">
        <v>1234</v>
      </c>
      <c r="B132">
        <v>2218</v>
      </c>
      <c r="C132" t="s">
        <v>1235</v>
      </c>
    </row>
    <row r="133" spans="1:3">
      <c r="A133" t="s">
        <v>3043</v>
      </c>
      <c r="B133">
        <v>2220</v>
      </c>
      <c r="C133" t="s">
        <v>3044</v>
      </c>
    </row>
    <row r="134" spans="1:3">
      <c r="A134" t="s">
        <v>1236</v>
      </c>
      <c r="B134">
        <v>2222</v>
      </c>
      <c r="C134" t="s">
        <v>1237</v>
      </c>
    </row>
    <row r="135" spans="1:3">
      <c r="A135" t="s">
        <v>1238</v>
      </c>
      <c r="B135">
        <v>2230</v>
      </c>
      <c r="C135" t="s">
        <v>1239</v>
      </c>
    </row>
    <row r="136" spans="1:3">
      <c r="A136" t="s">
        <v>1240</v>
      </c>
      <c r="B136">
        <v>2231</v>
      </c>
      <c r="C136" t="s">
        <v>1241</v>
      </c>
    </row>
    <row r="137" spans="1:3">
      <c r="A137" t="s">
        <v>1242</v>
      </c>
      <c r="B137">
        <v>2233</v>
      </c>
      <c r="C137" t="s">
        <v>1243</v>
      </c>
    </row>
    <row r="138" spans="1:3">
      <c r="A138" t="s">
        <v>1244</v>
      </c>
      <c r="B138">
        <v>2235</v>
      </c>
      <c r="C138" t="s">
        <v>1245</v>
      </c>
    </row>
    <row r="139" spans="1:3">
      <c r="A139" t="s">
        <v>1246</v>
      </c>
      <c r="B139">
        <v>2238</v>
      </c>
      <c r="C139" t="s">
        <v>1247</v>
      </c>
    </row>
    <row r="140" spans="1:3">
      <c r="A140" t="s">
        <v>1248</v>
      </c>
      <c r="B140">
        <v>2239</v>
      </c>
      <c r="C140" t="s">
        <v>1249</v>
      </c>
    </row>
    <row r="141" spans="1:3">
      <c r="A141" t="s">
        <v>1250</v>
      </c>
      <c r="B141">
        <v>2240</v>
      </c>
      <c r="C141" t="s">
        <v>1251</v>
      </c>
    </row>
    <row r="142" spans="1:3">
      <c r="A142" t="s">
        <v>1252</v>
      </c>
      <c r="B142">
        <v>2245</v>
      </c>
      <c r="C142" t="s">
        <v>1253</v>
      </c>
    </row>
    <row r="143" spans="1:3">
      <c r="A143" t="s">
        <v>1254</v>
      </c>
      <c r="B143">
        <v>2250</v>
      </c>
      <c r="C143" t="s">
        <v>1255</v>
      </c>
    </row>
    <row r="144" spans="1:3">
      <c r="A144" t="s">
        <v>1256</v>
      </c>
      <c r="B144">
        <v>2251</v>
      </c>
      <c r="C144" t="s">
        <v>1257</v>
      </c>
    </row>
    <row r="145" spans="1:3">
      <c r="A145" t="s">
        <v>1258</v>
      </c>
      <c r="B145">
        <v>2260</v>
      </c>
      <c r="C145" t="s">
        <v>1259</v>
      </c>
    </row>
    <row r="146" spans="1:3">
      <c r="A146" t="s">
        <v>1260</v>
      </c>
      <c r="B146">
        <v>2261</v>
      </c>
      <c r="C146" t="s">
        <v>1261</v>
      </c>
    </row>
    <row r="147" spans="1:3">
      <c r="A147" t="s">
        <v>1262</v>
      </c>
      <c r="B147">
        <v>2262</v>
      </c>
      <c r="C147" t="s">
        <v>1263</v>
      </c>
    </row>
    <row r="148" spans="1:3">
      <c r="A148" t="s">
        <v>1264</v>
      </c>
      <c r="B148">
        <v>2263</v>
      </c>
      <c r="C148" t="s">
        <v>1265</v>
      </c>
    </row>
    <row r="149" spans="1:3">
      <c r="A149" t="s">
        <v>1266</v>
      </c>
      <c r="B149">
        <v>2264</v>
      </c>
      <c r="C149" t="s">
        <v>1267</v>
      </c>
    </row>
    <row r="150" spans="1:3">
      <c r="A150" t="s">
        <v>1268</v>
      </c>
      <c r="B150">
        <v>2270</v>
      </c>
      <c r="C150" t="s">
        <v>1269</v>
      </c>
    </row>
    <row r="151" spans="1:3">
      <c r="A151" t="s">
        <v>1270</v>
      </c>
      <c r="B151">
        <v>2271</v>
      </c>
      <c r="C151" t="s">
        <v>1271</v>
      </c>
    </row>
    <row r="152" spans="1:3">
      <c r="A152" t="s">
        <v>1272</v>
      </c>
      <c r="B152">
        <v>2280</v>
      </c>
      <c r="C152" t="s">
        <v>1273</v>
      </c>
    </row>
    <row r="153" spans="1:3">
      <c r="A153" t="s">
        <v>1274</v>
      </c>
      <c r="B153">
        <v>2281</v>
      </c>
      <c r="C153" t="s">
        <v>1275</v>
      </c>
    </row>
    <row r="154" spans="1:3">
      <c r="A154" t="s">
        <v>1276</v>
      </c>
      <c r="B154">
        <v>2282</v>
      </c>
      <c r="C154" t="s">
        <v>1277</v>
      </c>
    </row>
    <row r="155" spans="1:3">
      <c r="A155" t="s">
        <v>1278</v>
      </c>
      <c r="B155">
        <v>2290</v>
      </c>
      <c r="C155" t="s">
        <v>1279</v>
      </c>
    </row>
    <row r="156" spans="1:3">
      <c r="A156" t="s">
        <v>1280</v>
      </c>
      <c r="B156">
        <v>2300</v>
      </c>
      <c r="C156" t="s">
        <v>1281</v>
      </c>
    </row>
    <row r="157" spans="1:3">
      <c r="A157" t="s">
        <v>1282</v>
      </c>
      <c r="B157">
        <v>2301</v>
      </c>
      <c r="C157" t="s">
        <v>1283</v>
      </c>
    </row>
    <row r="158" spans="1:3">
      <c r="A158" t="s">
        <v>1284</v>
      </c>
      <c r="B158">
        <v>2310</v>
      </c>
      <c r="C158" t="s">
        <v>1285</v>
      </c>
    </row>
    <row r="159" spans="1:3">
      <c r="A159" t="s">
        <v>1286</v>
      </c>
      <c r="B159">
        <v>2312</v>
      </c>
      <c r="C159" t="s">
        <v>1287</v>
      </c>
    </row>
    <row r="160" spans="1:3">
      <c r="A160" t="s">
        <v>1288</v>
      </c>
      <c r="B160">
        <v>2313</v>
      </c>
      <c r="C160" t="s">
        <v>1289</v>
      </c>
    </row>
    <row r="161" spans="1:3">
      <c r="A161" t="s">
        <v>1290</v>
      </c>
      <c r="B161">
        <v>2314</v>
      </c>
      <c r="C161" t="s">
        <v>1291</v>
      </c>
    </row>
    <row r="162" spans="1:3">
      <c r="A162" t="s">
        <v>1292</v>
      </c>
      <c r="B162">
        <v>2315</v>
      </c>
      <c r="C162" t="s">
        <v>1293</v>
      </c>
    </row>
    <row r="163" spans="1:3">
      <c r="A163" t="s">
        <v>1294</v>
      </c>
      <c r="B163">
        <v>2320</v>
      </c>
      <c r="C163" t="s">
        <v>1295</v>
      </c>
    </row>
    <row r="164" spans="1:3">
      <c r="A164" t="s">
        <v>1296</v>
      </c>
      <c r="B164">
        <v>2321</v>
      </c>
      <c r="C164" t="s">
        <v>1297</v>
      </c>
    </row>
    <row r="165" spans="1:3">
      <c r="A165" t="s">
        <v>1298</v>
      </c>
      <c r="B165">
        <v>2322</v>
      </c>
      <c r="C165" t="s">
        <v>1299</v>
      </c>
    </row>
    <row r="166" spans="1:3">
      <c r="A166" t="s">
        <v>1300</v>
      </c>
      <c r="B166">
        <v>2330</v>
      </c>
      <c r="C166" t="s">
        <v>1301</v>
      </c>
    </row>
    <row r="167" spans="1:3">
      <c r="A167" t="s">
        <v>1302</v>
      </c>
      <c r="B167">
        <v>2331</v>
      </c>
      <c r="C167" t="s">
        <v>1303</v>
      </c>
    </row>
    <row r="168" spans="1:3">
      <c r="A168" t="s">
        <v>1304</v>
      </c>
      <c r="B168">
        <v>2340</v>
      </c>
      <c r="C168" t="s">
        <v>1305</v>
      </c>
    </row>
    <row r="169" spans="1:3">
      <c r="A169" t="s">
        <v>1306</v>
      </c>
      <c r="B169">
        <v>2350</v>
      </c>
      <c r="C169" t="s">
        <v>1307</v>
      </c>
    </row>
    <row r="170" spans="1:3">
      <c r="A170" t="s">
        <v>1308</v>
      </c>
      <c r="B170">
        <v>2351</v>
      </c>
      <c r="C170" t="s">
        <v>1309</v>
      </c>
    </row>
    <row r="171" spans="1:3">
      <c r="A171" t="s">
        <v>1310</v>
      </c>
      <c r="B171">
        <v>2352</v>
      </c>
      <c r="C171" t="s">
        <v>1311</v>
      </c>
    </row>
    <row r="172" spans="1:3">
      <c r="A172" t="s">
        <v>1312</v>
      </c>
      <c r="B172">
        <v>2353</v>
      </c>
      <c r="C172" t="s">
        <v>1313</v>
      </c>
    </row>
    <row r="173" spans="1:3">
      <c r="A173" t="s">
        <v>1314</v>
      </c>
      <c r="B173">
        <v>2354</v>
      </c>
      <c r="C173" t="s">
        <v>1315</v>
      </c>
    </row>
    <row r="174" spans="1:3">
      <c r="A174" t="s">
        <v>3045</v>
      </c>
      <c r="B174">
        <v>2355</v>
      </c>
      <c r="C174" t="s">
        <v>3046</v>
      </c>
    </row>
    <row r="175" spans="1:3">
      <c r="A175" t="s">
        <v>1316</v>
      </c>
      <c r="B175">
        <v>2360</v>
      </c>
      <c r="C175" t="s">
        <v>1317</v>
      </c>
    </row>
    <row r="176" spans="1:3">
      <c r="A176" t="s">
        <v>1318</v>
      </c>
      <c r="B176">
        <v>2370</v>
      </c>
      <c r="C176" t="s">
        <v>1319</v>
      </c>
    </row>
    <row r="177" spans="1:3">
      <c r="A177" t="s">
        <v>1320</v>
      </c>
      <c r="B177">
        <v>2371</v>
      </c>
      <c r="C177" t="s">
        <v>1321</v>
      </c>
    </row>
    <row r="178" spans="1:3">
      <c r="A178" t="s">
        <v>3047</v>
      </c>
      <c r="B178">
        <v>2380</v>
      </c>
      <c r="C178" t="s">
        <v>3048</v>
      </c>
    </row>
    <row r="179" spans="1:3">
      <c r="A179" t="s">
        <v>1322</v>
      </c>
      <c r="B179">
        <v>2390</v>
      </c>
      <c r="C179" t="s">
        <v>1323</v>
      </c>
    </row>
    <row r="180" spans="1:3">
      <c r="A180" t="s">
        <v>1324</v>
      </c>
      <c r="B180">
        <v>2395</v>
      </c>
      <c r="C180" t="s">
        <v>1325</v>
      </c>
    </row>
    <row r="181" spans="1:3">
      <c r="A181" t="s">
        <v>1326</v>
      </c>
      <c r="B181">
        <v>2400</v>
      </c>
      <c r="C181" t="s">
        <v>1327</v>
      </c>
    </row>
    <row r="182" spans="1:3">
      <c r="A182" t="s">
        <v>1328</v>
      </c>
      <c r="B182">
        <v>2402</v>
      </c>
      <c r="C182" t="s">
        <v>1329</v>
      </c>
    </row>
    <row r="183" spans="1:3">
      <c r="A183" t="s">
        <v>1330</v>
      </c>
      <c r="B183">
        <v>2403</v>
      </c>
      <c r="C183" t="s">
        <v>1331</v>
      </c>
    </row>
    <row r="184" spans="1:3">
      <c r="A184" t="s">
        <v>1332</v>
      </c>
      <c r="B184">
        <v>2405</v>
      </c>
      <c r="C184" t="s">
        <v>1333</v>
      </c>
    </row>
    <row r="185" spans="1:3">
      <c r="A185" t="s">
        <v>1334</v>
      </c>
      <c r="B185">
        <v>2407</v>
      </c>
      <c r="C185" t="s">
        <v>1335</v>
      </c>
    </row>
    <row r="186" spans="1:3">
      <c r="A186" t="s">
        <v>1336</v>
      </c>
      <c r="B186">
        <v>2409</v>
      </c>
      <c r="C186" t="s">
        <v>1337</v>
      </c>
    </row>
    <row r="187" spans="1:3">
      <c r="A187" t="s">
        <v>1338</v>
      </c>
      <c r="B187">
        <v>2410</v>
      </c>
      <c r="C187" t="s">
        <v>1339</v>
      </c>
    </row>
    <row r="188" spans="1:3">
      <c r="A188" t="s">
        <v>1340</v>
      </c>
      <c r="B188">
        <v>2411</v>
      </c>
      <c r="C188" t="s">
        <v>1341</v>
      </c>
    </row>
    <row r="189" spans="1:3">
      <c r="A189" t="s">
        <v>1342</v>
      </c>
      <c r="B189">
        <v>2413</v>
      </c>
      <c r="C189" t="s">
        <v>1343</v>
      </c>
    </row>
    <row r="190" spans="1:3">
      <c r="A190" t="s">
        <v>1344</v>
      </c>
      <c r="B190">
        <v>2417</v>
      </c>
      <c r="C190" t="s">
        <v>1345</v>
      </c>
    </row>
    <row r="191" spans="1:3">
      <c r="A191" t="s">
        <v>1346</v>
      </c>
      <c r="B191">
        <v>2420</v>
      </c>
      <c r="C191" t="s">
        <v>1347</v>
      </c>
    </row>
    <row r="192" spans="1:3">
      <c r="A192" t="s">
        <v>1348</v>
      </c>
      <c r="B192">
        <v>2421</v>
      </c>
      <c r="C192" t="s">
        <v>1349</v>
      </c>
    </row>
    <row r="193" spans="1:3">
      <c r="A193" t="s">
        <v>1350</v>
      </c>
      <c r="B193">
        <v>2423</v>
      </c>
      <c r="C193" t="s">
        <v>1351</v>
      </c>
    </row>
    <row r="194" spans="1:3">
      <c r="A194" t="s">
        <v>1352</v>
      </c>
      <c r="B194">
        <v>2425</v>
      </c>
      <c r="C194" t="s">
        <v>1353</v>
      </c>
    </row>
    <row r="195" spans="1:3">
      <c r="A195" t="s">
        <v>1354</v>
      </c>
      <c r="B195">
        <v>2430</v>
      </c>
      <c r="C195" t="s">
        <v>1355</v>
      </c>
    </row>
    <row r="196" spans="1:3">
      <c r="A196" t="s">
        <v>1356</v>
      </c>
      <c r="B196">
        <v>2440</v>
      </c>
      <c r="C196" t="s">
        <v>1357</v>
      </c>
    </row>
    <row r="197" spans="1:3">
      <c r="A197" t="s">
        <v>1358</v>
      </c>
      <c r="B197">
        <v>2441</v>
      </c>
      <c r="C197" t="s">
        <v>1359</v>
      </c>
    </row>
    <row r="198" spans="1:3">
      <c r="A198" t="s">
        <v>1360</v>
      </c>
      <c r="B198">
        <v>2442</v>
      </c>
      <c r="C198" t="s">
        <v>1361</v>
      </c>
    </row>
    <row r="199" spans="1:3">
      <c r="A199" t="s">
        <v>2726</v>
      </c>
      <c r="B199">
        <v>2448</v>
      </c>
      <c r="C199" t="s">
        <v>2727</v>
      </c>
    </row>
    <row r="200" spans="1:3">
      <c r="A200" t="s">
        <v>1362</v>
      </c>
      <c r="B200">
        <v>2450</v>
      </c>
      <c r="C200" t="s">
        <v>1363</v>
      </c>
    </row>
    <row r="201" spans="1:3">
      <c r="A201" t="s">
        <v>1364</v>
      </c>
      <c r="B201">
        <v>2451</v>
      </c>
      <c r="C201" t="s">
        <v>1365</v>
      </c>
    </row>
    <row r="202" spans="1:3">
      <c r="A202" t="s">
        <v>1366</v>
      </c>
      <c r="B202">
        <v>2452</v>
      </c>
      <c r="C202" t="s">
        <v>1367</v>
      </c>
    </row>
    <row r="203" spans="1:3">
      <c r="A203" t="s">
        <v>2928</v>
      </c>
      <c r="B203">
        <v>2454</v>
      </c>
      <c r="C203" t="s">
        <v>2929</v>
      </c>
    </row>
    <row r="204" spans="1:3">
      <c r="A204" t="s">
        <v>1368</v>
      </c>
      <c r="B204">
        <v>2455</v>
      </c>
      <c r="C204" t="s">
        <v>1369</v>
      </c>
    </row>
    <row r="205" spans="1:3">
      <c r="A205" t="s">
        <v>1370</v>
      </c>
      <c r="B205">
        <v>2460</v>
      </c>
      <c r="C205" t="s">
        <v>1371</v>
      </c>
    </row>
    <row r="206" spans="1:3">
      <c r="A206" t="s">
        <v>1372</v>
      </c>
      <c r="B206">
        <v>2470</v>
      </c>
      <c r="C206" t="s">
        <v>1373</v>
      </c>
    </row>
    <row r="207" spans="1:3">
      <c r="A207" t="s">
        <v>1374</v>
      </c>
      <c r="B207">
        <v>2480</v>
      </c>
      <c r="C207" t="s">
        <v>1375</v>
      </c>
    </row>
    <row r="208" spans="1:3">
      <c r="A208" t="s">
        <v>1376</v>
      </c>
      <c r="B208">
        <v>2490</v>
      </c>
      <c r="C208" t="s">
        <v>1377</v>
      </c>
    </row>
    <row r="209" spans="1:3">
      <c r="A209" t="s">
        <v>1378</v>
      </c>
      <c r="B209">
        <v>2500</v>
      </c>
      <c r="C209" t="s">
        <v>1379</v>
      </c>
    </row>
    <row r="210" spans="1:3">
      <c r="A210" t="s">
        <v>1380</v>
      </c>
      <c r="B210">
        <v>2504</v>
      </c>
      <c r="C210" t="s">
        <v>1381</v>
      </c>
    </row>
    <row r="211" spans="1:3">
      <c r="A211" t="s">
        <v>1382</v>
      </c>
      <c r="B211">
        <v>2505</v>
      </c>
      <c r="C211" t="s">
        <v>1383</v>
      </c>
    </row>
    <row r="212" spans="1:3">
      <c r="A212" t="s">
        <v>3433</v>
      </c>
      <c r="B212">
        <v>2506</v>
      </c>
      <c r="C212" t="s">
        <v>3434</v>
      </c>
    </row>
    <row r="213" spans="1:3">
      <c r="A213" t="s">
        <v>1384</v>
      </c>
      <c r="B213">
        <v>2507</v>
      </c>
      <c r="C213" t="s">
        <v>1385</v>
      </c>
    </row>
    <row r="214" spans="1:3">
      <c r="A214" t="s">
        <v>1386</v>
      </c>
      <c r="B214">
        <v>2510</v>
      </c>
      <c r="C214" t="s">
        <v>1387</v>
      </c>
    </row>
    <row r="215" spans="1:3">
      <c r="A215" t="s">
        <v>1388</v>
      </c>
      <c r="B215">
        <v>2515</v>
      </c>
      <c r="C215" t="s">
        <v>1389</v>
      </c>
    </row>
    <row r="216" spans="1:3">
      <c r="A216" t="s">
        <v>1390</v>
      </c>
      <c r="B216">
        <v>2520</v>
      </c>
      <c r="C216" t="s">
        <v>1391</v>
      </c>
    </row>
    <row r="217" spans="1:3">
      <c r="A217" t="s">
        <v>1392</v>
      </c>
      <c r="B217">
        <v>2530</v>
      </c>
      <c r="C217" t="s">
        <v>1393</v>
      </c>
    </row>
    <row r="218" spans="1:3">
      <c r="A218" t="s">
        <v>1394</v>
      </c>
      <c r="B218">
        <v>2540</v>
      </c>
      <c r="C218" t="s">
        <v>1395</v>
      </c>
    </row>
    <row r="219" spans="1:3">
      <c r="A219" t="s">
        <v>3435</v>
      </c>
      <c r="B219">
        <v>2541</v>
      </c>
      <c r="C219" t="s">
        <v>2213</v>
      </c>
    </row>
    <row r="220" spans="1:3">
      <c r="A220" t="s">
        <v>1396</v>
      </c>
      <c r="B220">
        <v>2550</v>
      </c>
      <c r="C220" t="s">
        <v>1397</v>
      </c>
    </row>
    <row r="221" spans="1:3">
      <c r="A221" t="s">
        <v>2995</v>
      </c>
      <c r="B221">
        <v>2560</v>
      </c>
      <c r="C221" t="s">
        <v>2996</v>
      </c>
    </row>
    <row r="222" spans="1:3">
      <c r="A222" t="s">
        <v>1398</v>
      </c>
      <c r="B222">
        <v>2570</v>
      </c>
      <c r="C222" t="s">
        <v>1399</v>
      </c>
    </row>
    <row r="223" spans="1:3">
      <c r="A223" t="s">
        <v>1400</v>
      </c>
      <c r="B223">
        <v>2580</v>
      </c>
      <c r="C223" t="s">
        <v>1401</v>
      </c>
    </row>
    <row r="224" spans="1:3">
      <c r="A224" t="s">
        <v>1402</v>
      </c>
      <c r="B224">
        <v>2590</v>
      </c>
      <c r="C224" t="s">
        <v>1403</v>
      </c>
    </row>
    <row r="225" spans="1:3">
      <c r="A225" t="s">
        <v>1404</v>
      </c>
      <c r="B225">
        <v>2600</v>
      </c>
      <c r="C225" t="s">
        <v>1405</v>
      </c>
    </row>
    <row r="226" spans="1:3">
      <c r="A226" t="s">
        <v>1406</v>
      </c>
      <c r="B226">
        <v>2601</v>
      </c>
      <c r="C226" t="s">
        <v>1407</v>
      </c>
    </row>
    <row r="227" spans="1:3">
      <c r="A227" t="s">
        <v>1408</v>
      </c>
      <c r="B227">
        <v>2602</v>
      </c>
      <c r="C227" t="s">
        <v>1409</v>
      </c>
    </row>
    <row r="228" spans="1:3">
      <c r="A228" t="s">
        <v>1410</v>
      </c>
      <c r="B228">
        <v>2610</v>
      </c>
      <c r="C228" t="s">
        <v>1411</v>
      </c>
    </row>
    <row r="229" spans="1:3">
      <c r="A229" t="s">
        <v>1412</v>
      </c>
      <c r="B229">
        <v>2615</v>
      </c>
      <c r="C229" t="s">
        <v>1413</v>
      </c>
    </row>
    <row r="230" spans="1:3">
      <c r="A230" t="s">
        <v>1414</v>
      </c>
      <c r="B230">
        <v>2620</v>
      </c>
      <c r="C230" t="s">
        <v>1415</v>
      </c>
    </row>
    <row r="231" spans="1:3">
      <c r="A231" t="s">
        <v>1416</v>
      </c>
      <c r="B231">
        <v>2630</v>
      </c>
      <c r="C231" t="s">
        <v>1417</v>
      </c>
    </row>
    <row r="232" spans="1:3">
      <c r="A232" t="s">
        <v>1418</v>
      </c>
      <c r="B232">
        <v>2640</v>
      </c>
      <c r="C232" t="s">
        <v>1419</v>
      </c>
    </row>
    <row r="233" spans="1:3">
      <c r="A233" t="s">
        <v>1420</v>
      </c>
      <c r="B233">
        <v>2650</v>
      </c>
      <c r="C233" t="s">
        <v>1421</v>
      </c>
    </row>
    <row r="234" spans="1:3">
      <c r="A234" t="s">
        <v>1422</v>
      </c>
      <c r="B234">
        <v>2651</v>
      </c>
      <c r="C234" t="s">
        <v>1423</v>
      </c>
    </row>
    <row r="235" spans="1:3">
      <c r="A235" t="s">
        <v>1424</v>
      </c>
      <c r="B235">
        <v>2660</v>
      </c>
      <c r="C235" t="s">
        <v>1425</v>
      </c>
    </row>
    <row r="236" spans="1:3">
      <c r="A236" t="s">
        <v>1426</v>
      </c>
      <c r="B236">
        <v>2661</v>
      </c>
      <c r="C236" t="s">
        <v>1427</v>
      </c>
    </row>
    <row r="237" spans="1:3">
      <c r="A237" t="s">
        <v>3653</v>
      </c>
      <c r="B237">
        <v>2662</v>
      </c>
      <c r="C237" t="s">
        <v>3654</v>
      </c>
    </row>
    <row r="238" spans="1:3">
      <c r="A238" t="s">
        <v>1428</v>
      </c>
      <c r="B238">
        <v>2670</v>
      </c>
      <c r="C238" t="s">
        <v>1429</v>
      </c>
    </row>
    <row r="239" spans="1:3">
      <c r="A239" t="s">
        <v>1430</v>
      </c>
      <c r="B239">
        <v>2671</v>
      </c>
      <c r="C239" t="s">
        <v>1431</v>
      </c>
    </row>
    <row r="240" spans="1:3">
      <c r="A240" t="s">
        <v>1432</v>
      </c>
      <c r="B240">
        <v>2680</v>
      </c>
      <c r="C240" t="s">
        <v>1433</v>
      </c>
    </row>
    <row r="241" spans="1:3">
      <c r="A241" t="s">
        <v>1434</v>
      </c>
      <c r="B241">
        <v>2685</v>
      </c>
      <c r="C241" t="s">
        <v>1435</v>
      </c>
    </row>
    <row r="242" spans="1:3">
      <c r="A242" t="s">
        <v>1436</v>
      </c>
      <c r="B242">
        <v>2687</v>
      </c>
      <c r="C242" t="s">
        <v>1437</v>
      </c>
    </row>
    <row r="243" spans="1:3">
      <c r="A243" t="s">
        <v>1438</v>
      </c>
      <c r="B243">
        <v>2690</v>
      </c>
      <c r="C243" t="s">
        <v>1439</v>
      </c>
    </row>
    <row r="244" spans="1:3">
      <c r="A244" t="s">
        <v>1440</v>
      </c>
      <c r="B244">
        <v>2700</v>
      </c>
      <c r="C244" t="s">
        <v>1441</v>
      </c>
    </row>
    <row r="245" spans="1:3">
      <c r="A245" t="s">
        <v>1442</v>
      </c>
      <c r="B245">
        <v>2701</v>
      </c>
      <c r="C245" t="s">
        <v>1443</v>
      </c>
    </row>
    <row r="246" spans="1:3">
      <c r="A246" t="s">
        <v>1444</v>
      </c>
      <c r="B246">
        <v>2702</v>
      </c>
      <c r="C246" t="s">
        <v>1445</v>
      </c>
    </row>
    <row r="247" spans="1:3">
      <c r="A247" t="s">
        <v>1446</v>
      </c>
      <c r="B247">
        <v>2703</v>
      </c>
      <c r="C247" t="s">
        <v>1447</v>
      </c>
    </row>
    <row r="248" spans="1:3">
      <c r="A248" t="s">
        <v>1448</v>
      </c>
      <c r="B248">
        <v>2704</v>
      </c>
      <c r="C248" t="s">
        <v>1449</v>
      </c>
    </row>
    <row r="249" spans="1:3">
      <c r="A249" t="s">
        <v>1450</v>
      </c>
      <c r="B249">
        <v>2710</v>
      </c>
      <c r="C249" t="s">
        <v>1451</v>
      </c>
    </row>
    <row r="250" spans="1:3">
      <c r="A250" t="s">
        <v>1452</v>
      </c>
      <c r="B250">
        <v>2711</v>
      </c>
      <c r="C250" t="s">
        <v>1453</v>
      </c>
    </row>
    <row r="251" spans="1:3">
      <c r="A251" t="s">
        <v>1454</v>
      </c>
      <c r="B251">
        <v>2713</v>
      </c>
      <c r="C251" t="s">
        <v>1455</v>
      </c>
    </row>
    <row r="252" spans="1:3">
      <c r="A252" t="s">
        <v>1456</v>
      </c>
      <c r="B252">
        <v>2720</v>
      </c>
      <c r="C252" t="s">
        <v>1457</v>
      </c>
    </row>
    <row r="253" spans="1:3">
      <c r="A253" t="s">
        <v>1458</v>
      </c>
      <c r="B253">
        <v>2730</v>
      </c>
      <c r="C253" t="s">
        <v>1459</v>
      </c>
    </row>
    <row r="254" spans="1:3">
      <c r="A254" t="s">
        <v>2930</v>
      </c>
      <c r="B254">
        <v>2743</v>
      </c>
      <c r="C254" t="s">
        <v>2931</v>
      </c>
    </row>
    <row r="255" spans="1:3">
      <c r="A255" t="s">
        <v>1460</v>
      </c>
      <c r="B255">
        <v>2750</v>
      </c>
      <c r="C255" t="s">
        <v>1461</v>
      </c>
    </row>
    <row r="256" spans="1:3">
      <c r="A256" t="s">
        <v>1462</v>
      </c>
      <c r="B256">
        <v>2751</v>
      </c>
      <c r="C256" t="s">
        <v>1463</v>
      </c>
    </row>
    <row r="257" spans="1:3">
      <c r="A257" t="s">
        <v>1464</v>
      </c>
      <c r="B257">
        <v>2753</v>
      </c>
      <c r="C257" t="s">
        <v>1465</v>
      </c>
    </row>
    <row r="258" spans="1:3">
      <c r="A258" t="s">
        <v>1466</v>
      </c>
      <c r="B258">
        <v>2754</v>
      </c>
      <c r="C258" t="s">
        <v>1467</v>
      </c>
    </row>
    <row r="259" spans="1:3">
      <c r="A259" t="s">
        <v>1468</v>
      </c>
      <c r="B259">
        <v>2756</v>
      </c>
      <c r="C259" t="s">
        <v>1469</v>
      </c>
    </row>
    <row r="260" spans="1:3">
      <c r="A260" t="s">
        <v>1470</v>
      </c>
      <c r="B260">
        <v>2765</v>
      </c>
      <c r="C260" t="s">
        <v>1471</v>
      </c>
    </row>
    <row r="261" spans="1:3">
      <c r="A261" t="s">
        <v>1472</v>
      </c>
      <c r="B261">
        <v>2767</v>
      </c>
      <c r="C261" t="s">
        <v>1473</v>
      </c>
    </row>
    <row r="262" spans="1:3">
      <c r="A262" t="s">
        <v>1474</v>
      </c>
      <c r="B262">
        <v>2770</v>
      </c>
      <c r="C262" t="s">
        <v>1475</v>
      </c>
    </row>
    <row r="263" spans="1:3">
      <c r="A263" t="s">
        <v>1476</v>
      </c>
      <c r="B263">
        <v>2774</v>
      </c>
      <c r="C263" t="s">
        <v>1477</v>
      </c>
    </row>
    <row r="264" spans="1:3">
      <c r="A264" t="s">
        <v>1478</v>
      </c>
      <c r="B264">
        <v>2777</v>
      </c>
      <c r="C264" t="s">
        <v>1479</v>
      </c>
    </row>
    <row r="265" spans="1:3">
      <c r="A265" t="s">
        <v>1480</v>
      </c>
      <c r="B265">
        <v>2780</v>
      </c>
      <c r="C265" t="s">
        <v>1481</v>
      </c>
    </row>
    <row r="266" spans="1:3">
      <c r="A266" t="s">
        <v>1482</v>
      </c>
      <c r="B266">
        <v>2790</v>
      </c>
      <c r="C266" t="s">
        <v>1483</v>
      </c>
    </row>
    <row r="267" spans="1:3">
      <c r="A267" t="s">
        <v>1484</v>
      </c>
      <c r="B267">
        <v>2795</v>
      </c>
      <c r="C267" t="s">
        <v>1485</v>
      </c>
    </row>
    <row r="268" spans="1:3">
      <c r="A268" t="s">
        <v>1486</v>
      </c>
      <c r="B268">
        <v>2799</v>
      </c>
      <c r="C268" t="s">
        <v>1487</v>
      </c>
    </row>
    <row r="269" spans="1:3">
      <c r="A269" t="s">
        <v>1488</v>
      </c>
      <c r="B269">
        <v>2800</v>
      </c>
      <c r="C269" t="s">
        <v>1489</v>
      </c>
    </row>
    <row r="270" spans="1:3">
      <c r="A270" t="s">
        <v>1490</v>
      </c>
      <c r="B270">
        <v>2810</v>
      </c>
      <c r="C270" t="s">
        <v>1491</v>
      </c>
    </row>
    <row r="271" spans="1:3">
      <c r="A271" t="s">
        <v>1492</v>
      </c>
      <c r="B271">
        <v>2820</v>
      </c>
      <c r="C271" t="s">
        <v>1493</v>
      </c>
    </row>
    <row r="272" spans="1:3">
      <c r="A272" t="s">
        <v>1494</v>
      </c>
      <c r="B272">
        <v>2821</v>
      </c>
      <c r="C272" t="s">
        <v>1495</v>
      </c>
    </row>
    <row r="273" spans="1:3">
      <c r="A273" t="s">
        <v>1496</v>
      </c>
      <c r="B273">
        <v>2830</v>
      </c>
      <c r="C273" t="s">
        <v>1497</v>
      </c>
    </row>
    <row r="274" spans="1:3">
      <c r="A274" t="s">
        <v>1498</v>
      </c>
      <c r="B274">
        <v>2836</v>
      </c>
      <c r="C274" t="s">
        <v>1499</v>
      </c>
    </row>
    <row r="275" spans="1:3">
      <c r="A275" t="s">
        <v>1500</v>
      </c>
      <c r="B275">
        <v>2840</v>
      </c>
      <c r="C275" t="s">
        <v>1501</v>
      </c>
    </row>
    <row r="276" spans="1:3">
      <c r="A276" t="s">
        <v>1502</v>
      </c>
      <c r="B276">
        <v>2845</v>
      </c>
      <c r="C276" t="s">
        <v>1503</v>
      </c>
    </row>
    <row r="277" spans="1:3">
      <c r="A277" t="s">
        <v>1504</v>
      </c>
      <c r="B277">
        <v>2848</v>
      </c>
      <c r="C277" t="s">
        <v>1505</v>
      </c>
    </row>
    <row r="278" spans="1:3">
      <c r="A278" t="s">
        <v>3436</v>
      </c>
      <c r="B278">
        <v>2850</v>
      </c>
      <c r="C278" t="s">
        <v>3437</v>
      </c>
    </row>
    <row r="279" spans="1:3">
      <c r="A279" t="s">
        <v>1506</v>
      </c>
      <c r="B279">
        <v>2859</v>
      </c>
      <c r="C279" t="s">
        <v>1507</v>
      </c>
    </row>
    <row r="280" spans="1:3">
      <c r="A280" t="s">
        <v>1508</v>
      </c>
      <c r="B280">
        <v>2860</v>
      </c>
      <c r="C280" t="s">
        <v>1509</v>
      </c>
    </row>
    <row r="281" spans="1:3">
      <c r="A281" t="s">
        <v>1510</v>
      </c>
      <c r="B281">
        <v>2861</v>
      </c>
      <c r="C281" t="s">
        <v>1511</v>
      </c>
    </row>
    <row r="282" spans="1:3">
      <c r="A282" t="s">
        <v>1512</v>
      </c>
      <c r="B282">
        <v>2869</v>
      </c>
      <c r="C282" t="s">
        <v>1513</v>
      </c>
    </row>
    <row r="283" spans="1:3">
      <c r="A283" t="s">
        <v>1514</v>
      </c>
      <c r="B283">
        <v>2870</v>
      </c>
      <c r="C283" t="s">
        <v>1515</v>
      </c>
    </row>
    <row r="284" spans="1:3">
      <c r="A284" t="s">
        <v>1516</v>
      </c>
      <c r="B284">
        <v>2871</v>
      </c>
      <c r="C284" t="s">
        <v>1517</v>
      </c>
    </row>
    <row r="285" spans="1:3">
      <c r="A285" t="s">
        <v>1518</v>
      </c>
      <c r="B285">
        <v>2877</v>
      </c>
      <c r="C285" t="s">
        <v>1519</v>
      </c>
    </row>
    <row r="286" spans="1:3">
      <c r="A286" t="s">
        <v>1520</v>
      </c>
      <c r="B286">
        <v>2880</v>
      </c>
      <c r="C286" t="s">
        <v>1521</v>
      </c>
    </row>
    <row r="287" spans="1:3">
      <c r="A287" t="s">
        <v>1522</v>
      </c>
      <c r="B287">
        <v>2881</v>
      </c>
      <c r="C287" t="s">
        <v>1523</v>
      </c>
    </row>
    <row r="288" spans="1:3">
      <c r="A288" t="s">
        <v>1524</v>
      </c>
      <c r="B288">
        <v>2882</v>
      </c>
      <c r="C288" t="s">
        <v>1525</v>
      </c>
    </row>
    <row r="289" spans="1:3">
      <c r="A289" t="s">
        <v>1526</v>
      </c>
      <c r="B289">
        <v>2900</v>
      </c>
      <c r="C289" t="s">
        <v>1527</v>
      </c>
    </row>
    <row r="290" spans="1:3">
      <c r="A290" t="s">
        <v>3438</v>
      </c>
      <c r="B290">
        <v>2902</v>
      </c>
      <c r="C290" t="s">
        <v>3439</v>
      </c>
    </row>
    <row r="291" spans="1:3">
      <c r="A291" t="s">
        <v>3440</v>
      </c>
      <c r="B291">
        <v>2903</v>
      </c>
      <c r="C291" t="s">
        <v>3441</v>
      </c>
    </row>
    <row r="292" spans="1:3">
      <c r="A292" t="s">
        <v>1528</v>
      </c>
      <c r="B292">
        <v>2912</v>
      </c>
      <c r="C292" t="s">
        <v>1529</v>
      </c>
    </row>
    <row r="293" spans="1:3">
      <c r="A293" t="s">
        <v>1530</v>
      </c>
      <c r="B293">
        <v>2920</v>
      </c>
      <c r="C293" t="s">
        <v>1531</v>
      </c>
    </row>
    <row r="294" spans="1:3">
      <c r="A294" t="s">
        <v>1532</v>
      </c>
      <c r="B294">
        <v>2922</v>
      </c>
      <c r="C294" t="s">
        <v>1533</v>
      </c>
    </row>
    <row r="295" spans="1:3">
      <c r="A295" t="s">
        <v>3655</v>
      </c>
      <c r="B295">
        <v>2930</v>
      </c>
      <c r="C295" t="s">
        <v>3656</v>
      </c>
    </row>
    <row r="296" spans="1:3">
      <c r="A296" t="s">
        <v>1534</v>
      </c>
      <c r="B296">
        <v>2937</v>
      </c>
      <c r="C296" t="s">
        <v>1535</v>
      </c>
    </row>
    <row r="297" spans="1:3">
      <c r="A297" t="s">
        <v>1536</v>
      </c>
      <c r="B297">
        <v>2938</v>
      </c>
      <c r="C297" t="s">
        <v>1537</v>
      </c>
    </row>
    <row r="298" spans="1:3">
      <c r="A298" t="s">
        <v>1538</v>
      </c>
      <c r="B298">
        <v>2942</v>
      </c>
      <c r="C298" t="s">
        <v>1539</v>
      </c>
    </row>
    <row r="299" spans="1:3">
      <c r="A299" t="s">
        <v>1540</v>
      </c>
      <c r="B299">
        <v>2948</v>
      </c>
      <c r="C299" t="s">
        <v>1541</v>
      </c>
    </row>
    <row r="300" spans="1:3">
      <c r="A300" t="s">
        <v>1542</v>
      </c>
      <c r="B300">
        <v>2949</v>
      </c>
      <c r="C300" t="s">
        <v>1543</v>
      </c>
    </row>
    <row r="301" spans="1:3">
      <c r="A301" t="s">
        <v>1544</v>
      </c>
      <c r="B301">
        <v>2957</v>
      </c>
      <c r="C301" t="s">
        <v>1545</v>
      </c>
    </row>
    <row r="302" spans="1:3">
      <c r="A302" t="s">
        <v>1546</v>
      </c>
      <c r="B302">
        <v>2960</v>
      </c>
      <c r="C302" t="s">
        <v>1547</v>
      </c>
    </row>
    <row r="303" spans="1:3">
      <c r="A303" t="s">
        <v>1548</v>
      </c>
      <c r="B303">
        <v>2970</v>
      </c>
      <c r="C303" t="s">
        <v>1549</v>
      </c>
    </row>
    <row r="304" spans="1:3">
      <c r="A304" t="s">
        <v>1550</v>
      </c>
      <c r="B304">
        <v>2971</v>
      </c>
      <c r="C304" t="s">
        <v>1549</v>
      </c>
    </row>
    <row r="305" spans="1:3">
      <c r="A305" t="s">
        <v>1551</v>
      </c>
      <c r="B305">
        <v>2997</v>
      </c>
      <c r="C305" t="s">
        <v>1552</v>
      </c>
    </row>
    <row r="306" spans="1:3">
      <c r="A306" t="s">
        <v>2728</v>
      </c>
      <c r="B306">
        <v>2998</v>
      </c>
      <c r="C306" t="s">
        <v>2729</v>
      </c>
    </row>
    <row r="307" spans="1:3">
      <c r="A307" t="s">
        <v>1553</v>
      </c>
      <c r="B307">
        <v>2999</v>
      </c>
      <c r="C307" t="s">
        <v>1554</v>
      </c>
    </row>
    <row r="308" spans="1:3">
      <c r="A308" t="s">
        <v>1555</v>
      </c>
      <c r="B308">
        <v>3000</v>
      </c>
      <c r="C308" t="s">
        <v>1556</v>
      </c>
    </row>
    <row r="309" spans="1:3">
      <c r="A309" t="s">
        <v>1557</v>
      </c>
      <c r="B309">
        <v>3010</v>
      </c>
      <c r="C309" t="s">
        <v>1558</v>
      </c>
    </row>
    <row r="310" spans="1:3">
      <c r="A310" t="s">
        <v>3442</v>
      </c>
      <c r="B310">
        <v>3014</v>
      </c>
      <c r="C310" t="s">
        <v>3443</v>
      </c>
    </row>
    <row r="311" spans="1:3">
      <c r="A311" t="s">
        <v>3657</v>
      </c>
      <c r="B311">
        <v>3018</v>
      </c>
      <c r="C311" t="s">
        <v>3165</v>
      </c>
    </row>
    <row r="312" spans="1:3">
      <c r="A312" t="s">
        <v>1559</v>
      </c>
      <c r="B312">
        <v>3020</v>
      </c>
      <c r="C312" t="s">
        <v>1560</v>
      </c>
    </row>
    <row r="313" spans="1:3">
      <c r="A313" t="s">
        <v>1561</v>
      </c>
      <c r="B313">
        <v>3030</v>
      </c>
      <c r="C313" t="s">
        <v>1562</v>
      </c>
    </row>
    <row r="314" spans="1:3">
      <c r="A314" t="s">
        <v>3444</v>
      </c>
      <c r="B314">
        <v>3040</v>
      </c>
      <c r="C314" t="s">
        <v>3445</v>
      </c>
    </row>
    <row r="315" spans="1:3">
      <c r="A315" t="s">
        <v>1563</v>
      </c>
      <c r="B315">
        <v>3050</v>
      </c>
      <c r="C315" t="s">
        <v>1564</v>
      </c>
    </row>
    <row r="316" spans="1:3">
      <c r="A316" t="s">
        <v>1565</v>
      </c>
      <c r="B316">
        <v>3060</v>
      </c>
      <c r="C316" t="s">
        <v>1566</v>
      </c>
    </row>
    <row r="317" spans="1:3">
      <c r="A317" t="s">
        <v>1567</v>
      </c>
      <c r="B317">
        <v>3070</v>
      </c>
      <c r="C317" t="s">
        <v>1568</v>
      </c>
    </row>
    <row r="318" spans="1:3">
      <c r="A318" t="s">
        <v>1569</v>
      </c>
      <c r="B318">
        <v>3080</v>
      </c>
      <c r="C318" t="s">
        <v>1570</v>
      </c>
    </row>
    <row r="319" spans="1:3">
      <c r="A319" t="s">
        <v>1571</v>
      </c>
      <c r="B319">
        <v>3090</v>
      </c>
      <c r="C319" t="s">
        <v>1572</v>
      </c>
    </row>
    <row r="320" spans="1:3">
      <c r="A320" t="s">
        <v>3658</v>
      </c>
      <c r="B320">
        <v>3095</v>
      </c>
      <c r="C320" t="s">
        <v>3208</v>
      </c>
    </row>
    <row r="321" spans="1:3">
      <c r="A321" t="s">
        <v>1573</v>
      </c>
      <c r="B321">
        <v>3100</v>
      </c>
      <c r="C321" t="s">
        <v>1574</v>
      </c>
    </row>
    <row r="322" spans="1:3">
      <c r="A322" t="s">
        <v>1575</v>
      </c>
      <c r="B322">
        <v>3110</v>
      </c>
      <c r="C322" t="s">
        <v>1576</v>
      </c>
    </row>
    <row r="323" spans="1:3">
      <c r="A323" t="s">
        <v>1577</v>
      </c>
      <c r="B323">
        <v>3120</v>
      </c>
      <c r="C323" t="s">
        <v>1578</v>
      </c>
    </row>
    <row r="324" spans="1:3">
      <c r="A324" t="s">
        <v>1579</v>
      </c>
      <c r="B324">
        <v>3130</v>
      </c>
      <c r="C324" t="s">
        <v>1580</v>
      </c>
    </row>
    <row r="325" spans="1:3">
      <c r="A325" t="s">
        <v>1581</v>
      </c>
      <c r="B325">
        <v>3150</v>
      </c>
      <c r="C325" t="s">
        <v>1582</v>
      </c>
    </row>
    <row r="326" spans="1:3">
      <c r="A326" t="s">
        <v>1583</v>
      </c>
      <c r="B326">
        <v>3160</v>
      </c>
      <c r="C326" t="s">
        <v>1584</v>
      </c>
    </row>
    <row r="327" spans="1:3">
      <c r="A327" t="s">
        <v>1585</v>
      </c>
      <c r="B327">
        <v>3170</v>
      </c>
      <c r="C327" t="s">
        <v>1586</v>
      </c>
    </row>
    <row r="328" spans="1:3">
      <c r="A328" t="s">
        <v>1587</v>
      </c>
      <c r="B328">
        <v>3190</v>
      </c>
      <c r="C328" t="s">
        <v>1588</v>
      </c>
    </row>
    <row r="329" spans="1:3">
      <c r="A329" t="s">
        <v>3209</v>
      </c>
      <c r="B329">
        <v>3210</v>
      </c>
      <c r="C329" t="s">
        <v>3210</v>
      </c>
    </row>
    <row r="330" spans="1:3">
      <c r="A330" t="s">
        <v>1589</v>
      </c>
      <c r="B330">
        <v>3220</v>
      </c>
      <c r="C330" t="s">
        <v>1590</v>
      </c>
    </row>
    <row r="331" spans="1:3">
      <c r="A331" t="s">
        <v>3211</v>
      </c>
      <c r="B331">
        <v>3230</v>
      </c>
      <c r="C331" t="s">
        <v>3151</v>
      </c>
    </row>
    <row r="332" spans="1:3">
      <c r="A332" t="s">
        <v>1591</v>
      </c>
      <c r="B332">
        <v>3240</v>
      </c>
      <c r="C332" t="s">
        <v>1592</v>
      </c>
    </row>
    <row r="333" spans="1:3">
      <c r="A333" t="s">
        <v>1593</v>
      </c>
      <c r="B333">
        <v>3250</v>
      </c>
      <c r="C333" t="s">
        <v>1594</v>
      </c>
    </row>
    <row r="334" spans="1:3">
      <c r="A334" t="s">
        <v>3446</v>
      </c>
      <c r="B334">
        <v>3260</v>
      </c>
      <c r="C334" t="s">
        <v>3447</v>
      </c>
    </row>
    <row r="335" spans="1:3">
      <c r="A335" t="s">
        <v>1595</v>
      </c>
      <c r="B335">
        <v>3270</v>
      </c>
      <c r="C335" t="s">
        <v>1596</v>
      </c>
    </row>
    <row r="336" spans="1:3">
      <c r="A336" t="s">
        <v>3212</v>
      </c>
      <c r="B336">
        <v>3280</v>
      </c>
      <c r="C336" t="s">
        <v>3141</v>
      </c>
    </row>
    <row r="337" spans="1:3">
      <c r="A337" t="s">
        <v>3049</v>
      </c>
      <c r="B337">
        <v>3290</v>
      </c>
      <c r="C337" t="s">
        <v>3050</v>
      </c>
    </row>
    <row r="338" spans="1:3">
      <c r="A338" t="s">
        <v>1597</v>
      </c>
      <c r="B338">
        <v>3300</v>
      </c>
      <c r="C338" t="s">
        <v>1598</v>
      </c>
    </row>
    <row r="339" spans="1:3">
      <c r="A339" t="s">
        <v>3051</v>
      </c>
      <c r="B339">
        <v>3350</v>
      </c>
      <c r="C339" t="s">
        <v>3052</v>
      </c>
    </row>
    <row r="340" spans="1:3">
      <c r="A340" t="s">
        <v>3053</v>
      </c>
      <c r="B340">
        <v>3360</v>
      </c>
      <c r="C340" t="s">
        <v>3054</v>
      </c>
    </row>
    <row r="341" spans="1:3">
      <c r="A341" t="s">
        <v>3055</v>
      </c>
      <c r="B341">
        <v>3370</v>
      </c>
      <c r="C341" t="s">
        <v>3056</v>
      </c>
    </row>
    <row r="342" spans="1:3">
      <c r="A342" t="s">
        <v>3057</v>
      </c>
      <c r="B342">
        <v>3380</v>
      </c>
      <c r="C342" t="s">
        <v>3058</v>
      </c>
    </row>
    <row r="343" spans="1:3">
      <c r="A343" t="s">
        <v>3059</v>
      </c>
      <c r="B343">
        <v>3390</v>
      </c>
      <c r="C343" t="s">
        <v>3060</v>
      </c>
    </row>
    <row r="344" spans="1:3">
      <c r="A344" t="s">
        <v>3061</v>
      </c>
      <c r="B344">
        <v>3400</v>
      </c>
      <c r="C344" t="s">
        <v>3062</v>
      </c>
    </row>
    <row r="345" spans="1:3">
      <c r="A345" t="s">
        <v>3063</v>
      </c>
      <c r="B345">
        <v>3410</v>
      </c>
      <c r="C345" t="s">
        <v>3064</v>
      </c>
    </row>
    <row r="346" spans="1:3">
      <c r="A346" t="s">
        <v>3065</v>
      </c>
      <c r="B346">
        <v>3420</v>
      </c>
      <c r="C346" t="s">
        <v>3066</v>
      </c>
    </row>
    <row r="347" spans="1:3">
      <c r="A347" t="s">
        <v>1599</v>
      </c>
      <c r="B347">
        <v>3430</v>
      </c>
      <c r="C347" t="s">
        <v>1600</v>
      </c>
    </row>
    <row r="348" spans="1:3">
      <c r="A348" t="s">
        <v>3067</v>
      </c>
      <c r="B348">
        <v>3440</v>
      </c>
      <c r="C348" t="s">
        <v>3068</v>
      </c>
    </row>
    <row r="349" spans="1:3">
      <c r="A349" t="s">
        <v>3448</v>
      </c>
      <c r="B349">
        <v>3450</v>
      </c>
      <c r="C349" t="s">
        <v>3449</v>
      </c>
    </row>
    <row r="350" spans="1:3">
      <c r="A350" t="s">
        <v>3659</v>
      </c>
      <c r="B350">
        <v>3460</v>
      </c>
      <c r="C350" t="s">
        <v>3660</v>
      </c>
    </row>
    <row r="351" spans="1:3">
      <c r="A351" t="s">
        <v>1601</v>
      </c>
      <c r="B351">
        <v>3470</v>
      </c>
      <c r="C351" t="s">
        <v>1602</v>
      </c>
    </row>
    <row r="352" spans="1:3">
      <c r="A352" t="s">
        <v>1603</v>
      </c>
      <c r="B352">
        <v>3480</v>
      </c>
      <c r="C352" t="s">
        <v>1604</v>
      </c>
    </row>
    <row r="353" spans="1:3">
      <c r="A353" t="s">
        <v>3661</v>
      </c>
      <c r="B353">
        <v>3490</v>
      </c>
      <c r="C353" t="s">
        <v>3662</v>
      </c>
    </row>
    <row r="354" spans="1:3">
      <c r="A354" t="s">
        <v>1605</v>
      </c>
      <c r="B354">
        <v>3500</v>
      </c>
      <c r="C354" t="s">
        <v>1606</v>
      </c>
    </row>
    <row r="355" spans="1:3">
      <c r="A355" t="s">
        <v>1607</v>
      </c>
      <c r="B355">
        <v>3510</v>
      </c>
      <c r="C355" t="s">
        <v>1608</v>
      </c>
    </row>
    <row r="356" spans="1:3">
      <c r="A356" t="s">
        <v>1609</v>
      </c>
      <c r="B356">
        <v>3520</v>
      </c>
      <c r="C356" t="s">
        <v>1610</v>
      </c>
    </row>
    <row r="357" spans="1:3">
      <c r="A357" t="s">
        <v>1611</v>
      </c>
      <c r="B357">
        <v>3530</v>
      </c>
      <c r="C357" t="s">
        <v>1612</v>
      </c>
    </row>
    <row r="358" spans="1:3">
      <c r="A358" t="s">
        <v>1613</v>
      </c>
      <c r="B358">
        <v>3590</v>
      </c>
      <c r="C358" t="s">
        <v>1614</v>
      </c>
    </row>
    <row r="359" spans="1:3">
      <c r="A359" t="s">
        <v>1615</v>
      </c>
      <c r="B359">
        <v>3610</v>
      </c>
      <c r="C359" t="s">
        <v>1616</v>
      </c>
    </row>
    <row r="360" spans="1:3">
      <c r="A360" t="s">
        <v>1617</v>
      </c>
      <c r="B360">
        <v>3620</v>
      </c>
      <c r="C360" t="s">
        <v>1618</v>
      </c>
    </row>
    <row r="361" spans="1:3">
      <c r="A361" t="s">
        <v>1619</v>
      </c>
      <c r="B361">
        <v>3640</v>
      </c>
      <c r="C361" t="s">
        <v>1620</v>
      </c>
    </row>
    <row r="362" spans="1:3">
      <c r="A362" t="s">
        <v>1621</v>
      </c>
      <c r="B362">
        <v>3660</v>
      </c>
      <c r="C362" t="s">
        <v>1622</v>
      </c>
    </row>
    <row r="363" spans="1:3">
      <c r="A363" t="s">
        <v>1623</v>
      </c>
      <c r="B363">
        <v>3670</v>
      </c>
      <c r="C363" t="s">
        <v>1624</v>
      </c>
    </row>
    <row r="364" spans="1:3">
      <c r="A364" t="s">
        <v>3069</v>
      </c>
      <c r="B364">
        <v>3690</v>
      </c>
      <c r="C364" t="s">
        <v>3070</v>
      </c>
    </row>
    <row r="365" spans="1:3">
      <c r="A365" t="s">
        <v>3213</v>
      </c>
      <c r="B365">
        <v>3710</v>
      </c>
      <c r="C365" t="s">
        <v>3214</v>
      </c>
    </row>
    <row r="366" spans="1:3">
      <c r="A366" t="s">
        <v>1625</v>
      </c>
      <c r="B366">
        <v>3720</v>
      </c>
      <c r="C366" t="s">
        <v>1626</v>
      </c>
    </row>
    <row r="367" spans="1:3">
      <c r="A367" t="s">
        <v>1627</v>
      </c>
      <c r="B367">
        <v>3730</v>
      </c>
      <c r="C367" t="s">
        <v>1628</v>
      </c>
    </row>
    <row r="368" spans="1:3">
      <c r="A368" t="s">
        <v>1629</v>
      </c>
      <c r="B368">
        <v>3750</v>
      </c>
      <c r="C368" t="s">
        <v>1630</v>
      </c>
    </row>
    <row r="369" spans="1:3">
      <c r="A369" t="s">
        <v>1631</v>
      </c>
      <c r="B369">
        <v>3770</v>
      </c>
      <c r="C369" t="s">
        <v>1632</v>
      </c>
    </row>
    <row r="370" spans="1:3">
      <c r="A370" t="s">
        <v>1633</v>
      </c>
      <c r="B370">
        <v>3780</v>
      </c>
      <c r="C370" t="s">
        <v>1634</v>
      </c>
    </row>
    <row r="371" spans="1:3">
      <c r="A371" t="s">
        <v>1635</v>
      </c>
      <c r="B371">
        <v>3790</v>
      </c>
      <c r="C371" t="s">
        <v>1636</v>
      </c>
    </row>
    <row r="372" spans="1:3">
      <c r="A372" t="s">
        <v>1637</v>
      </c>
      <c r="B372">
        <v>3800</v>
      </c>
      <c r="C372" t="s">
        <v>1638</v>
      </c>
    </row>
    <row r="373" spans="1:3">
      <c r="A373" t="s">
        <v>1639</v>
      </c>
      <c r="B373">
        <v>3810</v>
      </c>
      <c r="C373" t="s">
        <v>1640</v>
      </c>
    </row>
    <row r="374" spans="1:3">
      <c r="A374" t="s">
        <v>1641</v>
      </c>
      <c r="B374">
        <v>3820</v>
      </c>
      <c r="C374" t="s">
        <v>1642</v>
      </c>
    </row>
    <row r="375" spans="1:3">
      <c r="A375" t="s">
        <v>1643</v>
      </c>
      <c r="B375">
        <v>3830</v>
      </c>
      <c r="C375" t="s">
        <v>1644</v>
      </c>
    </row>
    <row r="376" spans="1:3">
      <c r="A376" t="s">
        <v>1645</v>
      </c>
      <c r="B376">
        <v>3840</v>
      </c>
      <c r="C376" t="s">
        <v>1646</v>
      </c>
    </row>
    <row r="377" spans="1:3">
      <c r="A377" t="s">
        <v>1647</v>
      </c>
      <c r="B377">
        <v>3860</v>
      </c>
      <c r="C377" t="s">
        <v>1648</v>
      </c>
    </row>
    <row r="378" spans="1:3">
      <c r="A378" t="s">
        <v>1649</v>
      </c>
      <c r="B378">
        <v>3870</v>
      </c>
      <c r="C378" t="s">
        <v>1650</v>
      </c>
    </row>
    <row r="379" spans="1:3">
      <c r="A379" t="s">
        <v>1651</v>
      </c>
      <c r="B379">
        <v>3880</v>
      </c>
      <c r="C379" t="s">
        <v>1652</v>
      </c>
    </row>
    <row r="380" spans="1:3">
      <c r="A380" t="s">
        <v>1653</v>
      </c>
      <c r="B380">
        <v>3890</v>
      </c>
      <c r="C380" t="s">
        <v>1654</v>
      </c>
    </row>
    <row r="381" spans="1:3">
      <c r="A381" t="s">
        <v>1655</v>
      </c>
      <c r="B381">
        <v>3900</v>
      </c>
      <c r="C381" t="s">
        <v>1656</v>
      </c>
    </row>
    <row r="382" spans="1:3">
      <c r="A382" t="s">
        <v>1657</v>
      </c>
      <c r="B382">
        <v>3930</v>
      </c>
      <c r="C382" t="s">
        <v>27</v>
      </c>
    </row>
    <row r="383" spans="1:3">
      <c r="A383" t="s">
        <v>1658</v>
      </c>
      <c r="B383">
        <v>3940</v>
      </c>
      <c r="C383" t="s">
        <v>1659</v>
      </c>
    </row>
    <row r="384" spans="1:3">
      <c r="A384" t="s">
        <v>1660</v>
      </c>
      <c r="B384">
        <v>3960</v>
      </c>
      <c r="C384" t="s">
        <v>1661</v>
      </c>
    </row>
    <row r="385" spans="1:3">
      <c r="A385" t="s">
        <v>1662</v>
      </c>
      <c r="B385">
        <v>3970</v>
      </c>
      <c r="C385" t="s">
        <v>1663</v>
      </c>
    </row>
    <row r="386" spans="1:3">
      <c r="A386" t="s">
        <v>2730</v>
      </c>
      <c r="B386">
        <v>3998</v>
      </c>
      <c r="C386" t="s">
        <v>2731</v>
      </c>
    </row>
    <row r="387" spans="1:3">
      <c r="A387" t="s">
        <v>1664</v>
      </c>
      <c r="B387">
        <v>4000</v>
      </c>
      <c r="C387" t="s">
        <v>3071</v>
      </c>
    </row>
    <row r="388" spans="1:3">
      <c r="A388" t="s">
        <v>1665</v>
      </c>
      <c r="B388">
        <v>4010</v>
      </c>
      <c r="C388" t="s">
        <v>1666</v>
      </c>
    </row>
    <row r="389" spans="1:3">
      <c r="A389" t="s">
        <v>1667</v>
      </c>
      <c r="B389">
        <v>4014</v>
      </c>
      <c r="C389" t="s">
        <v>1668</v>
      </c>
    </row>
    <row r="390" spans="1:3">
      <c r="A390" t="s">
        <v>3072</v>
      </c>
      <c r="B390">
        <v>4030</v>
      </c>
      <c r="C390" t="s">
        <v>3073</v>
      </c>
    </row>
    <row r="391" spans="1:3">
      <c r="A391" t="s">
        <v>1669</v>
      </c>
      <c r="B391">
        <v>4060</v>
      </c>
      <c r="C391" t="s">
        <v>1670</v>
      </c>
    </row>
    <row r="392" spans="1:3">
      <c r="A392" t="s">
        <v>1671</v>
      </c>
      <c r="B392">
        <v>4070</v>
      </c>
      <c r="C392" t="s">
        <v>1672</v>
      </c>
    </row>
    <row r="393" spans="1:3">
      <c r="A393" t="s">
        <v>1673</v>
      </c>
      <c r="B393">
        <v>4080</v>
      </c>
      <c r="C393" t="s">
        <v>1674</v>
      </c>
    </row>
    <row r="394" spans="1:3">
      <c r="A394" t="s">
        <v>1675</v>
      </c>
      <c r="B394">
        <v>4100</v>
      </c>
      <c r="C394" t="s">
        <v>1676</v>
      </c>
    </row>
    <row r="395" spans="1:3">
      <c r="A395" t="s">
        <v>1677</v>
      </c>
      <c r="B395">
        <v>4220</v>
      </c>
      <c r="C395" t="s">
        <v>1678</v>
      </c>
    </row>
    <row r="396" spans="1:3">
      <c r="A396" t="s">
        <v>3074</v>
      </c>
      <c r="B396">
        <v>4230</v>
      </c>
      <c r="C396" t="s">
        <v>3075</v>
      </c>
    </row>
    <row r="397" spans="1:3">
      <c r="A397" t="s">
        <v>1679</v>
      </c>
      <c r="B397">
        <v>4240</v>
      </c>
      <c r="C397" t="s">
        <v>1680</v>
      </c>
    </row>
    <row r="398" spans="1:3">
      <c r="A398" t="s">
        <v>2997</v>
      </c>
      <c r="B398">
        <v>4250</v>
      </c>
      <c r="C398" t="s">
        <v>2998</v>
      </c>
    </row>
    <row r="399" spans="1:3">
      <c r="A399" t="s">
        <v>1681</v>
      </c>
      <c r="B399">
        <v>4260</v>
      </c>
      <c r="C399" t="s">
        <v>1682</v>
      </c>
    </row>
    <row r="400" spans="1:3">
      <c r="A400" t="s">
        <v>1683</v>
      </c>
      <c r="B400">
        <v>4290</v>
      </c>
      <c r="C400" t="s">
        <v>1684</v>
      </c>
    </row>
    <row r="401" spans="1:3">
      <c r="A401" t="s">
        <v>1685</v>
      </c>
      <c r="B401">
        <v>4300</v>
      </c>
      <c r="C401" t="s">
        <v>1686</v>
      </c>
    </row>
    <row r="402" spans="1:3">
      <c r="A402" t="s">
        <v>1687</v>
      </c>
      <c r="B402">
        <v>4310</v>
      </c>
      <c r="C402" t="s">
        <v>1688</v>
      </c>
    </row>
    <row r="403" spans="1:3">
      <c r="A403" t="s">
        <v>1689</v>
      </c>
      <c r="B403">
        <v>4311</v>
      </c>
      <c r="C403" t="s">
        <v>1690</v>
      </c>
    </row>
    <row r="404" spans="1:3">
      <c r="A404" t="s">
        <v>1691</v>
      </c>
      <c r="B404">
        <v>4312</v>
      </c>
      <c r="C404" t="s">
        <v>1692</v>
      </c>
    </row>
    <row r="405" spans="1:3">
      <c r="A405" t="s">
        <v>1693</v>
      </c>
      <c r="B405">
        <v>4313</v>
      </c>
      <c r="C405" t="s">
        <v>1694</v>
      </c>
    </row>
    <row r="406" spans="1:3">
      <c r="A406" t="s">
        <v>2732</v>
      </c>
      <c r="B406">
        <v>4314</v>
      </c>
      <c r="C406" t="s">
        <v>2733</v>
      </c>
    </row>
    <row r="407" spans="1:3">
      <c r="A407" t="s">
        <v>2999</v>
      </c>
      <c r="B407">
        <v>4315</v>
      </c>
      <c r="C407" t="s">
        <v>3000</v>
      </c>
    </row>
    <row r="408" spans="1:3">
      <c r="A408" t="s">
        <v>3450</v>
      </c>
      <c r="B408">
        <v>4350</v>
      </c>
      <c r="C408" t="s">
        <v>3451</v>
      </c>
    </row>
    <row r="409" spans="1:3">
      <c r="A409" t="s">
        <v>1695</v>
      </c>
      <c r="B409">
        <v>4360</v>
      </c>
      <c r="C409" t="s">
        <v>1696</v>
      </c>
    </row>
    <row r="410" spans="1:3">
      <c r="A410" t="s">
        <v>1697</v>
      </c>
      <c r="B410">
        <v>4361</v>
      </c>
      <c r="C410" t="s">
        <v>1698</v>
      </c>
    </row>
    <row r="411" spans="1:3">
      <c r="A411" t="s">
        <v>1699</v>
      </c>
      <c r="B411">
        <v>4362</v>
      </c>
      <c r="C411" t="s">
        <v>1700</v>
      </c>
    </row>
    <row r="412" spans="1:3">
      <c r="A412" t="s">
        <v>1701</v>
      </c>
      <c r="B412">
        <v>4363</v>
      </c>
      <c r="C412" t="s">
        <v>1702</v>
      </c>
    </row>
    <row r="413" spans="1:3">
      <c r="A413" t="s">
        <v>1703</v>
      </c>
      <c r="B413">
        <v>4366</v>
      </c>
      <c r="C413" t="s">
        <v>1704</v>
      </c>
    </row>
    <row r="414" spans="1:3">
      <c r="A414" t="s">
        <v>3215</v>
      </c>
      <c r="B414">
        <v>4370</v>
      </c>
      <c r="C414" t="s">
        <v>3216</v>
      </c>
    </row>
    <row r="415" spans="1:3">
      <c r="A415" t="s">
        <v>3217</v>
      </c>
      <c r="B415">
        <v>4371</v>
      </c>
      <c r="C415" t="s">
        <v>3218</v>
      </c>
    </row>
    <row r="416" spans="1:3">
      <c r="A416" t="s">
        <v>1705</v>
      </c>
      <c r="B416">
        <v>4460</v>
      </c>
      <c r="C416" t="s">
        <v>1706</v>
      </c>
    </row>
    <row r="417" spans="1:3">
      <c r="A417" t="s">
        <v>1707</v>
      </c>
      <c r="B417">
        <v>4461</v>
      </c>
      <c r="C417" t="s">
        <v>1708</v>
      </c>
    </row>
    <row r="418" spans="1:3">
      <c r="A418" t="s">
        <v>1709</v>
      </c>
      <c r="B418">
        <v>4462</v>
      </c>
      <c r="C418" t="s">
        <v>1710</v>
      </c>
    </row>
    <row r="419" spans="1:3">
      <c r="A419" t="s">
        <v>1711</v>
      </c>
      <c r="B419">
        <v>4463</v>
      </c>
      <c r="C419" t="s">
        <v>1712</v>
      </c>
    </row>
    <row r="420" spans="1:3">
      <c r="A420" t="s">
        <v>2734</v>
      </c>
      <c r="B420">
        <v>4470</v>
      </c>
      <c r="C420" t="s">
        <v>2735</v>
      </c>
    </row>
    <row r="421" spans="1:3">
      <c r="A421" t="s">
        <v>2736</v>
      </c>
      <c r="B421">
        <v>4471</v>
      </c>
      <c r="C421" t="s">
        <v>2737</v>
      </c>
    </row>
    <row r="422" spans="1:3">
      <c r="A422" t="s">
        <v>2738</v>
      </c>
      <c r="B422">
        <v>4472</v>
      </c>
      <c r="C422" t="s">
        <v>2739</v>
      </c>
    </row>
    <row r="423" spans="1:3">
      <c r="A423" t="s">
        <v>2740</v>
      </c>
      <c r="B423">
        <v>4473</v>
      </c>
      <c r="C423" t="s">
        <v>2741</v>
      </c>
    </row>
    <row r="424" spans="1:3">
      <c r="A424" t="s">
        <v>1713</v>
      </c>
      <c r="B424">
        <v>4500</v>
      </c>
      <c r="C424" t="s">
        <v>1714</v>
      </c>
    </row>
    <row r="425" spans="1:3">
      <c r="A425" t="s">
        <v>1715</v>
      </c>
      <c r="B425">
        <v>4510</v>
      </c>
      <c r="C425" t="s">
        <v>1716</v>
      </c>
    </row>
    <row r="426" spans="1:3">
      <c r="A426" t="s">
        <v>1717</v>
      </c>
      <c r="B426">
        <v>4540</v>
      </c>
      <c r="C426" t="s">
        <v>1718</v>
      </c>
    </row>
    <row r="427" spans="1:3">
      <c r="A427" t="s">
        <v>1719</v>
      </c>
      <c r="B427">
        <v>4550</v>
      </c>
      <c r="C427" t="s">
        <v>1720</v>
      </c>
    </row>
    <row r="428" spans="1:3">
      <c r="A428" t="s">
        <v>1721</v>
      </c>
      <c r="B428">
        <v>4590</v>
      </c>
      <c r="C428" t="s">
        <v>1722</v>
      </c>
    </row>
    <row r="429" spans="1:3">
      <c r="A429" t="s">
        <v>1723</v>
      </c>
      <c r="B429">
        <v>4610</v>
      </c>
      <c r="C429" t="s">
        <v>1724</v>
      </c>
    </row>
    <row r="430" spans="1:3">
      <c r="A430" t="s">
        <v>1725</v>
      </c>
      <c r="B430">
        <v>4660</v>
      </c>
      <c r="C430" t="s">
        <v>1726</v>
      </c>
    </row>
    <row r="431" spans="1:3">
      <c r="A431" t="s">
        <v>1727</v>
      </c>
      <c r="B431">
        <v>4700</v>
      </c>
      <c r="C431" t="s">
        <v>1441</v>
      </c>
    </row>
    <row r="432" spans="1:3">
      <c r="A432" t="s">
        <v>1728</v>
      </c>
      <c r="B432">
        <v>4710</v>
      </c>
      <c r="C432" t="s">
        <v>1729</v>
      </c>
    </row>
    <row r="433" spans="1:3">
      <c r="A433" t="s">
        <v>1730</v>
      </c>
      <c r="B433">
        <v>4711</v>
      </c>
      <c r="C433" t="s">
        <v>1731</v>
      </c>
    </row>
    <row r="434" spans="1:3">
      <c r="A434" t="s">
        <v>1732</v>
      </c>
      <c r="B434">
        <v>4720</v>
      </c>
      <c r="C434" t="s">
        <v>1733</v>
      </c>
    </row>
    <row r="435" spans="1:3">
      <c r="A435" t="s">
        <v>1734</v>
      </c>
      <c r="B435">
        <v>4730</v>
      </c>
      <c r="C435" t="s">
        <v>1735</v>
      </c>
    </row>
    <row r="436" spans="1:3">
      <c r="A436" t="s">
        <v>1736</v>
      </c>
      <c r="B436">
        <v>4740</v>
      </c>
      <c r="C436" t="s">
        <v>1737</v>
      </c>
    </row>
    <row r="437" spans="1:3">
      <c r="A437" t="s">
        <v>1738</v>
      </c>
      <c r="B437">
        <v>4750</v>
      </c>
      <c r="C437" t="s">
        <v>1739</v>
      </c>
    </row>
    <row r="438" spans="1:3">
      <c r="A438" t="s">
        <v>1740</v>
      </c>
      <c r="B438">
        <v>4760</v>
      </c>
      <c r="C438" t="s">
        <v>1741</v>
      </c>
    </row>
    <row r="439" spans="1:3">
      <c r="A439" t="s">
        <v>1742</v>
      </c>
      <c r="B439">
        <v>4766</v>
      </c>
      <c r="C439" t="s">
        <v>1743</v>
      </c>
    </row>
    <row r="440" spans="1:3">
      <c r="A440" t="s">
        <v>1744</v>
      </c>
      <c r="B440">
        <v>4767</v>
      </c>
      <c r="C440" t="s">
        <v>1745</v>
      </c>
    </row>
    <row r="441" spans="1:3">
      <c r="A441" t="s">
        <v>1746</v>
      </c>
      <c r="B441">
        <v>4768</v>
      </c>
      <c r="C441" t="s">
        <v>1747</v>
      </c>
    </row>
    <row r="442" spans="1:3">
      <c r="A442" t="s">
        <v>1748</v>
      </c>
      <c r="B442">
        <v>4769</v>
      </c>
      <c r="C442" t="s">
        <v>3219</v>
      </c>
    </row>
    <row r="443" spans="1:3">
      <c r="A443" t="s">
        <v>1749</v>
      </c>
      <c r="B443">
        <v>4770</v>
      </c>
      <c r="C443" t="s">
        <v>1750</v>
      </c>
    </row>
    <row r="444" spans="1:3">
      <c r="A444" t="s">
        <v>1751</v>
      </c>
      <c r="B444">
        <v>4780</v>
      </c>
      <c r="C444" t="s">
        <v>1752</v>
      </c>
    </row>
    <row r="445" spans="1:3">
      <c r="A445" t="s">
        <v>1753</v>
      </c>
      <c r="B445">
        <v>4800</v>
      </c>
      <c r="C445" t="s">
        <v>1754</v>
      </c>
    </row>
    <row r="446" spans="1:3">
      <c r="A446" t="s">
        <v>3076</v>
      </c>
      <c r="B446">
        <v>4810</v>
      </c>
      <c r="C446" t="s">
        <v>3077</v>
      </c>
    </row>
    <row r="447" spans="1:3">
      <c r="A447" t="s">
        <v>3220</v>
      </c>
      <c r="B447">
        <v>4820</v>
      </c>
      <c r="C447" t="s">
        <v>3221</v>
      </c>
    </row>
    <row r="448" spans="1:3">
      <c r="A448" t="s">
        <v>1755</v>
      </c>
      <c r="B448">
        <v>4860</v>
      </c>
      <c r="C448" t="s">
        <v>1756</v>
      </c>
    </row>
    <row r="449" spans="1:3">
      <c r="A449" t="s">
        <v>1757</v>
      </c>
      <c r="B449">
        <v>4880</v>
      </c>
      <c r="C449" t="s">
        <v>1758</v>
      </c>
    </row>
    <row r="450" spans="1:3">
      <c r="A450" t="s">
        <v>3452</v>
      </c>
      <c r="B450">
        <v>4890</v>
      </c>
      <c r="C450" t="s">
        <v>3453</v>
      </c>
    </row>
    <row r="451" spans="1:3">
      <c r="A451" t="s">
        <v>3454</v>
      </c>
      <c r="B451">
        <v>4900</v>
      </c>
      <c r="C451" t="s">
        <v>1527</v>
      </c>
    </row>
    <row r="452" spans="1:3">
      <c r="A452" t="s">
        <v>2742</v>
      </c>
      <c r="B452">
        <v>4998</v>
      </c>
      <c r="C452" t="s">
        <v>2743</v>
      </c>
    </row>
    <row r="453" spans="1:3">
      <c r="A453" t="s">
        <v>1759</v>
      </c>
      <c r="B453">
        <v>5001</v>
      </c>
      <c r="C453" t="s">
        <v>1760</v>
      </c>
    </row>
    <row r="454" spans="1:3">
      <c r="A454" t="s">
        <v>1761</v>
      </c>
      <c r="B454">
        <v>5010</v>
      </c>
      <c r="C454" t="s">
        <v>1762</v>
      </c>
    </row>
    <row r="455" spans="1:3">
      <c r="A455" t="s">
        <v>1763</v>
      </c>
      <c r="B455">
        <v>5020</v>
      </c>
      <c r="C455" t="s">
        <v>1764</v>
      </c>
    </row>
    <row r="456" spans="1:3">
      <c r="A456" t="s">
        <v>1765</v>
      </c>
      <c r="B456">
        <v>5050</v>
      </c>
      <c r="C456" t="s">
        <v>1766</v>
      </c>
    </row>
    <row r="457" spans="1:3">
      <c r="A457" t="s">
        <v>1767</v>
      </c>
      <c r="B457">
        <v>5100</v>
      </c>
      <c r="C457" t="s">
        <v>1768</v>
      </c>
    </row>
    <row r="458" spans="1:3">
      <c r="A458" t="s">
        <v>1769</v>
      </c>
      <c r="B458">
        <v>5172</v>
      </c>
      <c r="C458" t="s">
        <v>1770</v>
      </c>
    </row>
    <row r="459" spans="1:3">
      <c r="A459" t="s">
        <v>1771</v>
      </c>
      <c r="B459">
        <v>5174</v>
      </c>
      <c r="C459" t="s">
        <v>3222</v>
      </c>
    </row>
    <row r="460" spans="1:3">
      <c r="A460" t="s">
        <v>3455</v>
      </c>
      <c r="B460">
        <v>5175</v>
      </c>
      <c r="C460" t="s">
        <v>3456</v>
      </c>
    </row>
    <row r="461" spans="1:3">
      <c r="A461" t="s">
        <v>1772</v>
      </c>
      <c r="B461">
        <v>5176</v>
      </c>
      <c r="C461" t="s">
        <v>3223</v>
      </c>
    </row>
    <row r="462" spans="1:3">
      <c r="A462" t="s">
        <v>3457</v>
      </c>
      <c r="B462">
        <v>5177</v>
      </c>
      <c r="C462" t="s">
        <v>3458</v>
      </c>
    </row>
    <row r="463" spans="1:3">
      <c r="A463" t="s">
        <v>3459</v>
      </c>
      <c r="B463">
        <v>5178</v>
      </c>
      <c r="C463" t="s">
        <v>3460</v>
      </c>
    </row>
    <row r="464" spans="1:3">
      <c r="A464" t="s">
        <v>3078</v>
      </c>
      <c r="B464">
        <v>5179</v>
      </c>
      <c r="C464" t="s">
        <v>3079</v>
      </c>
    </row>
    <row r="465" spans="1:3">
      <c r="A465" t="s">
        <v>3663</v>
      </c>
      <c r="B465">
        <v>5180</v>
      </c>
      <c r="C465" t="s">
        <v>3664</v>
      </c>
    </row>
    <row r="466" spans="1:3">
      <c r="A466" t="s">
        <v>1773</v>
      </c>
      <c r="B466">
        <v>5200</v>
      </c>
      <c r="C466" t="s">
        <v>1774</v>
      </c>
    </row>
    <row r="467" spans="1:3">
      <c r="A467" t="s">
        <v>1775</v>
      </c>
      <c r="B467">
        <v>5220</v>
      </c>
      <c r="C467" t="s">
        <v>1776</v>
      </c>
    </row>
    <row r="468" spans="1:3">
      <c r="A468" t="s">
        <v>1777</v>
      </c>
      <c r="B468">
        <v>5238</v>
      </c>
      <c r="C468" t="s">
        <v>1778</v>
      </c>
    </row>
    <row r="469" spans="1:3">
      <c r="A469" t="s">
        <v>1779</v>
      </c>
      <c r="B469">
        <v>5330</v>
      </c>
      <c r="C469" t="s">
        <v>1780</v>
      </c>
    </row>
    <row r="470" spans="1:3">
      <c r="A470" t="s">
        <v>1781</v>
      </c>
      <c r="B470">
        <v>5360</v>
      </c>
      <c r="C470" t="s">
        <v>1782</v>
      </c>
    </row>
    <row r="471" spans="1:3">
      <c r="A471" t="s">
        <v>1783</v>
      </c>
      <c r="B471">
        <v>5370</v>
      </c>
      <c r="C471" t="s">
        <v>1784</v>
      </c>
    </row>
    <row r="472" spans="1:3">
      <c r="A472" t="s">
        <v>2744</v>
      </c>
      <c r="B472">
        <v>5400</v>
      </c>
      <c r="C472" t="s">
        <v>2745</v>
      </c>
    </row>
    <row r="473" spans="1:3">
      <c r="A473" t="s">
        <v>2746</v>
      </c>
      <c r="B473">
        <v>5420</v>
      </c>
      <c r="C473" t="s">
        <v>2747</v>
      </c>
    </row>
    <row r="474" spans="1:3">
      <c r="A474" t="s">
        <v>1785</v>
      </c>
      <c r="B474">
        <v>5880</v>
      </c>
      <c r="C474" t="s">
        <v>1786</v>
      </c>
    </row>
    <row r="475" spans="1:3">
      <c r="A475" t="s">
        <v>1787</v>
      </c>
      <c r="B475">
        <v>5881</v>
      </c>
      <c r="C475" t="s">
        <v>1788</v>
      </c>
    </row>
    <row r="476" spans="1:3">
      <c r="A476" t="s">
        <v>1789</v>
      </c>
      <c r="B476">
        <v>5910</v>
      </c>
      <c r="C476" t="s">
        <v>1790</v>
      </c>
    </row>
    <row r="477" spans="1:3">
      <c r="A477" t="s">
        <v>2748</v>
      </c>
      <c r="B477">
        <v>5998</v>
      </c>
      <c r="C477" t="s">
        <v>2749</v>
      </c>
    </row>
    <row r="478" spans="1:3">
      <c r="A478" t="s">
        <v>1791</v>
      </c>
      <c r="B478">
        <v>6010</v>
      </c>
      <c r="C478" t="s">
        <v>1792</v>
      </c>
    </row>
    <row r="479" spans="1:3">
      <c r="A479" t="s">
        <v>1793</v>
      </c>
      <c r="B479">
        <v>6011</v>
      </c>
      <c r="C479" t="s">
        <v>3001</v>
      </c>
    </row>
    <row r="480" spans="1:3">
      <c r="A480" t="s">
        <v>3224</v>
      </c>
      <c r="B480">
        <v>6018</v>
      </c>
      <c r="C480" t="s">
        <v>3225</v>
      </c>
    </row>
    <row r="481" spans="1:3">
      <c r="A481" t="s">
        <v>1794</v>
      </c>
      <c r="B481">
        <v>6020</v>
      </c>
      <c r="C481" t="s">
        <v>1795</v>
      </c>
    </row>
    <row r="482" spans="1:3">
      <c r="A482" t="s">
        <v>1796</v>
      </c>
      <c r="B482">
        <v>6030</v>
      </c>
      <c r="C482" t="s">
        <v>1797</v>
      </c>
    </row>
    <row r="483" spans="1:3">
      <c r="A483" t="s">
        <v>1798</v>
      </c>
      <c r="B483">
        <v>6040</v>
      </c>
      <c r="C483" t="s">
        <v>1799</v>
      </c>
    </row>
    <row r="484" spans="1:3">
      <c r="A484" t="s">
        <v>1800</v>
      </c>
      <c r="B484">
        <v>6050</v>
      </c>
      <c r="C484" t="s">
        <v>1801</v>
      </c>
    </row>
    <row r="485" spans="1:3">
      <c r="A485" t="s">
        <v>1802</v>
      </c>
      <c r="B485">
        <v>6060</v>
      </c>
      <c r="C485" t="s">
        <v>1803</v>
      </c>
    </row>
    <row r="486" spans="1:3">
      <c r="A486" t="s">
        <v>1804</v>
      </c>
      <c r="B486">
        <v>6070</v>
      </c>
      <c r="C486" t="s">
        <v>1805</v>
      </c>
    </row>
    <row r="487" spans="1:3">
      <c r="A487" t="s">
        <v>1806</v>
      </c>
      <c r="B487">
        <v>6080</v>
      </c>
      <c r="C487" t="s">
        <v>1807</v>
      </c>
    </row>
    <row r="488" spans="1:3">
      <c r="A488" t="s">
        <v>1808</v>
      </c>
      <c r="B488">
        <v>6090</v>
      </c>
      <c r="C488" t="s">
        <v>1809</v>
      </c>
    </row>
    <row r="489" spans="1:3">
      <c r="A489" t="s">
        <v>1810</v>
      </c>
      <c r="B489">
        <v>6100</v>
      </c>
      <c r="C489" t="s">
        <v>1811</v>
      </c>
    </row>
    <row r="490" spans="1:3">
      <c r="A490" t="s">
        <v>3461</v>
      </c>
      <c r="B490">
        <v>6110</v>
      </c>
      <c r="C490" t="s">
        <v>3462</v>
      </c>
    </row>
    <row r="491" spans="1:3">
      <c r="A491" t="s">
        <v>2750</v>
      </c>
      <c r="B491">
        <v>6129</v>
      </c>
      <c r="C491" t="s">
        <v>2751</v>
      </c>
    </row>
    <row r="492" spans="1:3">
      <c r="A492" t="s">
        <v>1812</v>
      </c>
      <c r="B492">
        <v>6136</v>
      </c>
      <c r="C492" t="s">
        <v>1813</v>
      </c>
    </row>
    <row r="493" spans="1:3">
      <c r="A493" t="s">
        <v>2752</v>
      </c>
      <c r="B493">
        <v>6137</v>
      </c>
      <c r="C493" t="s">
        <v>2753</v>
      </c>
    </row>
    <row r="494" spans="1:3">
      <c r="A494" t="s">
        <v>1814</v>
      </c>
      <c r="B494">
        <v>6150</v>
      </c>
      <c r="C494" t="s">
        <v>1815</v>
      </c>
    </row>
    <row r="495" spans="1:3">
      <c r="A495" t="s">
        <v>1816</v>
      </c>
      <c r="B495">
        <v>6170</v>
      </c>
      <c r="C495" t="s">
        <v>1817</v>
      </c>
    </row>
    <row r="496" spans="1:3">
      <c r="A496" t="s">
        <v>1818</v>
      </c>
      <c r="B496">
        <v>6194</v>
      </c>
      <c r="C496" t="s">
        <v>1819</v>
      </c>
    </row>
    <row r="497" spans="1:3">
      <c r="A497" t="s">
        <v>1820</v>
      </c>
      <c r="B497">
        <v>6200</v>
      </c>
      <c r="C497" t="s">
        <v>1821</v>
      </c>
    </row>
    <row r="498" spans="1:3">
      <c r="A498" t="s">
        <v>1822</v>
      </c>
      <c r="B498">
        <v>6210</v>
      </c>
      <c r="C498" t="s">
        <v>1823</v>
      </c>
    </row>
    <row r="499" spans="1:3">
      <c r="A499" t="s">
        <v>1824</v>
      </c>
      <c r="B499">
        <v>6220</v>
      </c>
      <c r="C499" t="s">
        <v>1825</v>
      </c>
    </row>
    <row r="500" spans="1:3">
      <c r="A500" t="s">
        <v>1826</v>
      </c>
      <c r="B500">
        <v>6350</v>
      </c>
      <c r="C500" t="s">
        <v>1827</v>
      </c>
    </row>
    <row r="501" spans="1:3">
      <c r="A501" t="s">
        <v>2754</v>
      </c>
      <c r="B501">
        <v>6998</v>
      </c>
      <c r="C501" t="s">
        <v>2755</v>
      </c>
    </row>
    <row r="502" spans="1:3">
      <c r="A502" t="s">
        <v>1828</v>
      </c>
      <c r="B502">
        <v>7002</v>
      </c>
      <c r="C502" t="s">
        <v>1829</v>
      </c>
    </row>
    <row r="503" spans="1:3">
      <c r="A503" t="s">
        <v>1830</v>
      </c>
      <c r="B503">
        <v>7003</v>
      </c>
      <c r="C503" t="s">
        <v>1831</v>
      </c>
    </row>
    <row r="504" spans="1:3">
      <c r="A504" t="s">
        <v>1832</v>
      </c>
      <c r="B504">
        <v>7004</v>
      </c>
      <c r="C504" t="s">
        <v>1833</v>
      </c>
    </row>
    <row r="505" spans="1:3">
      <c r="A505" t="s">
        <v>1834</v>
      </c>
      <c r="B505">
        <v>7005</v>
      </c>
      <c r="C505" t="s">
        <v>1835</v>
      </c>
    </row>
    <row r="506" spans="1:3">
      <c r="A506" t="s">
        <v>3080</v>
      </c>
      <c r="B506">
        <v>7006</v>
      </c>
      <c r="C506" t="s">
        <v>3081</v>
      </c>
    </row>
    <row r="507" spans="1:3">
      <c r="A507" t="s">
        <v>3082</v>
      </c>
      <c r="B507">
        <v>7007</v>
      </c>
      <c r="C507" t="s">
        <v>3083</v>
      </c>
    </row>
    <row r="508" spans="1:3">
      <c r="A508" t="s">
        <v>3084</v>
      </c>
      <c r="B508">
        <v>7008</v>
      </c>
      <c r="C508" t="s">
        <v>3085</v>
      </c>
    </row>
    <row r="509" spans="1:3">
      <c r="A509" t="s">
        <v>3086</v>
      </c>
      <c r="B509">
        <v>7009</v>
      </c>
      <c r="C509" t="s">
        <v>3087</v>
      </c>
    </row>
    <row r="510" spans="1:3">
      <c r="A510" t="s">
        <v>1836</v>
      </c>
      <c r="B510">
        <v>7010</v>
      </c>
      <c r="C510" t="s">
        <v>1837</v>
      </c>
    </row>
    <row r="511" spans="1:3">
      <c r="A511" t="s">
        <v>1838</v>
      </c>
      <c r="B511">
        <v>7011</v>
      </c>
      <c r="C511" t="s">
        <v>1839</v>
      </c>
    </row>
    <row r="512" spans="1:3">
      <c r="A512" t="s">
        <v>1840</v>
      </c>
      <c r="B512">
        <v>7012</v>
      </c>
      <c r="C512" t="s">
        <v>1841</v>
      </c>
    </row>
    <row r="513" spans="1:3">
      <c r="A513" t="s">
        <v>1842</v>
      </c>
      <c r="B513">
        <v>7013</v>
      </c>
      <c r="C513" t="s">
        <v>1843</v>
      </c>
    </row>
    <row r="514" spans="1:3">
      <c r="A514" t="s">
        <v>3088</v>
      </c>
      <c r="B514">
        <v>7014</v>
      </c>
      <c r="C514" t="s">
        <v>3089</v>
      </c>
    </row>
    <row r="515" spans="1:3">
      <c r="A515" t="s">
        <v>3665</v>
      </c>
      <c r="B515">
        <v>7016</v>
      </c>
      <c r="C515" t="s">
        <v>3666</v>
      </c>
    </row>
    <row r="516" spans="1:3">
      <c r="A516" t="s">
        <v>3090</v>
      </c>
      <c r="B516">
        <v>7017</v>
      </c>
      <c r="C516" t="s">
        <v>3091</v>
      </c>
    </row>
    <row r="517" spans="1:3">
      <c r="A517" t="s">
        <v>3092</v>
      </c>
      <c r="B517">
        <v>7018</v>
      </c>
      <c r="C517" t="s">
        <v>3093</v>
      </c>
    </row>
    <row r="518" spans="1:3">
      <c r="A518" t="s">
        <v>1844</v>
      </c>
      <c r="B518">
        <v>7020</v>
      </c>
      <c r="C518" t="s">
        <v>1845</v>
      </c>
    </row>
    <row r="519" spans="1:3">
      <c r="A519" t="s">
        <v>1846</v>
      </c>
      <c r="B519">
        <v>7030</v>
      </c>
      <c r="C519" t="s">
        <v>1847</v>
      </c>
    </row>
    <row r="520" spans="1:3">
      <c r="A520" t="s">
        <v>1848</v>
      </c>
      <c r="B520">
        <v>7033</v>
      </c>
      <c r="C520" t="s">
        <v>1849</v>
      </c>
    </row>
    <row r="521" spans="1:3">
      <c r="A521" t="s">
        <v>3226</v>
      </c>
      <c r="B521">
        <v>7035</v>
      </c>
      <c r="C521" t="s">
        <v>3227</v>
      </c>
    </row>
    <row r="522" spans="1:3">
      <c r="A522" t="s">
        <v>1850</v>
      </c>
      <c r="B522">
        <v>7040</v>
      </c>
      <c r="C522" t="s">
        <v>1851</v>
      </c>
    </row>
    <row r="523" spans="1:3">
      <c r="A523" t="s">
        <v>3094</v>
      </c>
      <c r="B523">
        <v>7041</v>
      </c>
      <c r="C523" t="s">
        <v>3095</v>
      </c>
    </row>
    <row r="524" spans="1:3">
      <c r="A524" t="s">
        <v>1852</v>
      </c>
      <c r="B524">
        <v>7050</v>
      </c>
      <c r="C524" t="s">
        <v>1853</v>
      </c>
    </row>
    <row r="525" spans="1:3">
      <c r="A525" t="s">
        <v>1854</v>
      </c>
      <c r="B525">
        <v>7060</v>
      </c>
      <c r="C525" t="s">
        <v>1855</v>
      </c>
    </row>
    <row r="526" spans="1:3">
      <c r="A526" t="s">
        <v>1856</v>
      </c>
      <c r="B526">
        <v>7070</v>
      </c>
      <c r="C526" t="s">
        <v>1857</v>
      </c>
    </row>
    <row r="527" spans="1:3">
      <c r="A527" t="s">
        <v>1858</v>
      </c>
      <c r="B527">
        <v>7080</v>
      </c>
      <c r="C527" t="s">
        <v>1859</v>
      </c>
    </row>
    <row r="528" spans="1:3">
      <c r="A528" t="s">
        <v>1860</v>
      </c>
      <c r="B528">
        <v>7081</v>
      </c>
      <c r="C528" t="s">
        <v>1861</v>
      </c>
    </row>
    <row r="529" spans="1:3">
      <c r="A529" t="s">
        <v>1862</v>
      </c>
      <c r="B529">
        <v>7082</v>
      </c>
      <c r="C529" t="s">
        <v>1863</v>
      </c>
    </row>
    <row r="530" spans="1:3">
      <c r="A530" t="s">
        <v>1864</v>
      </c>
      <c r="B530">
        <v>7083</v>
      </c>
      <c r="C530" t="s">
        <v>1865</v>
      </c>
    </row>
    <row r="531" spans="1:3">
      <c r="A531" t="s">
        <v>3667</v>
      </c>
      <c r="B531">
        <v>7084</v>
      </c>
      <c r="C531" t="s">
        <v>3668</v>
      </c>
    </row>
    <row r="532" spans="1:3">
      <c r="A532" t="s">
        <v>1866</v>
      </c>
      <c r="B532">
        <v>7090</v>
      </c>
      <c r="C532" t="s">
        <v>1867</v>
      </c>
    </row>
    <row r="533" spans="1:3">
      <c r="A533" t="s">
        <v>1868</v>
      </c>
      <c r="B533">
        <v>7100</v>
      </c>
      <c r="C533" t="s">
        <v>1869</v>
      </c>
    </row>
    <row r="534" spans="1:3">
      <c r="A534" t="s">
        <v>1870</v>
      </c>
      <c r="B534">
        <v>7101</v>
      </c>
      <c r="C534" t="s">
        <v>1871</v>
      </c>
    </row>
    <row r="535" spans="1:3">
      <c r="A535" t="s">
        <v>1872</v>
      </c>
      <c r="B535">
        <v>7102</v>
      </c>
      <c r="C535" t="s">
        <v>1873</v>
      </c>
    </row>
    <row r="536" spans="1:3">
      <c r="A536" t="s">
        <v>1874</v>
      </c>
      <c r="B536">
        <v>7103</v>
      </c>
      <c r="C536" t="s">
        <v>1875</v>
      </c>
    </row>
    <row r="537" spans="1:3">
      <c r="A537" t="s">
        <v>3228</v>
      </c>
      <c r="B537">
        <v>7104</v>
      </c>
      <c r="C537" t="s">
        <v>3229</v>
      </c>
    </row>
    <row r="538" spans="1:3">
      <c r="A538" t="s">
        <v>1876</v>
      </c>
      <c r="B538">
        <v>7110</v>
      </c>
      <c r="C538" t="s">
        <v>1877</v>
      </c>
    </row>
    <row r="539" spans="1:3">
      <c r="A539" t="s">
        <v>1878</v>
      </c>
      <c r="B539">
        <v>7111</v>
      </c>
      <c r="C539" t="s">
        <v>1879</v>
      </c>
    </row>
    <row r="540" spans="1:3">
      <c r="A540" t="s">
        <v>1880</v>
      </c>
      <c r="B540">
        <v>7112</v>
      </c>
      <c r="C540" t="s">
        <v>1881</v>
      </c>
    </row>
    <row r="541" spans="1:3">
      <c r="A541" t="s">
        <v>1882</v>
      </c>
      <c r="B541">
        <v>7113</v>
      </c>
      <c r="C541" t="s">
        <v>1883</v>
      </c>
    </row>
    <row r="542" spans="1:3">
      <c r="A542" t="s">
        <v>1884</v>
      </c>
      <c r="B542">
        <v>7114</v>
      </c>
      <c r="C542" t="s">
        <v>1885</v>
      </c>
    </row>
    <row r="543" spans="1:3">
      <c r="A543" t="s">
        <v>3230</v>
      </c>
      <c r="B543">
        <v>7115</v>
      </c>
      <c r="C543" t="s">
        <v>3231</v>
      </c>
    </row>
    <row r="544" spans="1:3">
      <c r="A544" t="s">
        <v>1886</v>
      </c>
      <c r="B544">
        <v>7120</v>
      </c>
      <c r="C544" t="s">
        <v>1887</v>
      </c>
    </row>
    <row r="545" spans="1:3">
      <c r="A545" t="s">
        <v>1888</v>
      </c>
      <c r="B545">
        <v>7121</v>
      </c>
      <c r="C545" t="s">
        <v>1889</v>
      </c>
    </row>
    <row r="546" spans="1:3">
      <c r="A546" t="s">
        <v>1890</v>
      </c>
      <c r="B546">
        <v>7128</v>
      </c>
      <c r="C546" t="s">
        <v>1891</v>
      </c>
    </row>
    <row r="547" spans="1:3">
      <c r="A547" t="s">
        <v>1892</v>
      </c>
      <c r="B547">
        <v>7129</v>
      </c>
      <c r="C547" t="s">
        <v>1893</v>
      </c>
    </row>
    <row r="548" spans="1:3">
      <c r="A548" t="s">
        <v>1894</v>
      </c>
      <c r="B548">
        <v>7130</v>
      </c>
      <c r="C548" t="s">
        <v>1895</v>
      </c>
    </row>
    <row r="549" spans="1:3">
      <c r="A549" t="s">
        <v>1896</v>
      </c>
      <c r="B549">
        <v>7140</v>
      </c>
      <c r="C549" t="s">
        <v>1897</v>
      </c>
    </row>
    <row r="550" spans="1:3">
      <c r="A550" t="s">
        <v>1898</v>
      </c>
      <c r="B550">
        <v>7141</v>
      </c>
      <c r="C550" t="s">
        <v>1899</v>
      </c>
    </row>
    <row r="551" spans="1:3">
      <c r="A551" t="s">
        <v>1900</v>
      </c>
      <c r="B551">
        <v>7146</v>
      </c>
      <c r="C551" t="s">
        <v>1901</v>
      </c>
    </row>
    <row r="552" spans="1:3">
      <c r="A552" t="s">
        <v>1902</v>
      </c>
      <c r="B552">
        <v>7149</v>
      </c>
      <c r="C552" t="s">
        <v>1903</v>
      </c>
    </row>
    <row r="553" spans="1:3">
      <c r="A553" t="s">
        <v>1904</v>
      </c>
      <c r="B553">
        <v>7150</v>
      </c>
      <c r="C553" t="s">
        <v>1905</v>
      </c>
    </row>
    <row r="554" spans="1:3">
      <c r="A554" t="s">
        <v>1906</v>
      </c>
      <c r="B554">
        <v>7151</v>
      </c>
      <c r="C554" t="s">
        <v>1907</v>
      </c>
    </row>
    <row r="555" spans="1:3">
      <c r="A555" t="s">
        <v>1908</v>
      </c>
      <c r="B555">
        <v>7152</v>
      </c>
      <c r="C555" t="s">
        <v>1909</v>
      </c>
    </row>
    <row r="556" spans="1:3">
      <c r="A556" t="s">
        <v>1910</v>
      </c>
      <c r="B556">
        <v>7153</v>
      </c>
      <c r="C556" t="s">
        <v>1911</v>
      </c>
    </row>
    <row r="557" spans="1:3">
      <c r="A557" t="s">
        <v>1912</v>
      </c>
      <c r="B557">
        <v>7154</v>
      </c>
      <c r="C557" t="s">
        <v>1913</v>
      </c>
    </row>
    <row r="558" spans="1:3">
      <c r="A558" t="s">
        <v>1914</v>
      </c>
      <c r="B558">
        <v>7155</v>
      </c>
      <c r="C558" t="s">
        <v>1915</v>
      </c>
    </row>
    <row r="559" spans="1:3">
      <c r="A559" t="s">
        <v>1916</v>
      </c>
      <c r="B559">
        <v>7156</v>
      </c>
      <c r="C559" t="s">
        <v>1917</v>
      </c>
    </row>
    <row r="560" spans="1:3">
      <c r="A560" t="s">
        <v>1918</v>
      </c>
      <c r="B560">
        <v>7158</v>
      </c>
      <c r="C560" t="s">
        <v>1919</v>
      </c>
    </row>
    <row r="561" spans="1:3">
      <c r="A561" t="s">
        <v>1920</v>
      </c>
      <c r="B561">
        <v>7159</v>
      </c>
      <c r="C561" t="s">
        <v>1921</v>
      </c>
    </row>
    <row r="562" spans="1:3">
      <c r="A562" t="s">
        <v>1922</v>
      </c>
      <c r="B562">
        <v>7160</v>
      </c>
      <c r="C562" t="s">
        <v>1923</v>
      </c>
    </row>
    <row r="563" spans="1:3">
      <c r="A563" t="s">
        <v>1924</v>
      </c>
      <c r="B563">
        <v>7161</v>
      </c>
      <c r="C563" t="s">
        <v>1925</v>
      </c>
    </row>
    <row r="564" spans="1:3">
      <c r="A564" t="s">
        <v>1926</v>
      </c>
      <c r="B564">
        <v>7162</v>
      </c>
      <c r="C564" t="s">
        <v>1927</v>
      </c>
    </row>
    <row r="565" spans="1:3">
      <c r="A565" t="s">
        <v>1928</v>
      </c>
      <c r="B565">
        <v>7171</v>
      </c>
      <c r="C565" t="s">
        <v>1929</v>
      </c>
    </row>
    <row r="566" spans="1:3">
      <c r="A566" t="s">
        <v>1930</v>
      </c>
      <c r="B566">
        <v>7180</v>
      </c>
      <c r="C566" t="s">
        <v>1931</v>
      </c>
    </row>
    <row r="567" spans="1:3">
      <c r="A567" t="s">
        <v>1932</v>
      </c>
      <c r="B567">
        <v>7182</v>
      </c>
      <c r="C567" t="s">
        <v>1933</v>
      </c>
    </row>
    <row r="568" spans="1:3">
      <c r="A568" t="s">
        <v>1934</v>
      </c>
      <c r="B568">
        <v>7190</v>
      </c>
      <c r="C568" t="s">
        <v>1935</v>
      </c>
    </row>
    <row r="569" spans="1:3">
      <c r="A569" t="s">
        <v>1936</v>
      </c>
      <c r="B569">
        <v>7191</v>
      </c>
      <c r="C569" t="s">
        <v>1937</v>
      </c>
    </row>
    <row r="570" spans="1:3">
      <c r="A570" t="s">
        <v>1938</v>
      </c>
      <c r="B570">
        <v>7194</v>
      </c>
      <c r="C570" t="s">
        <v>1939</v>
      </c>
    </row>
    <row r="571" spans="1:3">
      <c r="A571" t="s">
        <v>1940</v>
      </c>
      <c r="B571">
        <v>7195</v>
      </c>
      <c r="C571" t="s">
        <v>1941</v>
      </c>
    </row>
    <row r="572" spans="1:3">
      <c r="A572" t="s">
        <v>1942</v>
      </c>
      <c r="B572">
        <v>7200</v>
      </c>
      <c r="C572" t="s">
        <v>1943</v>
      </c>
    </row>
    <row r="573" spans="1:3">
      <c r="A573" t="s">
        <v>1944</v>
      </c>
      <c r="B573">
        <v>7201</v>
      </c>
      <c r="C573" t="s">
        <v>1945</v>
      </c>
    </row>
    <row r="574" spans="1:3">
      <c r="A574" t="s">
        <v>1946</v>
      </c>
      <c r="B574">
        <v>7204</v>
      </c>
      <c r="C574" t="s">
        <v>1947</v>
      </c>
    </row>
    <row r="575" spans="1:3">
      <c r="A575" t="s">
        <v>1948</v>
      </c>
      <c r="B575">
        <v>7205</v>
      </c>
      <c r="C575" t="s">
        <v>1949</v>
      </c>
    </row>
    <row r="576" spans="1:3">
      <c r="A576" t="s">
        <v>1950</v>
      </c>
      <c r="B576">
        <v>7210</v>
      </c>
      <c r="C576" t="s">
        <v>1951</v>
      </c>
    </row>
    <row r="577" spans="1:3">
      <c r="A577" t="s">
        <v>1952</v>
      </c>
      <c r="B577">
        <v>7211</v>
      </c>
      <c r="C577" t="s">
        <v>1953</v>
      </c>
    </row>
    <row r="578" spans="1:3">
      <c r="A578" t="s">
        <v>1954</v>
      </c>
      <c r="B578">
        <v>7212</v>
      </c>
      <c r="C578" t="s">
        <v>1955</v>
      </c>
    </row>
    <row r="579" spans="1:3">
      <c r="A579" t="s">
        <v>1956</v>
      </c>
      <c r="B579">
        <v>7213</v>
      </c>
      <c r="C579" t="s">
        <v>1957</v>
      </c>
    </row>
    <row r="580" spans="1:3">
      <c r="A580" t="s">
        <v>1958</v>
      </c>
      <c r="B580">
        <v>7216</v>
      </c>
      <c r="C580" t="s">
        <v>1959</v>
      </c>
    </row>
    <row r="581" spans="1:3">
      <c r="A581" t="s">
        <v>1960</v>
      </c>
      <c r="B581">
        <v>7220</v>
      </c>
      <c r="C581" t="s">
        <v>1961</v>
      </c>
    </row>
    <row r="582" spans="1:3">
      <c r="A582" t="s">
        <v>1962</v>
      </c>
      <c r="B582">
        <v>7230</v>
      </c>
      <c r="C582" t="s">
        <v>1963</v>
      </c>
    </row>
    <row r="583" spans="1:3">
      <c r="A583" t="s">
        <v>1964</v>
      </c>
      <c r="B583">
        <v>7231</v>
      </c>
      <c r="C583" t="s">
        <v>1965</v>
      </c>
    </row>
    <row r="584" spans="1:3">
      <c r="A584" t="s">
        <v>1966</v>
      </c>
      <c r="B584">
        <v>7240</v>
      </c>
      <c r="C584" t="s">
        <v>1967</v>
      </c>
    </row>
    <row r="585" spans="1:3">
      <c r="A585" t="s">
        <v>1968</v>
      </c>
      <c r="B585">
        <v>7245</v>
      </c>
      <c r="C585" t="s">
        <v>1969</v>
      </c>
    </row>
    <row r="586" spans="1:3">
      <c r="A586" t="s">
        <v>3463</v>
      </c>
      <c r="B586">
        <v>7247</v>
      </c>
      <c r="C586" t="s">
        <v>2213</v>
      </c>
    </row>
    <row r="587" spans="1:3">
      <c r="A587" t="s">
        <v>1970</v>
      </c>
      <c r="B587">
        <v>7250</v>
      </c>
      <c r="C587" t="s">
        <v>1971</v>
      </c>
    </row>
    <row r="588" spans="1:3">
      <c r="A588" t="s">
        <v>1972</v>
      </c>
      <c r="B588">
        <v>7251</v>
      </c>
      <c r="C588" t="s">
        <v>1973</v>
      </c>
    </row>
    <row r="589" spans="1:3">
      <c r="A589" t="s">
        <v>1974</v>
      </c>
      <c r="B589">
        <v>7252</v>
      </c>
      <c r="C589" t="s">
        <v>1975</v>
      </c>
    </row>
    <row r="590" spans="1:3">
      <c r="A590" t="s">
        <v>1976</v>
      </c>
      <c r="B590">
        <v>7253</v>
      </c>
      <c r="C590" t="s">
        <v>1977</v>
      </c>
    </row>
    <row r="591" spans="1:3">
      <c r="A591" t="s">
        <v>1978</v>
      </c>
      <c r="B591">
        <v>7254</v>
      </c>
      <c r="C591" t="s">
        <v>1979</v>
      </c>
    </row>
    <row r="592" spans="1:3">
      <c r="A592" t="s">
        <v>1980</v>
      </c>
      <c r="B592">
        <v>7256</v>
      </c>
      <c r="C592" t="s">
        <v>1981</v>
      </c>
    </row>
    <row r="593" spans="1:3">
      <c r="A593" t="s">
        <v>1982</v>
      </c>
      <c r="B593">
        <v>7260</v>
      </c>
      <c r="C593" t="s">
        <v>1983</v>
      </c>
    </row>
    <row r="594" spans="1:3">
      <c r="A594" t="s">
        <v>1984</v>
      </c>
      <c r="B594">
        <v>7261</v>
      </c>
      <c r="C594" t="s">
        <v>1985</v>
      </c>
    </row>
    <row r="595" spans="1:3">
      <c r="A595" t="s">
        <v>1986</v>
      </c>
      <c r="B595">
        <v>7270</v>
      </c>
      <c r="C595" t="s">
        <v>1987</v>
      </c>
    </row>
    <row r="596" spans="1:3">
      <c r="A596" t="s">
        <v>1988</v>
      </c>
      <c r="B596">
        <v>7271</v>
      </c>
      <c r="C596" t="s">
        <v>1989</v>
      </c>
    </row>
    <row r="597" spans="1:3">
      <c r="A597" t="s">
        <v>1990</v>
      </c>
      <c r="B597">
        <v>7280</v>
      </c>
      <c r="C597" t="s">
        <v>1991</v>
      </c>
    </row>
    <row r="598" spans="1:3">
      <c r="A598" t="s">
        <v>1992</v>
      </c>
      <c r="B598">
        <v>7290</v>
      </c>
      <c r="C598" t="s">
        <v>1993</v>
      </c>
    </row>
    <row r="599" spans="1:3">
      <c r="A599" t="s">
        <v>1994</v>
      </c>
      <c r="B599">
        <v>7291</v>
      </c>
      <c r="C599" t="s">
        <v>1995</v>
      </c>
    </row>
    <row r="600" spans="1:3">
      <c r="A600" t="s">
        <v>3669</v>
      </c>
      <c r="B600">
        <v>7292</v>
      </c>
      <c r="C600" t="s">
        <v>3670</v>
      </c>
    </row>
    <row r="601" spans="1:3">
      <c r="A601" t="s">
        <v>1996</v>
      </c>
      <c r="B601">
        <v>7300</v>
      </c>
      <c r="C601" t="s">
        <v>1997</v>
      </c>
    </row>
    <row r="602" spans="1:3">
      <c r="A602" t="s">
        <v>1998</v>
      </c>
      <c r="B602">
        <v>7301</v>
      </c>
      <c r="C602" t="s">
        <v>1999</v>
      </c>
    </row>
    <row r="603" spans="1:3">
      <c r="A603" t="s">
        <v>2000</v>
      </c>
      <c r="B603">
        <v>7304</v>
      </c>
      <c r="C603" t="s">
        <v>2001</v>
      </c>
    </row>
    <row r="604" spans="1:3">
      <c r="A604" t="s">
        <v>2002</v>
      </c>
      <c r="B604">
        <v>7305</v>
      </c>
      <c r="C604" t="s">
        <v>2003</v>
      </c>
    </row>
    <row r="605" spans="1:3">
      <c r="A605" t="s">
        <v>2004</v>
      </c>
      <c r="B605">
        <v>7311</v>
      </c>
      <c r="C605" t="s">
        <v>2005</v>
      </c>
    </row>
    <row r="606" spans="1:3">
      <c r="A606" t="s">
        <v>2006</v>
      </c>
      <c r="B606">
        <v>7320</v>
      </c>
      <c r="C606" t="s">
        <v>2007</v>
      </c>
    </row>
    <row r="607" spans="1:3">
      <c r="A607" t="s">
        <v>2008</v>
      </c>
      <c r="B607">
        <v>7330</v>
      </c>
      <c r="C607" t="s">
        <v>2009</v>
      </c>
    </row>
    <row r="608" spans="1:3">
      <c r="A608" t="s">
        <v>2010</v>
      </c>
      <c r="B608">
        <v>7331</v>
      </c>
      <c r="C608" t="s">
        <v>2011</v>
      </c>
    </row>
    <row r="609" spans="1:3">
      <c r="A609" t="s">
        <v>2012</v>
      </c>
      <c r="B609">
        <v>7340</v>
      </c>
      <c r="C609" t="s">
        <v>2013</v>
      </c>
    </row>
    <row r="610" spans="1:3">
      <c r="A610" t="s">
        <v>2014</v>
      </c>
      <c r="B610">
        <v>7341</v>
      </c>
      <c r="C610" t="s">
        <v>2015</v>
      </c>
    </row>
    <row r="611" spans="1:3">
      <c r="A611" t="s">
        <v>2016</v>
      </c>
      <c r="B611">
        <v>7350</v>
      </c>
      <c r="C611" t="s">
        <v>2017</v>
      </c>
    </row>
    <row r="612" spans="1:3">
      <c r="A612" t="s">
        <v>2018</v>
      </c>
      <c r="B612">
        <v>7360</v>
      </c>
      <c r="C612" t="s">
        <v>2019</v>
      </c>
    </row>
    <row r="613" spans="1:3">
      <c r="A613" t="s">
        <v>2020</v>
      </c>
      <c r="B613">
        <v>7361</v>
      </c>
      <c r="C613" t="s">
        <v>2021</v>
      </c>
    </row>
    <row r="614" spans="1:3">
      <c r="A614" t="s">
        <v>2022</v>
      </c>
      <c r="B614">
        <v>7370</v>
      </c>
      <c r="C614" t="s">
        <v>2023</v>
      </c>
    </row>
    <row r="615" spans="1:3">
      <c r="A615" t="s">
        <v>2024</v>
      </c>
      <c r="B615">
        <v>7380</v>
      </c>
      <c r="C615" t="s">
        <v>2025</v>
      </c>
    </row>
    <row r="616" spans="1:3">
      <c r="A616" t="s">
        <v>3002</v>
      </c>
      <c r="B616">
        <v>7383</v>
      </c>
      <c r="C616" t="s">
        <v>3003</v>
      </c>
    </row>
    <row r="617" spans="1:3">
      <c r="A617" t="s">
        <v>2026</v>
      </c>
      <c r="B617">
        <v>7390</v>
      </c>
      <c r="C617" t="s">
        <v>2027</v>
      </c>
    </row>
    <row r="618" spans="1:3">
      <c r="A618" t="s">
        <v>2028</v>
      </c>
      <c r="B618">
        <v>7400</v>
      </c>
      <c r="C618" t="s">
        <v>2029</v>
      </c>
    </row>
    <row r="619" spans="1:3">
      <c r="A619" t="s">
        <v>2030</v>
      </c>
      <c r="B619">
        <v>7401</v>
      </c>
      <c r="C619" t="s">
        <v>2031</v>
      </c>
    </row>
    <row r="620" spans="1:3">
      <c r="A620" t="s">
        <v>2032</v>
      </c>
      <c r="B620">
        <v>7403</v>
      </c>
      <c r="C620" t="s">
        <v>2033</v>
      </c>
    </row>
    <row r="621" spans="1:3">
      <c r="A621" t="s">
        <v>2034</v>
      </c>
      <c r="B621">
        <v>7405</v>
      </c>
      <c r="C621" t="s">
        <v>2035</v>
      </c>
    </row>
    <row r="622" spans="1:3">
      <c r="A622" t="s">
        <v>2036</v>
      </c>
      <c r="B622">
        <v>7409</v>
      </c>
      <c r="C622" t="s">
        <v>2037</v>
      </c>
    </row>
    <row r="623" spans="1:3">
      <c r="A623" t="s">
        <v>2038</v>
      </c>
      <c r="B623">
        <v>7410</v>
      </c>
      <c r="C623" t="s">
        <v>2039</v>
      </c>
    </row>
    <row r="624" spans="1:3">
      <c r="A624" t="s">
        <v>2040</v>
      </c>
      <c r="B624">
        <v>7411</v>
      </c>
      <c r="C624" t="s">
        <v>2041</v>
      </c>
    </row>
    <row r="625" spans="1:3">
      <c r="A625" t="s">
        <v>2042</v>
      </c>
      <c r="B625">
        <v>7420</v>
      </c>
      <c r="C625" t="s">
        <v>2043</v>
      </c>
    </row>
    <row r="626" spans="1:3">
      <c r="A626" t="s">
        <v>2044</v>
      </c>
      <c r="B626">
        <v>7421</v>
      </c>
      <c r="C626" t="s">
        <v>2045</v>
      </c>
    </row>
    <row r="627" spans="1:3">
      <c r="A627" t="s">
        <v>2046</v>
      </c>
      <c r="B627">
        <v>7422</v>
      </c>
      <c r="C627" t="s">
        <v>2047</v>
      </c>
    </row>
    <row r="628" spans="1:3">
      <c r="A628" t="s">
        <v>2048</v>
      </c>
      <c r="B628">
        <v>7430</v>
      </c>
      <c r="C628" t="s">
        <v>2049</v>
      </c>
    </row>
    <row r="629" spans="1:3">
      <c r="A629" t="s">
        <v>2050</v>
      </c>
      <c r="B629">
        <v>7440</v>
      </c>
      <c r="C629" t="s">
        <v>2051</v>
      </c>
    </row>
    <row r="630" spans="1:3">
      <c r="A630" t="s">
        <v>2052</v>
      </c>
      <c r="B630">
        <v>7450</v>
      </c>
      <c r="C630" t="s">
        <v>2053</v>
      </c>
    </row>
    <row r="631" spans="1:3">
      <c r="A631" t="s">
        <v>2054</v>
      </c>
      <c r="B631">
        <v>7451</v>
      </c>
      <c r="C631" t="s">
        <v>2055</v>
      </c>
    </row>
    <row r="632" spans="1:3">
      <c r="A632" t="s">
        <v>2056</v>
      </c>
      <c r="B632">
        <v>7460</v>
      </c>
      <c r="C632" t="s">
        <v>2057</v>
      </c>
    </row>
    <row r="633" spans="1:3">
      <c r="A633" t="s">
        <v>2058</v>
      </c>
      <c r="B633">
        <v>7461</v>
      </c>
      <c r="C633" t="s">
        <v>2059</v>
      </c>
    </row>
    <row r="634" spans="1:3">
      <c r="A634" t="s">
        <v>2060</v>
      </c>
      <c r="B634">
        <v>7470</v>
      </c>
      <c r="C634" t="s">
        <v>2061</v>
      </c>
    </row>
    <row r="635" spans="1:3">
      <c r="A635" t="s">
        <v>2062</v>
      </c>
      <c r="B635">
        <v>7471</v>
      </c>
      <c r="C635" t="s">
        <v>2063</v>
      </c>
    </row>
    <row r="636" spans="1:3">
      <c r="A636" t="s">
        <v>2064</v>
      </c>
      <c r="B636">
        <v>7480</v>
      </c>
      <c r="C636" t="s">
        <v>2065</v>
      </c>
    </row>
    <row r="637" spans="1:3">
      <c r="A637" t="s">
        <v>2066</v>
      </c>
      <c r="B637">
        <v>7481</v>
      </c>
      <c r="C637" t="s">
        <v>2067</v>
      </c>
    </row>
    <row r="638" spans="1:3">
      <c r="A638" t="s">
        <v>2068</v>
      </c>
      <c r="B638">
        <v>7490</v>
      </c>
      <c r="C638" t="s">
        <v>2069</v>
      </c>
    </row>
    <row r="639" spans="1:3">
      <c r="A639" t="s">
        <v>2070</v>
      </c>
      <c r="B639">
        <v>7500</v>
      </c>
      <c r="C639" t="s">
        <v>2071</v>
      </c>
    </row>
    <row r="640" spans="1:3">
      <c r="A640" t="s">
        <v>2072</v>
      </c>
      <c r="B640">
        <v>7510</v>
      </c>
      <c r="C640" t="s">
        <v>2073</v>
      </c>
    </row>
    <row r="641" spans="1:3">
      <c r="A641" t="s">
        <v>2074</v>
      </c>
      <c r="B641">
        <v>7520</v>
      </c>
      <c r="C641" t="s">
        <v>2075</v>
      </c>
    </row>
    <row r="642" spans="1:3">
      <c r="A642" t="s">
        <v>2076</v>
      </c>
      <c r="B642">
        <v>7530</v>
      </c>
      <c r="C642" t="s">
        <v>2077</v>
      </c>
    </row>
    <row r="643" spans="1:3">
      <c r="A643" t="s">
        <v>2078</v>
      </c>
      <c r="B643">
        <v>7531</v>
      </c>
      <c r="C643" t="s">
        <v>2079</v>
      </c>
    </row>
    <row r="644" spans="1:3">
      <c r="A644" t="s">
        <v>2080</v>
      </c>
      <c r="B644">
        <v>7540</v>
      </c>
      <c r="C644" t="s">
        <v>2081</v>
      </c>
    </row>
    <row r="645" spans="1:3">
      <c r="A645" t="s">
        <v>2082</v>
      </c>
      <c r="B645">
        <v>7541</v>
      </c>
      <c r="C645" t="s">
        <v>2083</v>
      </c>
    </row>
    <row r="646" spans="1:3">
      <c r="A646" t="s">
        <v>2084</v>
      </c>
      <c r="B646">
        <v>7550</v>
      </c>
      <c r="C646" t="s">
        <v>2085</v>
      </c>
    </row>
    <row r="647" spans="1:3">
      <c r="A647" t="s">
        <v>2086</v>
      </c>
      <c r="B647">
        <v>7551</v>
      </c>
      <c r="C647" t="s">
        <v>2087</v>
      </c>
    </row>
    <row r="648" spans="1:3">
      <c r="A648" t="s">
        <v>2088</v>
      </c>
      <c r="B648">
        <v>7552</v>
      </c>
      <c r="C648" t="s">
        <v>2089</v>
      </c>
    </row>
    <row r="649" spans="1:3">
      <c r="A649" t="s">
        <v>2090</v>
      </c>
      <c r="B649">
        <v>7553</v>
      </c>
      <c r="C649" t="s">
        <v>1293</v>
      </c>
    </row>
    <row r="650" spans="1:3">
      <c r="A650" t="s">
        <v>2091</v>
      </c>
      <c r="B650">
        <v>7560</v>
      </c>
      <c r="C650" t="s">
        <v>2092</v>
      </c>
    </row>
    <row r="651" spans="1:3">
      <c r="A651" t="s">
        <v>2093</v>
      </c>
      <c r="B651">
        <v>7561</v>
      </c>
      <c r="C651" t="s">
        <v>2094</v>
      </c>
    </row>
    <row r="652" spans="1:3">
      <c r="A652" t="s">
        <v>2932</v>
      </c>
      <c r="B652">
        <v>7562</v>
      </c>
      <c r="C652" t="s">
        <v>2933</v>
      </c>
    </row>
    <row r="653" spans="1:3">
      <c r="A653" t="s">
        <v>2095</v>
      </c>
      <c r="B653">
        <v>7570</v>
      </c>
      <c r="C653" t="s">
        <v>2096</v>
      </c>
    </row>
    <row r="654" spans="1:3">
      <c r="A654" t="s">
        <v>2097</v>
      </c>
      <c r="B654">
        <v>7580</v>
      </c>
      <c r="C654" t="s">
        <v>2098</v>
      </c>
    </row>
    <row r="655" spans="1:3">
      <c r="A655" t="s">
        <v>2099</v>
      </c>
      <c r="B655">
        <v>7581</v>
      </c>
      <c r="C655" t="s">
        <v>2100</v>
      </c>
    </row>
    <row r="656" spans="1:3">
      <c r="A656" t="s">
        <v>2101</v>
      </c>
      <c r="B656">
        <v>7584</v>
      </c>
      <c r="C656" t="s">
        <v>2102</v>
      </c>
    </row>
    <row r="657" spans="1:3">
      <c r="A657" t="s">
        <v>2103</v>
      </c>
      <c r="B657">
        <v>7600</v>
      </c>
      <c r="C657" t="s">
        <v>2104</v>
      </c>
    </row>
    <row r="658" spans="1:3">
      <c r="A658" t="s">
        <v>2105</v>
      </c>
      <c r="B658">
        <v>7601</v>
      </c>
      <c r="C658" t="s">
        <v>2106</v>
      </c>
    </row>
    <row r="659" spans="1:3">
      <c r="A659" t="s">
        <v>2107</v>
      </c>
      <c r="B659">
        <v>7604</v>
      </c>
      <c r="C659" t="s">
        <v>2108</v>
      </c>
    </row>
    <row r="660" spans="1:3">
      <c r="A660" t="s">
        <v>2109</v>
      </c>
      <c r="B660">
        <v>7610</v>
      </c>
      <c r="C660" t="s">
        <v>2110</v>
      </c>
    </row>
    <row r="661" spans="1:3">
      <c r="A661" t="s">
        <v>2111</v>
      </c>
      <c r="B661">
        <v>7611</v>
      </c>
      <c r="C661" t="s">
        <v>2112</v>
      </c>
    </row>
    <row r="662" spans="1:3">
      <c r="A662" t="s">
        <v>2113</v>
      </c>
      <c r="B662">
        <v>7614</v>
      </c>
      <c r="C662" t="s">
        <v>2114</v>
      </c>
    </row>
    <row r="663" spans="1:3">
      <c r="A663" t="s">
        <v>2934</v>
      </c>
      <c r="B663">
        <v>7620</v>
      </c>
      <c r="C663" t="s">
        <v>2935</v>
      </c>
    </row>
    <row r="664" spans="1:3">
      <c r="A664" t="s">
        <v>2115</v>
      </c>
      <c r="B664">
        <v>7660</v>
      </c>
      <c r="C664" t="s">
        <v>2116</v>
      </c>
    </row>
    <row r="665" spans="1:3">
      <c r="A665" t="s">
        <v>2117</v>
      </c>
      <c r="B665">
        <v>7690</v>
      </c>
      <c r="C665" t="s">
        <v>2118</v>
      </c>
    </row>
    <row r="666" spans="1:3">
      <c r="A666" t="s">
        <v>2119</v>
      </c>
      <c r="B666">
        <v>7710</v>
      </c>
      <c r="C666" t="s">
        <v>2120</v>
      </c>
    </row>
    <row r="667" spans="1:3">
      <c r="A667" t="s">
        <v>2121</v>
      </c>
      <c r="B667">
        <v>7720</v>
      </c>
      <c r="C667" t="s">
        <v>2122</v>
      </c>
    </row>
    <row r="668" spans="1:3">
      <c r="A668" t="s">
        <v>2123</v>
      </c>
      <c r="B668">
        <v>7740</v>
      </c>
      <c r="C668" t="s">
        <v>2124</v>
      </c>
    </row>
    <row r="669" spans="1:3">
      <c r="A669" t="s">
        <v>2125</v>
      </c>
      <c r="B669">
        <v>7750</v>
      </c>
      <c r="C669" t="s">
        <v>2126</v>
      </c>
    </row>
    <row r="670" spans="1:3">
      <c r="A670" t="s">
        <v>2127</v>
      </c>
      <c r="B670">
        <v>7751</v>
      </c>
      <c r="C670" t="s">
        <v>2128</v>
      </c>
    </row>
    <row r="671" spans="1:3">
      <c r="A671" t="s">
        <v>2129</v>
      </c>
      <c r="B671">
        <v>7754</v>
      </c>
      <c r="C671" t="s">
        <v>2130</v>
      </c>
    </row>
    <row r="672" spans="1:3">
      <c r="A672" t="s">
        <v>2131</v>
      </c>
      <c r="B672">
        <v>7760</v>
      </c>
      <c r="C672" t="s">
        <v>2132</v>
      </c>
    </row>
    <row r="673" spans="1:3">
      <c r="A673" t="s">
        <v>2133</v>
      </c>
      <c r="B673">
        <v>7770</v>
      </c>
      <c r="C673" t="s">
        <v>2134</v>
      </c>
    </row>
    <row r="674" spans="1:3">
      <c r="A674" t="s">
        <v>2135</v>
      </c>
      <c r="B674">
        <v>7799</v>
      </c>
      <c r="C674" t="s">
        <v>2136</v>
      </c>
    </row>
    <row r="675" spans="1:3">
      <c r="A675" t="s">
        <v>2137</v>
      </c>
      <c r="B675">
        <v>7800</v>
      </c>
      <c r="C675" t="s">
        <v>2138</v>
      </c>
    </row>
    <row r="676" spans="1:3">
      <c r="A676" t="s">
        <v>2139</v>
      </c>
      <c r="B676">
        <v>7810</v>
      </c>
      <c r="C676" t="s">
        <v>2140</v>
      </c>
    </row>
    <row r="677" spans="1:3">
      <c r="A677" t="s">
        <v>2141</v>
      </c>
      <c r="B677">
        <v>7820</v>
      </c>
      <c r="C677" t="s">
        <v>2142</v>
      </c>
    </row>
    <row r="678" spans="1:3">
      <c r="A678" t="s">
        <v>2143</v>
      </c>
      <c r="B678">
        <v>7821</v>
      </c>
      <c r="C678" t="s">
        <v>2144</v>
      </c>
    </row>
    <row r="679" spans="1:3">
      <c r="A679" t="s">
        <v>2145</v>
      </c>
      <c r="B679">
        <v>7822</v>
      </c>
      <c r="C679" t="s">
        <v>2146</v>
      </c>
    </row>
    <row r="680" spans="1:3">
      <c r="A680" t="s">
        <v>2147</v>
      </c>
      <c r="B680">
        <v>7823</v>
      </c>
      <c r="C680" t="s">
        <v>2148</v>
      </c>
    </row>
    <row r="681" spans="1:3">
      <c r="A681" t="s">
        <v>2149</v>
      </c>
      <c r="B681">
        <v>7824</v>
      </c>
      <c r="C681" t="s">
        <v>2150</v>
      </c>
    </row>
    <row r="682" spans="1:3">
      <c r="A682" t="s">
        <v>2151</v>
      </c>
      <c r="B682">
        <v>7825</v>
      </c>
      <c r="C682" t="s">
        <v>2142</v>
      </c>
    </row>
    <row r="683" spans="1:3">
      <c r="A683" t="s">
        <v>2152</v>
      </c>
      <c r="B683">
        <v>7826</v>
      </c>
      <c r="C683" t="s">
        <v>2153</v>
      </c>
    </row>
    <row r="684" spans="1:3">
      <c r="A684" t="s">
        <v>2154</v>
      </c>
      <c r="B684">
        <v>7827</v>
      </c>
      <c r="C684" t="s">
        <v>2155</v>
      </c>
    </row>
    <row r="685" spans="1:3">
      <c r="A685" t="s">
        <v>3464</v>
      </c>
      <c r="B685">
        <v>7850</v>
      </c>
      <c r="C685" t="s">
        <v>3465</v>
      </c>
    </row>
    <row r="686" spans="1:3">
      <c r="A686" t="s">
        <v>3232</v>
      </c>
      <c r="B686">
        <v>7861</v>
      </c>
      <c r="C686" t="s">
        <v>3233</v>
      </c>
    </row>
    <row r="687" spans="1:3">
      <c r="A687" t="s">
        <v>3234</v>
      </c>
      <c r="B687">
        <v>7864</v>
      </c>
      <c r="C687" t="s">
        <v>3235</v>
      </c>
    </row>
    <row r="688" spans="1:3">
      <c r="A688" t="s">
        <v>2156</v>
      </c>
      <c r="B688">
        <v>7870</v>
      </c>
      <c r="C688" t="s">
        <v>2157</v>
      </c>
    </row>
    <row r="689" spans="1:3">
      <c r="A689" t="s">
        <v>3671</v>
      </c>
      <c r="B689">
        <v>7902</v>
      </c>
      <c r="C689" t="s">
        <v>3672</v>
      </c>
    </row>
    <row r="690" spans="1:3">
      <c r="A690" t="s">
        <v>3673</v>
      </c>
      <c r="B690">
        <v>7903</v>
      </c>
      <c r="C690" t="s">
        <v>3674</v>
      </c>
    </row>
    <row r="691" spans="1:3">
      <c r="A691" t="s">
        <v>2158</v>
      </c>
      <c r="B691">
        <v>7909</v>
      </c>
      <c r="C691" t="s">
        <v>2159</v>
      </c>
    </row>
    <row r="692" spans="1:3">
      <c r="A692" t="s">
        <v>2160</v>
      </c>
      <c r="B692">
        <v>7922</v>
      </c>
      <c r="C692" t="s">
        <v>2161</v>
      </c>
    </row>
    <row r="693" spans="1:3">
      <c r="A693" t="s">
        <v>2162</v>
      </c>
      <c r="B693">
        <v>7930</v>
      </c>
      <c r="C693" t="s">
        <v>2163</v>
      </c>
    </row>
    <row r="694" spans="1:3">
      <c r="A694" t="s">
        <v>2164</v>
      </c>
      <c r="B694">
        <v>7940</v>
      </c>
      <c r="C694" t="s">
        <v>2165</v>
      </c>
    </row>
    <row r="695" spans="1:3">
      <c r="A695" t="s">
        <v>2166</v>
      </c>
      <c r="B695">
        <v>7941</v>
      </c>
      <c r="C695" t="s">
        <v>2167</v>
      </c>
    </row>
    <row r="696" spans="1:3">
      <c r="A696" t="s">
        <v>2168</v>
      </c>
      <c r="B696">
        <v>7944</v>
      </c>
      <c r="C696" t="s">
        <v>2169</v>
      </c>
    </row>
    <row r="697" spans="1:3">
      <c r="A697" t="s">
        <v>3466</v>
      </c>
      <c r="B697">
        <v>7950</v>
      </c>
      <c r="C697" t="s">
        <v>3467</v>
      </c>
    </row>
    <row r="698" spans="1:3">
      <c r="A698" t="s">
        <v>2170</v>
      </c>
      <c r="B698">
        <v>7951</v>
      </c>
      <c r="C698" t="s">
        <v>2159</v>
      </c>
    </row>
    <row r="699" spans="1:3">
      <c r="A699" t="s">
        <v>2171</v>
      </c>
      <c r="B699">
        <v>7952</v>
      </c>
      <c r="C699" t="s">
        <v>2172</v>
      </c>
    </row>
    <row r="700" spans="1:3">
      <c r="A700" t="s">
        <v>3468</v>
      </c>
      <c r="B700">
        <v>7955</v>
      </c>
      <c r="C700" t="s">
        <v>3469</v>
      </c>
    </row>
    <row r="701" spans="1:3">
      <c r="A701" t="s">
        <v>2173</v>
      </c>
      <c r="B701">
        <v>7960</v>
      </c>
      <c r="C701" t="s">
        <v>2174</v>
      </c>
    </row>
    <row r="702" spans="1:3">
      <c r="A702" t="s">
        <v>2175</v>
      </c>
      <c r="B702">
        <v>7980</v>
      </c>
      <c r="C702" t="s">
        <v>2176</v>
      </c>
    </row>
    <row r="703" spans="1:3">
      <c r="A703" t="s">
        <v>2177</v>
      </c>
      <c r="B703">
        <v>7995</v>
      </c>
      <c r="C703" t="s">
        <v>2178</v>
      </c>
    </row>
    <row r="704" spans="1:3">
      <c r="A704" t="s">
        <v>2179</v>
      </c>
      <c r="B704">
        <v>7997</v>
      </c>
      <c r="C704" t="s">
        <v>2180</v>
      </c>
    </row>
    <row r="705" spans="1:3">
      <c r="A705" t="s">
        <v>2756</v>
      </c>
      <c r="B705">
        <v>7998</v>
      </c>
      <c r="C705" t="s">
        <v>2757</v>
      </c>
    </row>
    <row r="706" spans="1:3">
      <c r="A706" t="s">
        <v>2181</v>
      </c>
      <c r="B706">
        <v>8050</v>
      </c>
      <c r="C706" t="s">
        <v>2182</v>
      </c>
    </row>
    <row r="707" spans="1:3">
      <c r="A707" t="s">
        <v>3470</v>
      </c>
      <c r="B707">
        <v>8060</v>
      </c>
      <c r="C707" t="s">
        <v>3471</v>
      </c>
    </row>
    <row r="708" spans="1:3">
      <c r="A708" t="s">
        <v>3472</v>
      </c>
      <c r="B708">
        <v>8061</v>
      </c>
      <c r="C708" t="s">
        <v>3473</v>
      </c>
    </row>
    <row r="709" spans="1:3">
      <c r="A709" t="s">
        <v>3474</v>
      </c>
      <c r="B709">
        <v>8062</v>
      </c>
      <c r="C709" t="s">
        <v>3475</v>
      </c>
    </row>
    <row r="710" spans="1:3">
      <c r="A710" t="s">
        <v>3476</v>
      </c>
      <c r="B710">
        <v>8063</v>
      </c>
      <c r="C710" t="s">
        <v>3477</v>
      </c>
    </row>
    <row r="711" spans="1:3">
      <c r="A711" t="s">
        <v>3478</v>
      </c>
      <c r="B711">
        <v>8064</v>
      </c>
      <c r="C711" t="s">
        <v>3479</v>
      </c>
    </row>
    <row r="712" spans="1:3">
      <c r="A712" t="s">
        <v>3480</v>
      </c>
      <c r="B712">
        <v>8065</v>
      </c>
      <c r="C712" t="s">
        <v>3481</v>
      </c>
    </row>
    <row r="713" spans="1:3">
      <c r="A713" t="s">
        <v>3482</v>
      </c>
      <c r="B713">
        <v>8066</v>
      </c>
      <c r="C713" t="s">
        <v>3483</v>
      </c>
    </row>
    <row r="714" spans="1:3">
      <c r="A714" t="s">
        <v>2183</v>
      </c>
      <c r="B714">
        <v>8070</v>
      </c>
      <c r="C714" t="s">
        <v>1696</v>
      </c>
    </row>
    <row r="715" spans="1:3">
      <c r="A715" t="s">
        <v>2184</v>
      </c>
      <c r="B715">
        <v>8071</v>
      </c>
      <c r="C715" t="s">
        <v>2185</v>
      </c>
    </row>
    <row r="716" spans="1:3">
      <c r="A716" t="s">
        <v>2186</v>
      </c>
      <c r="B716">
        <v>8072</v>
      </c>
      <c r="C716" t="s">
        <v>2187</v>
      </c>
    </row>
    <row r="717" spans="1:3">
      <c r="A717" t="s">
        <v>2188</v>
      </c>
      <c r="B717">
        <v>8074</v>
      </c>
      <c r="C717" t="s">
        <v>2189</v>
      </c>
    </row>
    <row r="718" spans="1:3">
      <c r="A718" t="s">
        <v>2190</v>
      </c>
      <c r="B718">
        <v>8075</v>
      </c>
      <c r="C718" t="s">
        <v>2191</v>
      </c>
    </row>
    <row r="719" spans="1:3">
      <c r="A719" t="s">
        <v>2192</v>
      </c>
      <c r="B719">
        <v>8076</v>
      </c>
      <c r="C719" t="s">
        <v>2193</v>
      </c>
    </row>
    <row r="720" spans="1:3">
      <c r="A720" t="s">
        <v>2194</v>
      </c>
      <c r="B720">
        <v>8110</v>
      </c>
      <c r="C720" t="s">
        <v>2195</v>
      </c>
    </row>
    <row r="721" spans="1:3">
      <c r="A721" t="s">
        <v>2196</v>
      </c>
      <c r="B721">
        <v>8111</v>
      </c>
      <c r="C721" t="s">
        <v>2197</v>
      </c>
    </row>
    <row r="722" spans="1:3">
      <c r="A722" t="s">
        <v>2198</v>
      </c>
      <c r="B722">
        <v>8120</v>
      </c>
      <c r="C722" t="s">
        <v>2199</v>
      </c>
    </row>
    <row r="723" spans="1:3">
      <c r="A723" t="s">
        <v>2200</v>
      </c>
      <c r="B723">
        <v>8130</v>
      </c>
      <c r="C723" t="s">
        <v>2201</v>
      </c>
    </row>
    <row r="724" spans="1:3">
      <c r="A724" t="s">
        <v>2202</v>
      </c>
      <c r="B724">
        <v>8131</v>
      </c>
      <c r="C724" t="s">
        <v>2203</v>
      </c>
    </row>
    <row r="725" spans="1:3">
      <c r="A725" t="s">
        <v>2204</v>
      </c>
      <c r="B725">
        <v>8140</v>
      </c>
      <c r="C725" t="s">
        <v>2205</v>
      </c>
    </row>
    <row r="726" spans="1:3">
      <c r="A726" t="s">
        <v>2206</v>
      </c>
      <c r="B726">
        <v>8150</v>
      </c>
      <c r="C726" t="s">
        <v>2207</v>
      </c>
    </row>
    <row r="727" spans="1:3">
      <c r="A727" t="s">
        <v>2208</v>
      </c>
      <c r="B727">
        <v>8170</v>
      </c>
      <c r="C727" t="s">
        <v>2209</v>
      </c>
    </row>
    <row r="728" spans="1:3">
      <c r="A728" t="s">
        <v>2210</v>
      </c>
      <c r="B728">
        <v>8171</v>
      </c>
      <c r="C728" t="s">
        <v>2211</v>
      </c>
    </row>
    <row r="729" spans="1:3">
      <c r="A729" t="s">
        <v>2212</v>
      </c>
      <c r="B729">
        <v>8194</v>
      </c>
      <c r="C729" t="s">
        <v>2213</v>
      </c>
    </row>
    <row r="730" spans="1:3">
      <c r="A730" t="s">
        <v>2214</v>
      </c>
      <c r="B730">
        <v>8199</v>
      </c>
      <c r="C730" t="s">
        <v>2215</v>
      </c>
    </row>
    <row r="731" spans="1:3">
      <c r="A731" t="s">
        <v>2216</v>
      </c>
      <c r="B731">
        <v>8200</v>
      </c>
      <c r="C731" t="s">
        <v>2217</v>
      </c>
    </row>
    <row r="732" spans="1:3">
      <c r="A732" t="s">
        <v>2218</v>
      </c>
      <c r="B732">
        <v>8201</v>
      </c>
      <c r="C732" t="s">
        <v>2219</v>
      </c>
    </row>
    <row r="733" spans="1:3">
      <c r="A733" t="s">
        <v>2220</v>
      </c>
      <c r="B733">
        <v>8204</v>
      </c>
      <c r="C733" t="s">
        <v>2221</v>
      </c>
    </row>
    <row r="734" spans="1:3">
      <c r="A734" t="s">
        <v>2222</v>
      </c>
      <c r="B734">
        <v>8207</v>
      </c>
      <c r="C734" t="s">
        <v>2213</v>
      </c>
    </row>
    <row r="735" spans="1:3">
      <c r="A735" t="s">
        <v>2223</v>
      </c>
      <c r="B735">
        <v>8208</v>
      </c>
      <c r="C735" t="s">
        <v>2213</v>
      </c>
    </row>
    <row r="736" spans="1:3">
      <c r="A736" t="s">
        <v>2224</v>
      </c>
      <c r="B736">
        <v>8209</v>
      </c>
      <c r="C736" t="s">
        <v>2213</v>
      </c>
    </row>
    <row r="737" spans="1:3">
      <c r="A737" t="s">
        <v>2225</v>
      </c>
      <c r="B737">
        <v>8210</v>
      </c>
      <c r="C737" t="s">
        <v>2226</v>
      </c>
    </row>
    <row r="738" spans="1:3">
      <c r="A738" t="s">
        <v>2227</v>
      </c>
      <c r="B738">
        <v>8212</v>
      </c>
      <c r="C738" t="s">
        <v>2213</v>
      </c>
    </row>
    <row r="739" spans="1:3">
      <c r="A739" t="s">
        <v>2228</v>
      </c>
      <c r="B739">
        <v>8213</v>
      </c>
      <c r="C739" t="s">
        <v>2229</v>
      </c>
    </row>
    <row r="740" spans="1:3">
      <c r="A740" t="s">
        <v>2230</v>
      </c>
      <c r="B740">
        <v>8214</v>
      </c>
      <c r="C740" t="s">
        <v>2231</v>
      </c>
    </row>
    <row r="741" spans="1:3">
      <c r="A741" t="s">
        <v>2232</v>
      </c>
      <c r="B741">
        <v>8215</v>
      </c>
      <c r="C741" t="s">
        <v>2233</v>
      </c>
    </row>
    <row r="742" spans="1:3">
      <c r="A742" t="s">
        <v>2234</v>
      </c>
      <c r="B742">
        <v>8216</v>
      </c>
      <c r="C742" t="s">
        <v>2235</v>
      </c>
    </row>
    <row r="743" spans="1:3">
      <c r="A743" t="s">
        <v>2236</v>
      </c>
      <c r="B743">
        <v>8218</v>
      </c>
      <c r="C743" t="s">
        <v>2213</v>
      </c>
    </row>
    <row r="744" spans="1:3">
      <c r="A744" t="s">
        <v>2237</v>
      </c>
      <c r="B744">
        <v>8219</v>
      </c>
      <c r="C744" t="s">
        <v>2238</v>
      </c>
    </row>
    <row r="745" spans="1:3">
      <c r="A745" t="s">
        <v>3484</v>
      </c>
      <c r="B745">
        <v>8220</v>
      </c>
      <c r="C745" t="s">
        <v>2213</v>
      </c>
    </row>
    <row r="746" spans="1:3">
      <c r="A746" t="s">
        <v>2239</v>
      </c>
      <c r="B746">
        <v>8221</v>
      </c>
      <c r="C746" t="s">
        <v>2213</v>
      </c>
    </row>
    <row r="747" spans="1:3">
      <c r="A747" t="s">
        <v>2240</v>
      </c>
      <c r="B747">
        <v>8236</v>
      </c>
      <c r="C747" t="s">
        <v>2241</v>
      </c>
    </row>
    <row r="748" spans="1:3">
      <c r="A748" t="s">
        <v>2242</v>
      </c>
      <c r="B748">
        <v>8238</v>
      </c>
      <c r="C748" t="s">
        <v>2213</v>
      </c>
    </row>
    <row r="749" spans="1:3">
      <c r="A749" t="s">
        <v>2243</v>
      </c>
      <c r="B749">
        <v>8239</v>
      </c>
      <c r="C749" t="s">
        <v>2213</v>
      </c>
    </row>
    <row r="750" spans="1:3">
      <c r="A750" t="s">
        <v>2244</v>
      </c>
      <c r="B750">
        <v>8242</v>
      </c>
      <c r="C750" t="s">
        <v>2245</v>
      </c>
    </row>
    <row r="751" spans="1:3">
      <c r="A751" t="s">
        <v>2246</v>
      </c>
      <c r="B751">
        <v>8247</v>
      </c>
      <c r="C751" t="s">
        <v>2213</v>
      </c>
    </row>
    <row r="752" spans="1:3">
      <c r="A752" t="s">
        <v>2247</v>
      </c>
      <c r="B752">
        <v>8260</v>
      </c>
      <c r="C752" t="s">
        <v>2248</v>
      </c>
    </row>
    <row r="753" spans="1:3">
      <c r="A753" t="s">
        <v>2249</v>
      </c>
      <c r="B753">
        <v>8268</v>
      </c>
      <c r="C753" t="s">
        <v>2250</v>
      </c>
    </row>
    <row r="754" spans="1:3">
      <c r="A754" t="s">
        <v>2251</v>
      </c>
      <c r="B754">
        <v>8720</v>
      </c>
      <c r="C754" t="s">
        <v>2252</v>
      </c>
    </row>
    <row r="755" spans="1:3">
      <c r="A755" t="s">
        <v>2253</v>
      </c>
      <c r="B755">
        <v>8777</v>
      </c>
      <c r="C755" t="s">
        <v>2213</v>
      </c>
    </row>
    <row r="756" spans="1:3">
      <c r="A756" t="s">
        <v>2254</v>
      </c>
      <c r="B756">
        <v>8778</v>
      </c>
      <c r="C756" t="s">
        <v>2213</v>
      </c>
    </row>
    <row r="757" spans="1:3">
      <c r="A757" t="s">
        <v>2255</v>
      </c>
      <c r="B757">
        <v>8799</v>
      </c>
      <c r="C757" t="s">
        <v>2213</v>
      </c>
    </row>
    <row r="758" spans="1:3">
      <c r="A758" t="s">
        <v>2256</v>
      </c>
      <c r="B758">
        <v>8937</v>
      </c>
      <c r="C758" t="s">
        <v>2257</v>
      </c>
    </row>
    <row r="759" spans="1:3">
      <c r="A759" t="s">
        <v>2258</v>
      </c>
      <c r="B759">
        <v>8949</v>
      </c>
      <c r="C759" t="s">
        <v>2259</v>
      </c>
    </row>
    <row r="760" spans="1:3">
      <c r="A760" t="s">
        <v>2260</v>
      </c>
      <c r="B760">
        <v>8951</v>
      </c>
      <c r="C760" t="s">
        <v>2261</v>
      </c>
    </row>
    <row r="761" spans="1:3">
      <c r="A761" t="s">
        <v>2262</v>
      </c>
      <c r="B761">
        <v>8994</v>
      </c>
      <c r="C761" t="s">
        <v>2263</v>
      </c>
    </row>
    <row r="762" spans="1:3">
      <c r="A762" t="s">
        <v>2758</v>
      </c>
      <c r="B762">
        <v>8998</v>
      </c>
      <c r="C762" t="s">
        <v>2759</v>
      </c>
    </row>
    <row r="763" spans="1:3">
      <c r="A763" t="s">
        <v>2264</v>
      </c>
      <c r="B763">
        <v>9010</v>
      </c>
      <c r="C763" t="s">
        <v>2265</v>
      </c>
    </row>
    <row r="764" spans="1:3">
      <c r="A764" t="s">
        <v>2266</v>
      </c>
      <c r="B764">
        <v>9011</v>
      </c>
      <c r="C764" t="s">
        <v>2267</v>
      </c>
    </row>
    <row r="765" spans="1:3">
      <c r="A765" t="s">
        <v>2268</v>
      </c>
      <c r="B765">
        <v>9012</v>
      </c>
      <c r="C765" t="s">
        <v>2269</v>
      </c>
    </row>
    <row r="766" spans="1:3">
      <c r="A766" t="s">
        <v>2270</v>
      </c>
      <c r="B766">
        <v>9013</v>
      </c>
      <c r="C766" t="s">
        <v>2271</v>
      </c>
    </row>
    <row r="767" spans="1:3">
      <c r="A767" t="s">
        <v>2272</v>
      </c>
      <c r="B767">
        <v>9014</v>
      </c>
      <c r="C767" t="s">
        <v>2273</v>
      </c>
    </row>
    <row r="768" spans="1:3">
      <c r="A768" t="s">
        <v>3485</v>
      </c>
      <c r="B768">
        <v>9015</v>
      </c>
      <c r="C768" t="s">
        <v>3486</v>
      </c>
    </row>
    <row r="769" spans="1:3">
      <c r="A769" t="s">
        <v>2274</v>
      </c>
      <c r="B769">
        <v>9016</v>
      </c>
      <c r="C769" t="s">
        <v>2275</v>
      </c>
    </row>
    <row r="770" spans="1:3">
      <c r="A770" t="s">
        <v>2276</v>
      </c>
      <c r="B770">
        <v>9017</v>
      </c>
      <c r="C770" t="s">
        <v>2277</v>
      </c>
    </row>
    <row r="771" spans="1:3">
      <c r="A771" t="s">
        <v>2278</v>
      </c>
      <c r="B771">
        <v>9018</v>
      </c>
      <c r="C771" t="s">
        <v>2279</v>
      </c>
    </row>
    <row r="772" spans="1:3">
      <c r="A772" t="s">
        <v>3004</v>
      </c>
      <c r="B772">
        <v>9019</v>
      </c>
      <c r="C772" t="s">
        <v>3005</v>
      </c>
    </row>
    <row r="773" spans="1:3">
      <c r="A773" t="s">
        <v>2280</v>
      </c>
      <c r="B773">
        <v>9020</v>
      </c>
      <c r="C773" t="s">
        <v>2281</v>
      </c>
    </row>
    <row r="774" spans="1:3">
      <c r="A774" t="s">
        <v>2282</v>
      </c>
      <c r="B774">
        <v>9021</v>
      </c>
      <c r="C774" t="s">
        <v>2283</v>
      </c>
    </row>
    <row r="775" spans="1:3">
      <c r="A775" t="s">
        <v>2284</v>
      </c>
      <c r="B775">
        <v>9022</v>
      </c>
      <c r="C775" t="s">
        <v>2285</v>
      </c>
    </row>
    <row r="776" spans="1:3">
      <c r="A776" t="s">
        <v>2286</v>
      </c>
      <c r="B776">
        <v>9023</v>
      </c>
      <c r="C776" t="s">
        <v>2287</v>
      </c>
    </row>
    <row r="777" spans="1:3">
      <c r="A777" t="s">
        <v>2288</v>
      </c>
      <c r="B777">
        <v>9024</v>
      </c>
      <c r="C777" t="s">
        <v>2289</v>
      </c>
    </row>
    <row r="778" spans="1:3">
      <c r="A778" t="s">
        <v>3096</v>
      </c>
      <c r="B778">
        <v>9025</v>
      </c>
      <c r="C778" t="s">
        <v>3097</v>
      </c>
    </row>
    <row r="779" spans="1:3">
      <c r="A779" t="s">
        <v>3098</v>
      </c>
      <c r="B779">
        <v>9026</v>
      </c>
      <c r="C779" t="s">
        <v>3099</v>
      </c>
    </row>
    <row r="780" spans="1:3">
      <c r="A780" t="s">
        <v>3100</v>
      </c>
      <c r="B780">
        <v>9027</v>
      </c>
      <c r="C780" t="s">
        <v>3101</v>
      </c>
    </row>
    <row r="781" spans="1:3">
      <c r="A781" t="s">
        <v>3006</v>
      </c>
      <c r="B781">
        <v>9028</v>
      </c>
      <c r="C781" t="s">
        <v>3007</v>
      </c>
    </row>
    <row r="782" spans="1:3">
      <c r="A782" t="s">
        <v>3236</v>
      </c>
      <c r="B782">
        <v>9029</v>
      </c>
      <c r="C782" t="s">
        <v>3237</v>
      </c>
    </row>
    <row r="783" spans="1:3">
      <c r="A783" t="s">
        <v>2290</v>
      </c>
      <c r="B783">
        <v>9030</v>
      </c>
      <c r="C783" t="s">
        <v>2291</v>
      </c>
    </row>
    <row r="784" spans="1:3">
      <c r="A784" t="s">
        <v>2292</v>
      </c>
      <c r="B784">
        <v>9031</v>
      </c>
      <c r="C784" t="s">
        <v>2293</v>
      </c>
    </row>
    <row r="785" spans="1:3">
      <c r="A785" t="s">
        <v>2294</v>
      </c>
      <c r="B785">
        <v>9032</v>
      </c>
      <c r="C785" t="s">
        <v>2295</v>
      </c>
    </row>
    <row r="786" spans="1:3">
      <c r="A786" t="s">
        <v>2296</v>
      </c>
      <c r="B786">
        <v>9033</v>
      </c>
      <c r="C786" t="s">
        <v>2297</v>
      </c>
    </row>
    <row r="787" spans="1:3">
      <c r="A787" t="s">
        <v>2298</v>
      </c>
      <c r="B787">
        <v>9034</v>
      </c>
      <c r="C787" t="s">
        <v>2299</v>
      </c>
    </row>
    <row r="788" spans="1:3">
      <c r="A788" t="s">
        <v>2300</v>
      </c>
      <c r="B788">
        <v>9035</v>
      </c>
      <c r="C788" t="s">
        <v>2301</v>
      </c>
    </row>
    <row r="789" spans="1:3">
      <c r="A789" t="s">
        <v>2302</v>
      </c>
      <c r="B789">
        <v>9036</v>
      </c>
      <c r="C789" t="s">
        <v>2303</v>
      </c>
    </row>
    <row r="790" spans="1:3">
      <c r="A790" t="s">
        <v>3102</v>
      </c>
      <c r="B790">
        <v>9037</v>
      </c>
      <c r="C790" t="s">
        <v>3103</v>
      </c>
    </row>
    <row r="791" spans="1:3">
      <c r="A791" t="s">
        <v>3104</v>
      </c>
      <c r="B791">
        <v>9038</v>
      </c>
      <c r="C791" t="s">
        <v>3105</v>
      </c>
    </row>
    <row r="792" spans="1:3">
      <c r="A792" t="s">
        <v>3106</v>
      </c>
      <c r="B792">
        <v>9039</v>
      </c>
      <c r="C792" t="s">
        <v>3107</v>
      </c>
    </row>
    <row r="793" spans="1:3">
      <c r="A793" t="s">
        <v>2304</v>
      </c>
      <c r="B793">
        <v>9040</v>
      </c>
      <c r="C793" t="s">
        <v>2305</v>
      </c>
    </row>
    <row r="794" spans="1:3">
      <c r="A794" t="s">
        <v>2306</v>
      </c>
      <c r="B794">
        <v>9041</v>
      </c>
      <c r="C794" t="s">
        <v>2307</v>
      </c>
    </row>
    <row r="795" spans="1:3">
      <c r="A795" t="s">
        <v>2308</v>
      </c>
      <c r="B795">
        <v>9042</v>
      </c>
      <c r="C795" t="s">
        <v>2309</v>
      </c>
    </row>
    <row r="796" spans="1:3">
      <c r="A796" t="s">
        <v>2310</v>
      </c>
      <c r="B796">
        <v>9043</v>
      </c>
      <c r="C796" t="s">
        <v>2311</v>
      </c>
    </row>
    <row r="797" spans="1:3">
      <c r="A797" t="s">
        <v>2312</v>
      </c>
      <c r="B797">
        <v>9044</v>
      </c>
      <c r="C797" t="s">
        <v>2313</v>
      </c>
    </row>
    <row r="798" spans="1:3">
      <c r="A798" t="s">
        <v>3008</v>
      </c>
      <c r="B798">
        <v>9045</v>
      </c>
      <c r="C798" t="s">
        <v>3009</v>
      </c>
    </row>
    <row r="799" spans="1:3">
      <c r="A799" t="s">
        <v>3108</v>
      </c>
      <c r="B799">
        <v>9046</v>
      </c>
      <c r="C799" t="s">
        <v>3109</v>
      </c>
    </row>
    <row r="800" spans="1:3">
      <c r="A800" t="s">
        <v>3238</v>
      </c>
      <c r="B800">
        <v>9047</v>
      </c>
      <c r="C800" t="s">
        <v>3239</v>
      </c>
    </row>
    <row r="801" spans="1:3">
      <c r="A801" t="s">
        <v>3240</v>
      </c>
      <c r="B801">
        <v>9048</v>
      </c>
      <c r="C801" t="s">
        <v>3241</v>
      </c>
    </row>
    <row r="802" spans="1:3">
      <c r="A802" t="s">
        <v>3487</v>
      </c>
      <c r="B802">
        <v>9049</v>
      </c>
      <c r="C802" t="s">
        <v>3488</v>
      </c>
    </row>
    <row r="803" spans="1:3">
      <c r="A803" t="s">
        <v>2314</v>
      </c>
      <c r="B803">
        <v>9050</v>
      </c>
      <c r="C803" t="s">
        <v>2315</v>
      </c>
    </row>
    <row r="804" spans="1:3">
      <c r="A804" t="s">
        <v>2316</v>
      </c>
      <c r="B804">
        <v>9051</v>
      </c>
      <c r="C804" t="s">
        <v>2317</v>
      </c>
    </row>
    <row r="805" spans="1:3">
      <c r="A805" t="s">
        <v>2318</v>
      </c>
      <c r="B805">
        <v>9052</v>
      </c>
      <c r="C805" t="s">
        <v>2319</v>
      </c>
    </row>
    <row r="806" spans="1:3">
      <c r="A806" t="s">
        <v>2320</v>
      </c>
      <c r="B806">
        <v>9053</v>
      </c>
      <c r="C806" t="s">
        <v>2321</v>
      </c>
    </row>
    <row r="807" spans="1:3">
      <c r="A807" t="s">
        <v>2322</v>
      </c>
      <c r="B807">
        <v>9054</v>
      </c>
      <c r="C807" t="s">
        <v>2323</v>
      </c>
    </row>
    <row r="808" spans="1:3">
      <c r="A808" t="s">
        <v>2324</v>
      </c>
      <c r="B808">
        <v>9055</v>
      </c>
      <c r="C808" t="s">
        <v>2325</v>
      </c>
    </row>
    <row r="809" spans="1:3">
      <c r="A809" t="s">
        <v>3110</v>
      </c>
      <c r="B809">
        <v>9056</v>
      </c>
      <c r="C809" t="s">
        <v>3111</v>
      </c>
    </row>
    <row r="810" spans="1:3">
      <c r="A810" t="s">
        <v>3242</v>
      </c>
      <c r="B810">
        <v>9057</v>
      </c>
      <c r="C810" t="s">
        <v>3243</v>
      </c>
    </row>
    <row r="811" spans="1:3">
      <c r="A811" t="s">
        <v>3489</v>
      </c>
      <c r="B811">
        <v>9058</v>
      </c>
      <c r="C811" t="s">
        <v>3490</v>
      </c>
    </row>
    <row r="812" spans="1:3">
      <c r="A812" t="s">
        <v>3491</v>
      </c>
      <c r="B812">
        <v>9059</v>
      </c>
      <c r="C812" t="s">
        <v>3492</v>
      </c>
    </row>
    <row r="813" spans="1:3">
      <c r="A813" t="s">
        <v>2326</v>
      </c>
      <c r="B813">
        <v>9060</v>
      </c>
      <c r="C813" t="s">
        <v>2327</v>
      </c>
    </row>
    <row r="814" spans="1:3">
      <c r="A814" t="s">
        <v>2328</v>
      </c>
      <c r="B814">
        <v>9061</v>
      </c>
      <c r="C814" t="s">
        <v>2329</v>
      </c>
    </row>
    <row r="815" spans="1:3">
      <c r="A815" t="s">
        <v>3493</v>
      </c>
      <c r="B815">
        <v>9062</v>
      </c>
      <c r="C815" t="s">
        <v>3494</v>
      </c>
    </row>
    <row r="816" spans="1:3">
      <c r="A816" t="s">
        <v>3495</v>
      </c>
      <c r="B816">
        <v>9063</v>
      </c>
      <c r="C816" t="s">
        <v>3447</v>
      </c>
    </row>
    <row r="817" spans="1:3">
      <c r="A817" t="s">
        <v>3496</v>
      </c>
      <c r="B817">
        <v>9064</v>
      </c>
      <c r="C817" t="s">
        <v>3497</v>
      </c>
    </row>
    <row r="818" spans="1:3">
      <c r="A818" t="s">
        <v>3675</v>
      </c>
      <c r="B818">
        <v>9065</v>
      </c>
      <c r="C818" t="s">
        <v>3676</v>
      </c>
    </row>
    <row r="819" spans="1:3">
      <c r="A819" t="s">
        <v>3677</v>
      </c>
      <c r="B819">
        <v>9068</v>
      </c>
      <c r="C819" t="s">
        <v>3678</v>
      </c>
    </row>
    <row r="820" spans="1:3">
      <c r="A820" t="s">
        <v>2330</v>
      </c>
      <c r="B820">
        <v>9070</v>
      </c>
      <c r="C820" t="s">
        <v>2331</v>
      </c>
    </row>
    <row r="821" spans="1:3">
      <c r="A821" t="s">
        <v>3244</v>
      </c>
      <c r="B821">
        <v>9071</v>
      </c>
      <c r="C821" t="s">
        <v>3245</v>
      </c>
    </row>
    <row r="822" spans="1:3">
      <c r="A822" t="s">
        <v>3246</v>
      </c>
      <c r="B822">
        <v>9072</v>
      </c>
      <c r="C822" t="s">
        <v>3247</v>
      </c>
    </row>
    <row r="823" spans="1:3">
      <c r="A823" t="s">
        <v>3498</v>
      </c>
      <c r="B823">
        <v>9073</v>
      </c>
      <c r="C823" t="s">
        <v>3499</v>
      </c>
    </row>
    <row r="824" spans="1:3">
      <c r="A824" t="s">
        <v>3679</v>
      </c>
      <c r="B824">
        <v>9074</v>
      </c>
      <c r="C824" t="s">
        <v>3660</v>
      </c>
    </row>
    <row r="825" spans="1:3">
      <c r="A825" t="s">
        <v>3680</v>
      </c>
      <c r="B825">
        <v>9075</v>
      </c>
      <c r="C825" t="s">
        <v>3681</v>
      </c>
    </row>
    <row r="826" spans="1:3">
      <c r="A826" t="s">
        <v>2332</v>
      </c>
      <c r="B826">
        <v>9080</v>
      </c>
      <c r="C826" t="s">
        <v>2333</v>
      </c>
    </row>
    <row r="827" spans="1:3">
      <c r="A827" t="s">
        <v>2334</v>
      </c>
      <c r="B827">
        <v>9081</v>
      </c>
      <c r="C827" t="s">
        <v>2335</v>
      </c>
    </row>
    <row r="828" spans="1:3">
      <c r="A828" t="s">
        <v>2336</v>
      </c>
      <c r="B828">
        <v>9082</v>
      </c>
      <c r="C828" t="s">
        <v>2337</v>
      </c>
    </row>
    <row r="829" spans="1:3">
      <c r="A829" t="s">
        <v>3682</v>
      </c>
      <c r="B829">
        <v>9083</v>
      </c>
      <c r="C829" t="s">
        <v>3683</v>
      </c>
    </row>
    <row r="830" spans="1:3">
      <c r="A830" t="s">
        <v>2338</v>
      </c>
      <c r="B830">
        <v>9090</v>
      </c>
      <c r="C830" t="s">
        <v>2339</v>
      </c>
    </row>
    <row r="831" spans="1:3">
      <c r="A831" t="s">
        <v>2340</v>
      </c>
      <c r="B831">
        <v>9091</v>
      </c>
      <c r="C831" t="s">
        <v>2341</v>
      </c>
    </row>
    <row r="832" spans="1:3">
      <c r="A832" t="s">
        <v>2342</v>
      </c>
      <c r="B832">
        <v>9092</v>
      </c>
      <c r="C832" t="s">
        <v>2343</v>
      </c>
    </row>
    <row r="833" spans="1:3">
      <c r="A833" t="s">
        <v>3684</v>
      </c>
      <c r="B833">
        <v>9093</v>
      </c>
      <c r="C833" t="s">
        <v>3662</v>
      </c>
    </row>
    <row r="834" spans="1:3">
      <c r="A834" t="s">
        <v>2344</v>
      </c>
      <c r="B834">
        <v>9094</v>
      </c>
      <c r="C834" t="s">
        <v>2345</v>
      </c>
    </row>
    <row r="835" spans="1:3">
      <c r="A835" t="s">
        <v>2346</v>
      </c>
      <c r="B835">
        <v>9095</v>
      </c>
      <c r="C835" t="s">
        <v>2347</v>
      </c>
    </row>
    <row r="836" spans="1:3">
      <c r="A836" t="s">
        <v>3685</v>
      </c>
      <c r="B836">
        <v>9096</v>
      </c>
      <c r="C836" t="s">
        <v>3686</v>
      </c>
    </row>
    <row r="837" spans="1:3">
      <c r="A837" t="s">
        <v>3687</v>
      </c>
      <c r="B837">
        <v>9097</v>
      </c>
      <c r="C837" t="s">
        <v>3688</v>
      </c>
    </row>
    <row r="838" spans="1:3">
      <c r="A838" t="s">
        <v>2348</v>
      </c>
      <c r="B838">
        <v>9100</v>
      </c>
      <c r="C838" t="s">
        <v>2349</v>
      </c>
    </row>
    <row r="839" spans="1:3">
      <c r="A839" t="s">
        <v>2350</v>
      </c>
      <c r="B839">
        <v>9101</v>
      </c>
      <c r="C839" t="s">
        <v>2351</v>
      </c>
    </row>
    <row r="840" spans="1:3">
      <c r="A840" t="s">
        <v>2352</v>
      </c>
      <c r="B840">
        <v>9102</v>
      </c>
      <c r="C840" t="s">
        <v>2353</v>
      </c>
    </row>
    <row r="841" spans="1:3">
      <c r="A841" t="s">
        <v>2354</v>
      </c>
      <c r="B841">
        <v>9103</v>
      </c>
      <c r="C841" t="s">
        <v>2355</v>
      </c>
    </row>
    <row r="842" spans="1:3">
      <c r="A842" t="s">
        <v>2356</v>
      </c>
      <c r="B842">
        <v>9104</v>
      </c>
      <c r="C842" t="s">
        <v>2357</v>
      </c>
    </row>
    <row r="843" spans="1:3">
      <c r="A843" t="s">
        <v>2358</v>
      </c>
      <c r="B843">
        <v>9105</v>
      </c>
      <c r="C843" t="s">
        <v>2359</v>
      </c>
    </row>
    <row r="844" spans="1:3">
      <c r="A844" t="s">
        <v>2360</v>
      </c>
      <c r="B844">
        <v>9106</v>
      </c>
      <c r="C844" t="s">
        <v>2361</v>
      </c>
    </row>
    <row r="845" spans="1:3">
      <c r="A845" t="s">
        <v>2362</v>
      </c>
      <c r="B845">
        <v>9107</v>
      </c>
      <c r="C845" t="s">
        <v>2363</v>
      </c>
    </row>
    <row r="846" spans="1:3">
      <c r="A846" t="s">
        <v>2364</v>
      </c>
      <c r="B846">
        <v>9110</v>
      </c>
      <c r="C846" t="s">
        <v>2365</v>
      </c>
    </row>
    <row r="847" spans="1:3">
      <c r="A847" t="s">
        <v>2366</v>
      </c>
      <c r="B847">
        <v>9112</v>
      </c>
      <c r="C847" t="s">
        <v>2367</v>
      </c>
    </row>
    <row r="848" spans="1:3">
      <c r="A848" t="s">
        <v>2368</v>
      </c>
      <c r="B848">
        <v>9113</v>
      </c>
      <c r="C848" t="s">
        <v>2369</v>
      </c>
    </row>
    <row r="849" spans="1:3">
      <c r="A849" t="s">
        <v>2370</v>
      </c>
      <c r="B849">
        <v>9114</v>
      </c>
      <c r="C849" t="s">
        <v>2371</v>
      </c>
    </row>
    <row r="850" spans="1:3">
      <c r="A850" t="s">
        <v>2372</v>
      </c>
      <c r="B850">
        <v>9117</v>
      </c>
      <c r="C850" t="s">
        <v>2373</v>
      </c>
    </row>
    <row r="851" spans="1:3">
      <c r="A851" t="s">
        <v>3112</v>
      </c>
      <c r="B851">
        <v>9119</v>
      </c>
      <c r="C851" t="s">
        <v>3113</v>
      </c>
    </row>
    <row r="852" spans="1:3">
      <c r="A852" t="s">
        <v>2374</v>
      </c>
      <c r="B852">
        <v>9120</v>
      </c>
      <c r="C852" t="s">
        <v>2375</v>
      </c>
    </row>
    <row r="853" spans="1:3">
      <c r="A853" t="s">
        <v>2376</v>
      </c>
      <c r="B853">
        <v>9121</v>
      </c>
      <c r="C853" t="s">
        <v>2377</v>
      </c>
    </row>
    <row r="854" spans="1:3">
      <c r="A854" t="s">
        <v>2378</v>
      </c>
      <c r="B854">
        <v>9130</v>
      </c>
      <c r="C854" t="s">
        <v>2379</v>
      </c>
    </row>
    <row r="855" spans="1:3">
      <c r="A855" t="s">
        <v>2380</v>
      </c>
      <c r="B855">
        <v>9131</v>
      </c>
      <c r="C855" t="s">
        <v>2381</v>
      </c>
    </row>
    <row r="856" spans="1:3">
      <c r="A856" t="s">
        <v>2382</v>
      </c>
      <c r="B856">
        <v>9140</v>
      </c>
      <c r="C856" t="s">
        <v>2383</v>
      </c>
    </row>
    <row r="857" spans="1:3">
      <c r="A857" t="s">
        <v>2384</v>
      </c>
      <c r="B857">
        <v>9141</v>
      </c>
      <c r="C857" t="s">
        <v>2385</v>
      </c>
    </row>
    <row r="858" spans="1:3">
      <c r="A858" t="s">
        <v>2386</v>
      </c>
      <c r="B858">
        <v>9142</v>
      </c>
      <c r="C858" t="s">
        <v>2387</v>
      </c>
    </row>
    <row r="859" spans="1:3">
      <c r="A859" t="s">
        <v>2388</v>
      </c>
      <c r="B859">
        <v>9143</v>
      </c>
      <c r="C859" t="s">
        <v>2389</v>
      </c>
    </row>
    <row r="860" spans="1:3">
      <c r="A860" t="s">
        <v>2390</v>
      </c>
      <c r="B860">
        <v>9150</v>
      </c>
      <c r="C860" t="s">
        <v>2391</v>
      </c>
    </row>
    <row r="861" spans="1:3">
      <c r="A861" t="s">
        <v>2392</v>
      </c>
      <c r="B861">
        <v>9151</v>
      </c>
      <c r="C861" t="s">
        <v>2393</v>
      </c>
    </row>
    <row r="862" spans="1:3">
      <c r="A862" t="s">
        <v>2394</v>
      </c>
      <c r="B862">
        <v>9154</v>
      </c>
      <c r="C862" t="s">
        <v>2395</v>
      </c>
    </row>
    <row r="863" spans="1:3">
      <c r="A863" t="s">
        <v>2396</v>
      </c>
      <c r="B863">
        <v>9155</v>
      </c>
      <c r="C863" t="s">
        <v>2397</v>
      </c>
    </row>
    <row r="864" spans="1:3">
      <c r="A864" t="s">
        <v>2398</v>
      </c>
      <c r="B864">
        <v>9156</v>
      </c>
      <c r="C864" t="s">
        <v>2399</v>
      </c>
    </row>
    <row r="865" spans="1:3">
      <c r="A865" t="s">
        <v>2936</v>
      </c>
      <c r="B865">
        <v>9159</v>
      </c>
      <c r="C865" t="s">
        <v>2937</v>
      </c>
    </row>
    <row r="866" spans="1:3">
      <c r="A866" t="s">
        <v>2400</v>
      </c>
      <c r="B866">
        <v>9160</v>
      </c>
      <c r="C866" t="s">
        <v>2401</v>
      </c>
    </row>
    <row r="867" spans="1:3">
      <c r="A867" t="s">
        <v>2402</v>
      </c>
      <c r="B867">
        <v>9161</v>
      </c>
      <c r="C867" t="s">
        <v>2403</v>
      </c>
    </row>
    <row r="868" spans="1:3">
      <c r="A868" t="s">
        <v>2404</v>
      </c>
      <c r="B868">
        <v>9163</v>
      </c>
      <c r="C868" t="s">
        <v>2405</v>
      </c>
    </row>
    <row r="869" spans="1:3">
      <c r="A869" t="s">
        <v>2406</v>
      </c>
      <c r="B869">
        <v>9166</v>
      </c>
      <c r="C869" t="s">
        <v>2407</v>
      </c>
    </row>
    <row r="870" spans="1:3">
      <c r="A870" t="s">
        <v>2408</v>
      </c>
      <c r="B870">
        <v>9168</v>
      </c>
      <c r="C870" t="s">
        <v>2409</v>
      </c>
    </row>
    <row r="871" spans="1:3">
      <c r="A871" t="s">
        <v>2760</v>
      </c>
      <c r="B871">
        <v>9170</v>
      </c>
      <c r="C871" t="s">
        <v>2761</v>
      </c>
    </row>
    <row r="872" spans="1:3">
      <c r="A872" t="s">
        <v>3114</v>
      </c>
      <c r="B872">
        <v>9172</v>
      </c>
      <c r="C872" t="s">
        <v>3115</v>
      </c>
    </row>
    <row r="873" spans="1:3">
      <c r="A873" t="s">
        <v>2410</v>
      </c>
      <c r="B873">
        <v>9180</v>
      </c>
      <c r="C873" t="s">
        <v>2411</v>
      </c>
    </row>
    <row r="874" spans="1:3">
      <c r="A874" t="s">
        <v>2412</v>
      </c>
      <c r="B874">
        <v>9190</v>
      </c>
      <c r="C874" t="s">
        <v>2413</v>
      </c>
    </row>
    <row r="875" spans="1:3">
      <c r="A875" t="s">
        <v>2414</v>
      </c>
      <c r="B875">
        <v>9191</v>
      </c>
      <c r="C875" t="s">
        <v>2415</v>
      </c>
    </row>
    <row r="876" spans="1:3">
      <c r="A876" t="s">
        <v>2416</v>
      </c>
      <c r="B876">
        <v>9194</v>
      </c>
      <c r="C876" t="s">
        <v>2417</v>
      </c>
    </row>
    <row r="877" spans="1:3">
      <c r="A877" t="s">
        <v>2418</v>
      </c>
      <c r="B877">
        <v>9199</v>
      </c>
      <c r="C877" t="s">
        <v>2419</v>
      </c>
    </row>
    <row r="878" spans="1:3">
      <c r="A878" t="s">
        <v>2420</v>
      </c>
      <c r="B878">
        <v>9200</v>
      </c>
      <c r="C878" t="s">
        <v>2421</v>
      </c>
    </row>
    <row r="879" spans="1:3">
      <c r="A879" t="s">
        <v>2422</v>
      </c>
      <c r="B879">
        <v>9201</v>
      </c>
      <c r="C879" t="s">
        <v>2423</v>
      </c>
    </row>
    <row r="880" spans="1:3">
      <c r="A880" t="s">
        <v>2424</v>
      </c>
      <c r="B880">
        <v>9202</v>
      </c>
      <c r="C880" t="s">
        <v>2425</v>
      </c>
    </row>
    <row r="881" spans="1:3">
      <c r="A881" t="s">
        <v>3010</v>
      </c>
      <c r="B881">
        <v>9210</v>
      </c>
      <c r="C881" t="s">
        <v>3011</v>
      </c>
    </row>
    <row r="882" spans="1:3">
      <c r="A882" t="s">
        <v>2426</v>
      </c>
      <c r="B882">
        <v>9220</v>
      </c>
      <c r="C882" t="s">
        <v>2427</v>
      </c>
    </row>
    <row r="883" spans="1:3">
      <c r="A883" t="s">
        <v>2428</v>
      </c>
      <c r="B883">
        <v>9221</v>
      </c>
      <c r="C883" t="s">
        <v>2429</v>
      </c>
    </row>
    <row r="884" spans="1:3">
      <c r="A884" t="s">
        <v>2430</v>
      </c>
      <c r="B884">
        <v>9222</v>
      </c>
      <c r="C884" t="s">
        <v>2431</v>
      </c>
    </row>
    <row r="885" spans="1:3">
      <c r="A885" t="s">
        <v>2432</v>
      </c>
      <c r="B885">
        <v>9223</v>
      </c>
      <c r="C885" t="s">
        <v>2433</v>
      </c>
    </row>
    <row r="886" spans="1:3">
      <c r="A886" t="s">
        <v>2434</v>
      </c>
      <c r="B886">
        <v>9224</v>
      </c>
      <c r="C886" t="s">
        <v>2435</v>
      </c>
    </row>
    <row r="887" spans="1:3">
      <c r="A887" t="s">
        <v>2436</v>
      </c>
      <c r="B887">
        <v>9225</v>
      </c>
      <c r="C887" t="s">
        <v>2437</v>
      </c>
    </row>
    <row r="888" spans="1:3">
      <c r="A888" t="s">
        <v>2438</v>
      </c>
      <c r="B888">
        <v>9226</v>
      </c>
      <c r="C888" t="s">
        <v>2439</v>
      </c>
    </row>
    <row r="889" spans="1:3">
      <c r="A889" t="s">
        <v>2440</v>
      </c>
      <c r="B889">
        <v>9227</v>
      </c>
      <c r="C889" t="s">
        <v>2441</v>
      </c>
    </row>
    <row r="890" spans="1:3">
      <c r="A890" t="s">
        <v>2442</v>
      </c>
      <c r="B890">
        <v>9228</v>
      </c>
      <c r="C890" t="s">
        <v>2443</v>
      </c>
    </row>
    <row r="891" spans="1:3">
      <c r="A891" t="s">
        <v>2444</v>
      </c>
      <c r="B891">
        <v>9240</v>
      </c>
      <c r="C891" t="s">
        <v>2445</v>
      </c>
    </row>
    <row r="892" spans="1:3">
      <c r="A892" t="s">
        <v>2446</v>
      </c>
      <c r="B892">
        <v>9250</v>
      </c>
      <c r="C892" t="s">
        <v>2447</v>
      </c>
    </row>
    <row r="893" spans="1:3">
      <c r="A893" t="s">
        <v>2448</v>
      </c>
      <c r="B893">
        <v>9251</v>
      </c>
      <c r="C893" t="s">
        <v>2449</v>
      </c>
    </row>
    <row r="894" spans="1:3">
      <c r="A894" t="s">
        <v>2450</v>
      </c>
      <c r="B894">
        <v>9253</v>
      </c>
      <c r="C894" t="s">
        <v>2451</v>
      </c>
    </row>
    <row r="895" spans="1:3">
      <c r="A895" t="s">
        <v>2452</v>
      </c>
      <c r="B895">
        <v>9254</v>
      </c>
      <c r="C895" t="s">
        <v>2453</v>
      </c>
    </row>
    <row r="896" spans="1:3">
      <c r="A896" t="s">
        <v>2454</v>
      </c>
      <c r="B896">
        <v>9255</v>
      </c>
      <c r="C896" t="s">
        <v>2455</v>
      </c>
    </row>
    <row r="897" spans="1:3">
      <c r="A897" t="s">
        <v>2456</v>
      </c>
      <c r="B897">
        <v>9256</v>
      </c>
      <c r="C897" t="s">
        <v>2457</v>
      </c>
    </row>
    <row r="898" spans="1:3">
      <c r="A898" t="s">
        <v>2458</v>
      </c>
      <c r="B898">
        <v>9260</v>
      </c>
      <c r="C898" t="s">
        <v>2459</v>
      </c>
    </row>
    <row r="899" spans="1:3">
      <c r="A899" t="s">
        <v>2460</v>
      </c>
      <c r="B899">
        <v>9261</v>
      </c>
      <c r="C899" t="s">
        <v>2461</v>
      </c>
    </row>
    <row r="900" spans="1:3">
      <c r="A900" t="s">
        <v>2462</v>
      </c>
      <c r="B900">
        <v>9262</v>
      </c>
      <c r="C900" t="s">
        <v>2463</v>
      </c>
    </row>
    <row r="901" spans="1:3">
      <c r="A901" t="s">
        <v>2464</v>
      </c>
      <c r="B901">
        <v>9270</v>
      </c>
      <c r="C901" t="s">
        <v>2465</v>
      </c>
    </row>
    <row r="902" spans="1:3">
      <c r="A902" t="s">
        <v>2466</v>
      </c>
      <c r="B902">
        <v>9271</v>
      </c>
      <c r="C902" t="s">
        <v>2467</v>
      </c>
    </row>
    <row r="903" spans="1:3">
      <c r="A903" t="s">
        <v>2468</v>
      </c>
      <c r="B903">
        <v>9272</v>
      </c>
      <c r="C903" t="s">
        <v>2469</v>
      </c>
    </row>
    <row r="904" spans="1:3">
      <c r="A904" t="s">
        <v>2470</v>
      </c>
      <c r="B904">
        <v>9280</v>
      </c>
      <c r="C904" t="s">
        <v>2471</v>
      </c>
    </row>
    <row r="905" spans="1:3">
      <c r="A905" t="s">
        <v>2472</v>
      </c>
      <c r="B905">
        <v>9281</v>
      </c>
      <c r="C905" t="s">
        <v>2471</v>
      </c>
    </row>
    <row r="906" spans="1:3">
      <c r="A906" t="s">
        <v>2473</v>
      </c>
      <c r="B906">
        <v>9282</v>
      </c>
      <c r="C906" t="s">
        <v>2474</v>
      </c>
    </row>
    <row r="907" spans="1:3">
      <c r="A907" t="s">
        <v>2475</v>
      </c>
      <c r="B907">
        <v>9300</v>
      </c>
      <c r="C907" t="s">
        <v>2476</v>
      </c>
    </row>
    <row r="908" spans="1:3">
      <c r="A908" t="s">
        <v>2477</v>
      </c>
      <c r="B908">
        <v>9301</v>
      </c>
      <c r="C908" t="s">
        <v>2478</v>
      </c>
    </row>
    <row r="909" spans="1:3">
      <c r="A909" t="s">
        <v>2479</v>
      </c>
      <c r="B909">
        <v>9302</v>
      </c>
      <c r="C909" t="s">
        <v>2480</v>
      </c>
    </row>
    <row r="910" spans="1:3">
      <c r="A910" t="s">
        <v>2481</v>
      </c>
      <c r="B910">
        <v>9307</v>
      </c>
      <c r="C910" t="s">
        <v>2482</v>
      </c>
    </row>
    <row r="911" spans="1:3">
      <c r="A911" t="s">
        <v>2483</v>
      </c>
      <c r="B911">
        <v>9310</v>
      </c>
      <c r="C911" t="s">
        <v>2484</v>
      </c>
    </row>
    <row r="912" spans="1:3">
      <c r="A912" t="s">
        <v>2485</v>
      </c>
      <c r="B912">
        <v>9311</v>
      </c>
      <c r="C912" t="s">
        <v>2486</v>
      </c>
    </row>
    <row r="913" spans="1:3">
      <c r="A913" t="s">
        <v>2487</v>
      </c>
      <c r="B913">
        <v>9312</v>
      </c>
      <c r="C913" t="s">
        <v>2488</v>
      </c>
    </row>
    <row r="914" spans="1:3">
      <c r="A914" t="s">
        <v>2489</v>
      </c>
      <c r="B914">
        <v>9320</v>
      </c>
      <c r="C914" t="s">
        <v>2490</v>
      </c>
    </row>
    <row r="915" spans="1:3">
      <c r="A915" t="s">
        <v>2491</v>
      </c>
      <c r="B915">
        <v>9321</v>
      </c>
      <c r="C915" t="s">
        <v>2492</v>
      </c>
    </row>
    <row r="916" spans="1:3">
      <c r="A916" t="s">
        <v>2493</v>
      </c>
      <c r="B916">
        <v>9322</v>
      </c>
      <c r="C916" t="s">
        <v>2494</v>
      </c>
    </row>
    <row r="917" spans="1:3">
      <c r="A917" t="s">
        <v>2495</v>
      </c>
      <c r="B917">
        <v>9330</v>
      </c>
      <c r="C917" t="s">
        <v>2496</v>
      </c>
    </row>
    <row r="918" spans="1:3">
      <c r="A918" t="s">
        <v>2497</v>
      </c>
      <c r="B918">
        <v>9331</v>
      </c>
      <c r="C918" t="s">
        <v>2498</v>
      </c>
    </row>
    <row r="919" spans="1:3">
      <c r="A919" t="s">
        <v>2499</v>
      </c>
      <c r="B919">
        <v>9332</v>
      </c>
      <c r="C919" t="s">
        <v>2500</v>
      </c>
    </row>
    <row r="920" spans="1:3">
      <c r="A920" t="s">
        <v>2501</v>
      </c>
      <c r="B920">
        <v>9340</v>
      </c>
      <c r="C920" t="s">
        <v>2502</v>
      </c>
    </row>
    <row r="921" spans="1:3">
      <c r="A921" t="s">
        <v>2503</v>
      </c>
      <c r="B921">
        <v>9341</v>
      </c>
      <c r="C921" t="s">
        <v>2504</v>
      </c>
    </row>
    <row r="922" spans="1:3">
      <c r="A922" t="s">
        <v>2505</v>
      </c>
      <c r="B922">
        <v>9350</v>
      </c>
      <c r="C922" t="s">
        <v>2506</v>
      </c>
    </row>
    <row r="923" spans="1:3">
      <c r="A923" t="s">
        <v>2507</v>
      </c>
      <c r="B923">
        <v>9351</v>
      </c>
      <c r="C923" t="s">
        <v>2508</v>
      </c>
    </row>
    <row r="924" spans="1:3">
      <c r="A924" t="s">
        <v>2509</v>
      </c>
      <c r="B924">
        <v>9352</v>
      </c>
      <c r="C924" t="s">
        <v>2510</v>
      </c>
    </row>
    <row r="925" spans="1:3">
      <c r="A925" t="s">
        <v>2511</v>
      </c>
      <c r="B925">
        <v>9360</v>
      </c>
      <c r="C925" t="s">
        <v>2512</v>
      </c>
    </row>
    <row r="926" spans="1:3">
      <c r="A926" t="s">
        <v>2513</v>
      </c>
      <c r="B926">
        <v>9362</v>
      </c>
      <c r="C926" t="s">
        <v>1989</v>
      </c>
    </row>
    <row r="927" spans="1:3">
      <c r="A927" t="s">
        <v>2762</v>
      </c>
      <c r="B927">
        <v>9366</v>
      </c>
      <c r="C927" t="s">
        <v>2763</v>
      </c>
    </row>
    <row r="928" spans="1:3">
      <c r="A928" t="s">
        <v>2514</v>
      </c>
      <c r="B928">
        <v>9370</v>
      </c>
      <c r="C928" t="s">
        <v>2515</v>
      </c>
    </row>
    <row r="929" spans="1:3">
      <c r="A929" t="s">
        <v>2516</v>
      </c>
      <c r="B929">
        <v>9380</v>
      </c>
      <c r="C929" t="s">
        <v>2517</v>
      </c>
    </row>
    <row r="930" spans="1:3">
      <c r="A930" t="s">
        <v>2518</v>
      </c>
      <c r="B930">
        <v>9390</v>
      </c>
      <c r="C930" t="s">
        <v>2519</v>
      </c>
    </row>
    <row r="931" spans="1:3">
      <c r="A931" t="s">
        <v>2520</v>
      </c>
      <c r="B931">
        <v>9400</v>
      </c>
      <c r="C931" t="s">
        <v>2521</v>
      </c>
    </row>
    <row r="932" spans="1:3">
      <c r="A932" t="s">
        <v>2522</v>
      </c>
      <c r="B932">
        <v>9401</v>
      </c>
      <c r="C932" t="s">
        <v>2523</v>
      </c>
    </row>
    <row r="933" spans="1:3">
      <c r="A933" t="s">
        <v>2524</v>
      </c>
      <c r="B933">
        <v>9402</v>
      </c>
      <c r="C933" t="s">
        <v>2525</v>
      </c>
    </row>
    <row r="934" spans="1:3">
      <c r="A934" t="s">
        <v>2526</v>
      </c>
      <c r="B934">
        <v>9403</v>
      </c>
      <c r="C934" t="s">
        <v>2527</v>
      </c>
    </row>
    <row r="935" spans="1:3">
      <c r="A935" t="s">
        <v>2528</v>
      </c>
      <c r="B935">
        <v>9404</v>
      </c>
      <c r="C935" t="s">
        <v>2529</v>
      </c>
    </row>
    <row r="936" spans="1:3">
      <c r="A936" t="s">
        <v>2530</v>
      </c>
      <c r="B936">
        <v>9409</v>
      </c>
      <c r="C936" t="s">
        <v>2531</v>
      </c>
    </row>
    <row r="937" spans="1:3">
      <c r="A937" t="s">
        <v>2532</v>
      </c>
      <c r="B937">
        <v>9410</v>
      </c>
      <c r="C937" t="s">
        <v>2533</v>
      </c>
    </row>
    <row r="938" spans="1:3">
      <c r="A938" t="s">
        <v>2534</v>
      </c>
      <c r="B938">
        <v>9420</v>
      </c>
      <c r="C938" t="s">
        <v>2535</v>
      </c>
    </row>
    <row r="939" spans="1:3">
      <c r="A939" t="s">
        <v>2536</v>
      </c>
      <c r="B939">
        <v>9430</v>
      </c>
      <c r="C939" t="s">
        <v>2537</v>
      </c>
    </row>
    <row r="940" spans="1:3">
      <c r="A940" t="s">
        <v>2538</v>
      </c>
      <c r="B940">
        <v>9431</v>
      </c>
      <c r="C940" t="s">
        <v>2539</v>
      </c>
    </row>
    <row r="941" spans="1:3">
      <c r="A941" t="s">
        <v>2540</v>
      </c>
      <c r="B941">
        <v>9440</v>
      </c>
      <c r="C941" t="s">
        <v>2541</v>
      </c>
    </row>
    <row r="942" spans="1:3">
      <c r="A942" t="s">
        <v>2542</v>
      </c>
      <c r="B942">
        <v>9450</v>
      </c>
      <c r="C942" t="s">
        <v>2543</v>
      </c>
    </row>
    <row r="943" spans="1:3">
      <c r="A943" t="s">
        <v>2544</v>
      </c>
      <c r="B943">
        <v>9454</v>
      </c>
      <c r="C943" t="s">
        <v>2545</v>
      </c>
    </row>
    <row r="944" spans="1:3">
      <c r="A944" t="s">
        <v>2546</v>
      </c>
      <c r="B944">
        <v>9460</v>
      </c>
      <c r="C944" t="s">
        <v>2547</v>
      </c>
    </row>
    <row r="945" spans="1:3">
      <c r="A945" t="s">
        <v>2548</v>
      </c>
      <c r="B945">
        <v>9461</v>
      </c>
      <c r="C945" t="s">
        <v>2549</v>
      </c>
    </row>
    <row r="946" spans="1:3">
      <c r="A946" t="s">
        <v>2550</v>
      </c>
      <c r="B946">
        <v>9470</v>
      </c>
      <c r="C946" t="s">
        <v>2551</v>
      </c>
    </row>
    <row r="947" spans="1:3">
      <c r="A947" t="s">
        <v>2552</v>
      </c>
      <c r="B947">
        <v>9471</v>
      </c>
      <c r="C947" t="s">
        <v>2553</v>
      </c>
    </row>
    <row r="948" spans="1:3">
      <c r="A948" t="s">
        <v>3116</v>
      </c>
      <c r="B948">
        <v>9480</v>
      </c>
      <c r="C948" t="s">
        <v>3117</v>
      </c>
    </row>
    <row r="949" spans="1:3">
      <c r="A949" t="s">
        <v>2554</v>
      </c>
      <c r="B949">
        <v>9490</v>
      </c>
      <c r="C949" t="s">
        <v>2555</v>
      </c>
    </row>
    <row r="950" spans="1:3">
      <c r="A950" t="s">
        <v>3500</v>
      </c>
      <c r="B950">
        <v>9491</v>
      </c>
      <c r="C950" t="s">
        <v>3501</v>
      </c>
    </row>
    <row r="951" spans="1:3">
      <c r="A951" t="s">
        <v>2556</v>
      </c>
      <c r="B951">
        <v>9500</v>
      </c>
      <c r="C951" t="s">
        <v>2557</v>
      </c>
    </row>
    <row r="952" spans="1:3">
      <c r="A952" t="s">
        <v>2558</v>
      </c>
      <c r="B952">
        <v>9510</v>
      </c>
      <c r="C952" t="s">
        <v>2559</v>
      </c>
    </row>
    <row r="953" spans="1:3">
      <c r="A953" t="s">
        <v>2560</v>
      </c>
      <c r="B953">
        <v>9511</v>
      </c>
      <c r="C953" t="s">
        <v>2561</v>
      </c>
    </row>
    <row r="954" spans="1:3">
      <c r="A954" t="s">
        <v>2562</v>
      </c>
      <c r="B954">
        <v>9512</v>
      </c>
      <c r="C954" t="s">
        <v>2563</v>
      </c>
    </row>
    <row r="955" spans="1:3">
      <c r="A955" t="s">
        <v>2564</v>
      </c>
      <c r="B955">
        <v>9513</v>
      </c>
      <c r="C955" t="s">
        <v>2565</v>
      </c>
    </row>
    <row r="956" spans="1:3">
      <c r="A956" t="s">
        <v>2566</v>
      </c>
      <c r="B956">
        <v>9520</v>
      </c>
      <c r="C956" t="s">
        <v>2567</v>
      </c>
    </row>
    <row r="957" spans="1:3">
      <c r="A957" t="s">
        <v>2568</v>
      </c>
      <c r="B957">
        <v>9530</v>
      </c>
      <c r="C957" t="s">
        <v>3118</v>
      </c>
    </row>
    <row r="958" spans="1:3">
      <c r="A958" t="s">
        <v>2569</v>
      </c>
      <c r="B958">
        <v>9540</v>
      </c>
      <c r="C958" t="s">
        <v>2570</v>
      </c>
    </row>
    <row r="959" spans="1:3">
      <c r="A959" t="s">
        <v>2571</v>
      </c>
      <c r="B959">
        <v>9550</v>
      </c>
      <c r="C959" t="s">
        <v>2572</v>
      </c>
    </row>
    <row r="960" spans="1:3">
      <c r="A960" t="s">
        <v>2573</v>
      </c>
      <c r="B960">
        <v>9570</v>
      </c>
      <c r="C960" t="s">
        <v>2574</v>
      </c>
    </row>
    <row r="961" spans="1:3">
      <c r="A961" t="s">
        <v>3119</v>
      </c>
      <c r="B961">
        <v>9580</v>
      </c>
      <c r="C961" t="s">
        <v>3120</v>
      </c>
    </row>
    <row r="962" spans="1:3">
      <c r="A962" t="s">
        <v>2575</v>
      </c>
      <c r="B962">
        <v>9590</v>
      </c>
      <c r="C962" t="s">
        <v>2576</v>
      </c>
    </row>
    <row r="963" spans="1:3">
      <c r="A963" t="s">
        <v>2577</v>
      </c>
      <c r="B963">
        <v>9600</v>
      </c>
      <c r="C963" t="s">
        <v>2578</v>
      </c>
    </row>
    <row r="964" spans="1:3">
      <c r="A964" t="s">
        <v>2579</v>
      </c>
      <c r="B964">
        <v>9601</v>
      </c>
      <c r="C964" t="s">
        <v>2580</v>
      </c>
    </row>
    <row r="965" spans="1:3">
      <c r="A965" t="s">
        <v>2764</v>
      </c>
      <c r="B965">
        <v>9616</v>
      </c>
      <c r="C965" t="s">
        <v>2765</v>
      </c>
    </row>
    <row r="966" spans="1:3">
      <c r="A966" t="s">
        <v>2581</v>
      </c>
      <c r="B966">
        <v>9630</v>
      </c>
      <c r="C966" t="s">
        <v>2582</v>
      </c>
    </row>
    <row r="967" spans="1:3">
      <c r="A967" t="s">
        <v>2583</v>
      </c>
      <c r="B967">
        <v>9640</v>
      </c>
      <c r="C967" t="s">
        <v>2584</v>
      </c>
    </row>
    <row r="968" spans="1:3">
      <c r="A968" t="s">
        <v>2585</v>
      </c>
      <c r="B968">
        <v>9650</v>
      </c>
      <c r="C968" t="s">
        <v>2586</v>
      </c>
    </row>
    <row r="969" spans="1:3">
      <c r="A969" t="s">
        <v>2587</v>
      </c>
      <c r="B969">
        <v>9660</v>
      </c>
      <c r="C969" t="s">
        <v>2588</v>
      </c>
    </row>
    <row r="970" spans="1:3">
      <c r="A970" t="s">
        <v>2938</v>
      </c>
      <c r="B970">
        <v>9670</v>
      </c>
      <c r="C970" t="s">
        <v>2939</v>
      </c>
    </row>
    <row r="971" spans="1:3">
      <c r="A971" t="s">
        <v>2940</v>
      </c>
      <c r="B971">
        <v>9680</v>
      </c>
      <c r="C971" t="s">
        <v>2941</v>
      </c>
    </row>
    <row r="972" spans="1:3">
      <c r="A972" t="s">
        <v>2942</v>
      </c>
      <c r="B972">
        <v>9690</v>
      </c>
      <c r="C972" t="s">
        <v>2943</v>
      </c>
    </row>
    <row r="973" spans="1:3">
      <c r="A973" t="s">
        <v>2589</v>
      </c>
      <c r="B973">
        <v>9700</v>
      </c>
      <c r="C973" t="s">
        <v>2590</v>
      </c>
    </row>
    <row r="974" spans="1:3">
      <c r="A974" t="s">
        <v>2944</v>
      </c>
      <c r="B974">
        <v>9710</v>
      </c>
      <c r="C974" t="s">
        <v>2945</v>
      </c>
    </row>
    <row r="975" spans="1:3">
      <c r="A975" t="s">
        <v>3121</v>
      </c>
      <c r="B975">
        <v>9730</v>
      </c>
      <c r="C975" t="s">
        <v>3122</v>
      </c>
    </row>
    <row r="976" spans="1:3">
      <c r="A976" t="s">
        <v>3123</v>
      </c>
      <c r="B976">
        <v>9740</v>
      </c>
      <c r="C976" t="s">
        <v>3124</v>
      </c>
    </row>
    <row r="977" spans="1:3">
      <c r="A977" t="s">
        <v>2591</v>
      </c>
      <c r="B977">
        <v>9750</v>
      </c>
      <c r="C977" t="s">
        <v>2592</v>
      </c>
    </row>
    <row r="978" spans="1:3">
      <c r="A978" t="s">
        <v>2593</v>
      </c>
      <c r="B978">
        <v>9765</v>
      </c>
      <c r="C978" t="s">
        <v>2594</v>
      </c>
    </row>
    <row r="979" spans="1:3">
      <c r="A979" t="s">
        <v>2595</v>
      </c>
      <c r="B979">
        <v>9770</v>
      </c>
      <c r="C979" t="s">
        <v>2596</v>
      </c>
    </row>
    <row r="980" spans="1:3">
      <c r="A980" t="s">
        <v>2946</v>
      </c>
      <c r="B980">
        <v>9780</v>
      </c>
      <c r="C980" t="s">
        <v>2947</v>
      </c>
    </row>
    <row r="981" spans="1:3">
      <c r="A981" t="s">
        <v>2948</v>
      </c>
      <c r="B981">
        <v>9790</v>
      </c>
      <c r="C981" t="s">
        <v>2949</v>
      </c>
    </row>
    <row r="982" spans="1:3">
      <c r="A982" t="s">
        <v>2597</v>
      </c>
      <c r="B982">
        <v>9799</v>
      </c>
      <c r="C982" t="s">
        <v>2598</v>
      </c>
    </row>
    <row r="983" spans="1:3">
      <c r="A983" t="s">
        <v>2599</v>
      </c>
      <c r="B983">
        <v>9800</v>
      </c>
      <c r="C983" t="s">
        <v>2600</v>
      </c>
    </row>
    <row r="984" spans="1:3">
      <c r="A984" t="s">
        <v>2601</v>
      </c>
      <c r="B984">
        <v>9810</v>
      </c>
      <c r="C984" t="s">
        <v>2602</v>
      </c>
    </row>
    <row r="985" spans="1:3">
      <c r="A985" t="s">
        <v>2603</v>
      </c>
      <c r="B985">
        <v>9820</v>
      </c>
      <c r="C985" t="s">
        <v>2604</v>
      </c>
    </row>
    <row r="986" spans="1:3">
      <c r="A986" t="s">
        <v>2950</v>
      </c>
      <c r="B986">
        <v>9830</v>
      </c>
      <c r="C986" t="s">
        <v>2951</v>
      </c>
    </row>
    <row r="987" spans="1:3">
      <c r="A987" t="s">
        <v>2952</v>
      </c>
      <c r="B987">
        <v>9840</v>
      </c>
      <c r="C987" t="s">
        <v>2953</v>
      </c>
    </row>
    <row r="988" spans="1:3">
      <c r="A988" t="s">
        <v>2954</v>
      </c>
      <c r="B988">
        <v>9850</v>
      </c>
      <c r="C988" t="s">
        <v>2955</v>
      </c>
    </row>
    <row r="989" spans="1:3">
      <c r="A989" t="s">
        <v>2605</v>
      </c>
      <c r="B989">
        <v>9860</v>
      </c>
      <c r="C989" t="s">
        <v>2606</v>
      </c>
    </row>
    <row r="990" spans="1:3">
      <c r="A990" t="s">
        <v>3012</v>
      </c>
      <c r="B990">
        <v>9870</v>
      </c>
      <c r="C990" t="s">
        <v>3013</v>
      </c>
    </row>
    <row r="991" spans="1:3">
      <c r="A991" t="s">
        <v>2607</v>
      </c>
      <c r="B991">
        <v>9880</v>
      </c>
      <c r="C991" t="s">
        <v>2608</v>
      </c>
    </row>
    <row r="992" spans="1:3">
      <c r="A992" t="s">
        <v>2609</v>
      </c>
      <c r="B992">
        <v>9900</v>
      </c>
      <c r="C992" t="s">
        <v>1527</v>
      </c>
    </row>
    <row r="993" spans="1:3">
      <c r="A993" t="s">
        <v>3125</v>
      </c>
      <c r="B993">
        <v>9910</v>
      </c>
      <c r="C993" t="s">
        <v>3126</v>
      </c>
    </row>
    <row r="994" spans="1:3">
      <c r="A994" t="s">
        <v>2610</v>
      </c>
      <c r="B994">
        <v>9912</v>
      </c>
      <c r="C994" t="s">
        <v>2611</v>
      </c>
    </row>
    <row r="995" spans="1:3">
      <c r="A995" t="s">
        <v>3127</v>
      </c>
      <c r="B995">
        <v>9920</v>
      </c>
      <c r="C995" t="s">
        <v>3128</v>
      </c>
    </row>
    <row r="996" spans="1:3">
      <c r="A996" t="s">
        <v>2612</v>
      </c>
      <c r="B996">
        <v>9949</v>
      </c>
      <c r="C996" t="s">
        <v>2613</v>
      </c>
    </row>
    <row r="997" spans="1:3">
      <c r="A997" t="s">
        <v>2956</v>
      </c>
      <c r="B997">
        <v>9992</v>
      </c>
      <c r="C997" t="s">
        <v>2957</v>
      </c>
    </row>
    <row r="998" spans="1:3">
      <c r="A998" t="s">
        <v>2766</v>
      </c>
      <c r="B998">
        <v>9998</v>
      </c>
      <c r="C998" t="s">
        <v>2767</v>
      </c>
    </row>
    <row r="999" spans="1:3">
      <c r="A999" t="s">
        <v>2614</v>
      </c>
      <c r="B999">
        <v>10000</v>
      </c>
      <c r="C999" t="s">
        <v>2615</v>
      </c>
    </row>
    <row r="1000" spans="1:3">
      <c r="A1000" t="s">
        <v>2616</v>
      </c>
      <c r="B1000">
        <v>10001</v>
      </c>
      <c r="C1000" t="s">
        <v>2617</v>
      </c>
    </row>
    <row r="1001" spans="1:3">
      <c r="A1001" t="s">
        <v>2618</v>
      </c>
      <c r="B1001">
        <v>10002</v>
      </c>
      <c r="C1001" t="s">
        <v>2619</v>
      </c>
    </row>
    <row r="1002" spans="1:3">
      <c r="A1002" t="s">
        <v>2620</v>
      </c>
      <c r="B1002">
        <v>10003</v>
      </c>
      <c r="C1002" t="s">
        <v>2621</v>
      </c>
    </row>
    <row r="1003" spans="1:3">
      <c r="A1003" t="s">
        <v>2622</v>
      </c>
      <c r="B1003">
        <v>10006</v>
      </c>
      <c r="C1003" t="s">
        <v>2623</v>
      </c>
    </row>
    <row r="1004" spans="1:3">
      <c r="A1004" t="s">
        <v>2624</v>
      </c>
      <c r="B1004">
        <v>10007</v>
      </c>
      <c r="C1004" t="s">
        <v>2625</v>
      </c>
    </row>
    <row r="1005" spans="1:3">
      <c r="A1005" t="s">
        <v>2626</v>
      </c>
      <c r="B1005">
        <v>10008</v>
      </c>
      <c r="C1005" t="s">
        <v>2627</v>
      </c>
    </row>
    <row r="1006" spans="1:3">
      <c r="A1006" t="s">
        <v>2628</v>
      </c>
      <c r="B1006">
        <v>10010</v>
      </c>
      <c r="C1006" t="s">
        <v>2629</v>
      </c>
    </row>
    <row r="1007" spans="1:3">
      <c r="A1007" t="s">
        <v>3129</v>
      </c>
      <c r="B1007">
        <v>10020</v>
      </c>
      <c r="C1007" t="s">
        <v>3130</v>
      </c>
    </row>
    <row r="1008" spans="1:3">
      <c r="A1008" t="s">
        <v>3131</v>
      </c>
      <c r="B1008">
        <v>10030</v>
      </c>
      <c r="C1008" t="s">
        <v>3050</v>
      </c>
    </row>
    <row r="1009" spans="1:3">
      <c r="A1009" t="s">
        <v>2630</v>
      </c>
      <c r="B1009">
        <v>10040</v>
      </c>
      <c r="C1009" t="s">
        <v>2631</v>
      </c>
    </row>
    <row r="1010" spans="1:3">
      <c r="A1010" t="s">
        <v>3132</v>
      </c>
      <c r="B1010">
        <v>10050</v>
      </c>
      <c r="C1010" t="s">
        <v>3133</v>
      </c>
    </row>
    <row r="1011" spans="1:3">
      <c r="A1011" t="s">
        <v>3134</v>
      </c>
      <c r="B1011">
        <v>10060</v>
      </c>
      <c r="C1011" t="s">
        <v>3135</v>
      </c>
    </row>
    <row r="1012" spans="1:3">
      <c r="A1012" t="s">
        <v>2632</v>
      </c>
      <c r="B1012">
        <v>10070</v>
      </c>
      <c r="C1012" t="s">
        <v>2633</v>
      </c>
    </row>
    <row r="1013" spans="1:3">
      <c r="A1013" t="s">
        <v>3136</v>
      </c>
      <c r="B1013">
        <v>10100</v>
      </c>
      <c r="C1013" t="s">
        <v>3137</v>
      </c>
    </row>
    <row r="1014" spans="1:3">
      <c r="A1014" t="s">
        <v>3138</v>
      </c>
      <c r="B1014">
        <v>10110</v>
      </c>
      <c r="C1014" t="s">
        <v>3139</v>
      </c>
    </row>
    <row r="1015" spans="1:3">
      <c r="A1015" t="s">
        <v>3140</v>
      </c>
      <c r="B1015">
        <v>10120</v>
      </c>
      <c r="C1015" t="s">
        <v>3141</v>
      </c>
    </row>
    <row r="1016" spans="1:3">
      <c r="A1016" t="s">
        <v>3142</v>
      </c>
      <c r="B1016">
        <v>10130</v>
      </c>
      <c r="C1016" t="s">
        <v>3143</v>
      </c>
    </row>
    <row r="1017" spans="1:3">
      <c r="A1017" t="s">
        <v>3144</v>
      </c>
      <c r="B1017">
        <v>10140</v>
      </c>
      <c r="C1017" t="s">
        <v>3145</v>
      </c>
    </row>
    <row r="1018" spans="1:3">
      <c r="A1018" t="s">
        <v>3146</v>
      </c>
      <c r="B1018">
        <v>10150</v>
      </c>
      <c r="C1018" t="s">
        <v>3147</v>
      </c>
    </row>
    <row r="1019" spans="1:3">
      <c r="A1019" t="s">
        <v>3148</v>
      </c>
      <c r="B1019">
        <v>10160</v>
      </c>
      <c r="C1019" t="s">
        <v>3149</v>
      </c>
    </row>
    <row r="1020" spans="1:3">
      <c r="A1020" t="s">
        <v>3150</v>
      </c>
      <c r="B1020">
        <v>10170</v>
      </c>
      <c r="C1020" t="s">
        <v>3151</v>
      </c>
    </row>
    <row r="1021" spans="1:3">
      <c r="A1021" t="s">
        <v>3152</v>
      </c>
      <c r="B1021">
        <v>10180</v>
      </c>
      <c r="C1021" t="s">
        <v>3153</v>
      </c>
    </row>
    <row r="1022" spans="1:3">
      <c r="A1022" t="s">
        <v>3154</v>
      </c>
      <c r="B1022">
        <v>10190</v>
      </c>
      <c r="C1022" t="s">
        <v>3155</v>
      </c>
    </row>
    <row r="1023" spans="1:3">
      <c r="A1023" t="s">
        <v>3156</v>
      </c>
      <c r="B1023">
        <v>10200</v>
      </c>
      <c r="C1023" t="s">
        <v>3157</v>
      </c>
    </row>
    <row r="1024" spans="1:3">
      <c r="A1024" t="s">
        <v>3158</v>
      </c>
      <c r="B1024">
        <v>10210</v>
      </c>
      <c r="C1024" t="s">
        <v>3159</v>
      </c>
    </row>
    <row r="1025" spans="1:3">
      <c r="A1025" t="s">
        <v>3160</v>
      </c>
      <c r="B1025">
        <v>10220</v>
      </c>
      <c r="C1025" t="s">
        <v>3161</v>
      </c>
    </row>
    <row r="1026" spans="1:3">
      <c r="A1026" t="s">
        <v>3162</v>
      </c>
      <c r="B1026">
        <v>10230</v>
      </c>
      <c r="C1026" t="s">
        <v>3163</v>
      </c>
    </row>
    <row r="1027" spans="1:3">
      <c r="A1027" t="s">
        <v>3164</v>
      </c>
      <c r="B1027">
        <v>10240</v>
      </c>
      <c r="C1027" t="s">
        <v>3165</v>
      </c>
    </row>
    <row r="1028" spans="1:3">
      <c r="A1028" t="s">
        <v>3166</v>
      </c>
      <c r="B1028">
        <v>10250</v>
      </c>
      <c r="C1028" t="s">
        <v>3167</v>
      </c>
    </row>
    <row r="1029" spans="1:3">
      <c r="A1029" t="s">
        <v>3168</v>
      </c>
      <c r="B1029">
        <v>10260</v>
      </c>
      <c r="C1029" t="s">
        <v>3169</v>
      </c>
    </row>
    <row r="1030" spans="1:3">
      <c r="A1030" t="s">
        <v>3170</v>
      </c>
      <c r="B1030">
        <v>10310</v>
      </c>
      <c r="C1030" t="s">
        <v>3171</v>
      </c>
    </row>
    <row r="1031" spans="1:3">
      <c r="A1031" t="s">
        <v>3172</v>
      </c>
      <c r="B1031">
        <v>10320</v>
      </c>
      <c r="C1031" t="s">
        <v>3173</v>
      </c>
    </row>
    <row r="1032" spans="1:3">
      <c r="A1032" t="s">
        <v>3174</v>
      </c>
      <c r="B1032">
        <v>10330</v>
      </c>
      <c r="C1032" t="s">
        <v>3175</v>
      </c>
    </row>
    <row r="1033" spans="1:3">
      <c r="A1033" t="s">
        <v>3176</v>
      </c>
      <c r="B1033">
        <v>10350</v>
      </c>
      <c r="C1033" t="s">
        <v>3177</v>
      </c>
    </row>
    <row r="1034" spans="1:3">
      <c r="A1034" t="s">
        <v>3178</v>
      </c>
      <c r="B1034">
        <v>10360</v>
      </c>
      <c r="C1034" t="s">
        <v>3179</v>
      </c>
    </row>
    <row r="1035" spans="1:3">
      <c r="A1035" t="s">
        <v>3180</v>
      </c>
      <c r="B1035">
        <v>10370</v>
      </c>
      <c r="C1035" t="s">
        <v>3181</v>
      </c>
    </row>
    <row r="1036" spans="1:3">
      <c r="A1036" t="s">
        <v>3182</v>
      </c>
      <c r="B1036">
        <v>10380</v>
      </c>
      <c r="C1036" t="s">
        <v>3064</v>
      </c>
    </row>
    <row r="1037" spans="1:3">
      <c r="A1037" t="s">
        <v>3183</v>
      </c>
      <c r="B1037">
        <v>10390</v>
      </c>
      <c r="C1037" t="s">
        <v>3184</v>
      </c>
    </row>
    <row r="1038" spans="1:3">
      <c r="A1038" t="s">
        <v>2634</v>
      </c>
      <c r="B1038">
        <v>10400</v>
      </c>
      <c r="C1038" t="s">
        <v>2635</v>
      </c>
    </row>
    <row r="1039" spans="1:3">
      <c r="A1039" t="s">
        <v>2636</v>
      </c>
      <c r="B1039">
        <v>10410</v>
      </c>
      <c r="C1039" t="s">
        <v>2637</v>
      </c>
    </row>
    <row r="1040" spans="1:3">
      <c r="A1040" t="s">
        <v>3185</v>
      </c>
      <c r="B1040">
        <v>10440</v>
      </c>
      <c r="C1040" t="s">
        <v>3186</v>
      </c>
    </row>
    <row r="1041" spans="1:3">
      <c r="A1041" t="s">
        <v>3248</v>
      </c>
      <c r="B1041">
        <v>10470</v>
      </c>
      <c r="C1041" t="s">
        <v>3249</v>
      </c>
    </row>
    <row r="1042" spans="1:3">
      <c r="A1042" t="s">
        <v>3250</v>
      </c>
      <c r="B1042">
        <v>10480</v>
      </c>
      <c r="C1042" t="s">
        <v>3251</v>
      </c>
    </row>
    <row r="1043" spans="1:3">
      <c r="A1043" t="s">
        <v>3252</v>
      </c>
      <c r="B1043">
        <v>10490</v>
      </c>
      <c r="C1043" t="s">
        <v>3253</v>
      </c>
    </row>
    <row r="1044" spans="1:3">
      <c r="A1044" t="s">
        <v>2638</v>
      </c>
      <c r="B1044">
        <v>10520</v>
      </c>
      <c r="C1044" t="s">
        <v>2639</v>
      </c>
    </row>
    <row r="1045" spans="1:3">
      <c r="A1045" t="s">
        <v>3254</v>
      </c>
      <c r="B1045">
        <v>10570</v>
      </c>
      <c r="C1045" t="s">
        <v>3255</v>
      </c>
    </row>
    <row r="1046" spans="1:3">
      <c r="A1046" t="s">
        <v>3256</v>
      </c>
      <c r="B1046">
        <v>10590</v>
      </c>
      <c r="C1046" t="s">
        <v>3257</v>
      </c>
    </row>
    <row r="1047" spans="1:3">
      <c r="A1047" t="s">
        <v>2640</v>
      </c>
      <c r="B1047">
        <v>10600</v>
      </c>
      <c r="C1047" t="s">
        <v>1663</v>
      </c>
    </row>
    <row r="1048" spans="1:3">
      <c r="A1048" t="s">
        <v>2641</v>
      </c>
      <c r="B1048">
        <v>10610</v>
      </c>
      <c r="C1048" t="s">
        <v>2642</v>
      </c>
    </row>
    <row r="1049" spans="1:3">
      <c r="A1049" t="s">
        <v>3258</v>
      </c>
      <c r="B1049">
        <v>10640</v>
      </c>
      <c r="C1049" t="s">
        <v>3259</v>
      </c>
    </row>
    <row r="1050" spans="1:3">
      <c r="A1050" t="s">
        <v>3260</v>
      </c>
      <c r="B1050">
        <v>10650</v>
      </c>
      <c r="C1050" t="s">
        <v>3261</v>
      </c>
    </row>
    <row r="1051" spans="1:3">
      <c r="A1051" t="s">
        <v>3262</v>
      </c>
      <c r="B1051">
        <v>10690</v>
      </c>
      <c r="C1051" t="s">
        <v>3263</v>
      </c>
    </row>
    <row r="1052" spans="1:3">
      <c r="A1052" t="s">
        <v>3264</v>
      </c>
      <c r="B1052">
        <v>10700</v>
      </c>
      <c r="C1052" t="s">
        <v>3265</v>
      </c>
    </row>
    <row r="1053" spans="1:3">
      <c r="A1053" t="s">
        <v>3266</v>
      </c>
      <c r="B1053">
        <v>10710</v>
      </c>
      <c r="C1053" t="s">
        <v>3214</v>
      </c>
    </row>
    <row r="1054" spans="1:3">
      <c r="A1054" t="s">
        <v>3267</v>
      </c>
      <c r="B1054">
        <v>10720</v>
      </c>
      <c r="C1054" t="s">
        <v>3268</v>
      </c>
    </row>
    <row r="1055" spans="1:3">
      <c r="A1055" t="s">
        <v>3269</v>
      </c>
      <c r="B1055">
        <v>10740</v>
      </c>
      <c r="C1055" t="s">
        <v>3270</v>
      </c>
    </row>
    <row r="1056" spans="1:3">
      <c r="A1056" t="s">
        <v>3271</v>
      </c>
      <c r="B1056">
        <v>10750</v>
      </c>
      <c r="C1056" t="s">
        <v>3272</v>
      </c>
    </row>
    <row r="1057" spans="1:3">
      <c r="A1057" t="s">
        <v>3273</v>
      </c>
      <c r="B1057">
        <v>10760</v>
      </c>
      <c r="C1057" t="s">
        <v>3274</v>
      </c>
    </row>
    <row r="1058" spans="1:3">
      <c r="A1058" t="s">
        <v>3275</v>
      </c>
      <c r="B1058">
        <v>10780</v>
      </c>
      <c r="C1058" t="s">
        <v>3276</v>
      </c>
    </row>
    <row r="1059" spans="1:3">
      <c r="A1059" t="s">
        <v>3277</v>
      </c>
      <c r="B1059">
        <v>10810</v>
      </c>
      <c r="C1059" t="s">
        <v>3278</v>
      </c>
    </row>
    <row r="1060" spans="1:3">
      <c r="A1060" t="s">
        <v>3279</v>
      </c>
      <c r="B1060">
        <v>10820</v>
      </c>
      <c r="C1060" t="s">
        <v>3280</v>
      </c>
    </row>
    <row r="1061" spans="1:3">
      <c r="A1061" t="s">
        <v>3281</v>
      </c>
      <c r="B1061">
        <v>10830</v>
      </c>
      <c r="C1061" t="s">
        <v>3282</v>
      </c>
    </row>
    <row r="1062" spans="1:3">
      <c r="A1062" t="s">
        <v>3283</v>
      </c>
      <c r="B1062">
        <v>10840</v>
      </c>
      <c r="C1062" t="s">
        <v>3284</v>
      </c>
    </row>
    <row r="1063" spans="1:3">
      <c r="A1063" t="s">
        <v>2643</v>
      </c>
      <c r="B1063">
        <v>10880</v>
      </c>
      <c r="C1063" t="s">
        <v>2644</v>
      </c>
    </row>
    <row r="1064" spans="1:3">
      <c r="A1064" t="s">
        <v>2645</v>
      </c>
      <c r="B1064">
        <v>10881</v>
      </c>
      <c r="C1064" t="s">
        <v>2646</v>
      </c>
    </row>
    <row r="1065" spans="1:3">
      <c r="A1065" t="s">
        <v>2647</v>
      </c>
      <c r="B1065">
        <v>10900</v>
      </c>
      <c r="C1065" t="s">
        <v>2648</v>
      </c>
    </row>
    <row r="1066" spans="1:3">
      <c r="A1066" t="s">
        <v>3502</v>
      </c>
      <c r="B1066">
        <v>10940</v>
      </c>
      <c r="C1066" t="s">
        <v>3503</v>
      </c>
    </row>
    <row r="1067" spans="1:3">
      <c r="A1067" t="s">
        <v>2649</v>
      </c>
      <c r="B1067">
        <v>10941</v>
      </c>
      <c r="C1067" t="s">
        <v>2650</v>
      </c>
    </row>
    <row r="1068" spans="1:3">
      <c r="A1068" t="s">
        <v>2651</v>
      </c>
      <c r="B1068">
        <v>10960</v>
      </c>
      <c r="C1068" t="s">
        <v>2652</v>
      </c>
    </row>
    <row r="1069" spans="1:3">
      <c r="A1069" t="s">
        <v>2653</v>
      </c>
      <c r="B1069">
        <v>10970</v>
      </c>
      <c r="C1069" t="s">
        <v>2654</v>
      </c>
    </row>
    <row r="1070" spans="1:3">
      <c r="A1070" t="s">
        <v>2768</v>
      </c>
      <c r="B1070">
        <v>10998</v>
      </c>
      <c r="C1070" t="s">
        <v>2769</v>
      </c>
    </row>
    <row r="1071" spans="1:3">
      <c r="A1071" t="s">
        <v>2655</v>
      </c>
      <c r="B1071">
        <v>12010</v>
      </c>
      <c r="C1071" t="s">
        <v>1604</v>
      </c>
    </row>
    <row r="1072" spans="1:3">
      <c r="A1072" t="s">
        <v>3285</v>
      </c>
      <c r="B1072">
        <v>12030</v>
      </c>
      <c r="C1072" t="s">
        <v>3286</v>
      </c>
    </row>
    <row r="1073" spans="1:3">
      <c r="A1073" t="s">
        <v>3287</v>
      </c>
      <c r="B1073">
        <v>12050</v>
      </c>
      <c r="C1073" t="s">
        <v>3288</v>
      </c>
    </row>
    <row r="1074" spans="1:3">
      <c r="A1074" t="s">
        <v>2656</v>
      </c>
      <c r="B1074">
        <v>12080</v>
      </c>
      <c r="C1074" t="s">
        <v>2657</v>
      </c>
    </row>
    <row r="1075" spans="1:3">
      <c r="A1075" t="s">
        <v>3289</v>
      </c>
      <c r="B1075">
        <v>12100</v>
      </c>
      <c r="C1075" t="s">
        <v>3290</v>
      </c>
    </row>
    <row r="1076" spans="1:3">
      <c r="A1076" t="s">
        <v>3291</v>
      </c>
      <c r="B1076">
        <v>12110</v>
      </c>
      <c r="C1076" t="s">
        <v>3210</v>
      </c>
    </row>
    <row r="1077" spans="1:3">
      <c r="A1077" t="s">
        <v>3292</v>
      </c>
      <c r="B1077">
        <v>12120</v>
      </c>
      <c r="C1077" t="s">
        <v>3293</v>
      </c>
    </row>
    <row r="1078" spans="1:3">
      <c r="A1078" t="s">
        <v>3294</v>
      </c>
      <c r="B1078">
        <v>12130</v>
      </c>
      <c r="C1078" t="s">
        <v>3295</v>
      </c>
    </row>
    <row r="1079" spans="1:3">
      <c r="A1079" t="s">
        <v>3296</v>
      </c>
      <c r="B1079">
        <v>12140</v>
      </c>
      <c r="C1079" t="s">
        <v>3297</v>
      </c>
    </row>
    <row r="1080" spans="1:3">
      <c r="A1080" t="s">
        <v>3298</v>
      </c>
      <c r="B1080">
        <v>12150</v>
      </c>
      <c r="C1080" t="s">
        <v>3299</v>
      </c>
    </row>
    <row r="1081" spans="1:3">
      <c r="A1081" t="s">
        <v>3300</v>
      </c>
      <c r="B1081">
        <v>12160</v>
      </c>
      <c r="C1081" t="s">
        <v>3301</v>
      </c>
    </row>
    <row r="1082" spans="1:3">
      <c r="A1082" t="s">
        <v>3302</v>
      </c>
      <c r="B1082">
        <v>12170</v>
      </c>
      <c r="C1082" t="s">
        <v>3303</v>
      </c>
    </row>
    <row r="1083" spans="1:3">
      <c r="A1083" t="s">
        <v>3304</v>
      </c>
      <c r="B1083">
        <v>12180</v>
      </c>
      <c r="C1083" t="s">
        <v>3305</v>
      </c>
    </row>
    <row r="1084" spans="1:3">
      <c r="A1084" t="s">
        <v>3306</v>
      </c>
      <c r="B1084">
        <v>12200</v>
      </c>
      <c r="C1084" t="s">
        <v>3307</v>
      </c>
    </row>
    <row r="1085" spans="1:3">
      <c r="A1085" t="s">
        <v>3308</v>
      </c>
      <c r="B1085">
        <v>12210</v>
      </c>
      <c r="C1085" t="s">
        <v>3309</v>
      </c>
    </row>
    <row r="1086" spans="1:3">
      <c r="A1086" t="s">
        <v>3310</v>
      </c>
      <c r="B1086">
        <v>12220</v>
      </c>
      <c r="C1086" t="s">
        <v>3311</v>
      </c>
    </row>
    <row r="1087" spans="1:3">
      <c r="A1087" t="s">
        <v>3312</v>
      </c>
      <c r="B1087">
        <v>12230</v>
      </c>
      <c r="C1087" t="s">
        <v>3313</v>
      </c>
    </row>
    <row r="1088" spans="1:3">
      <c r="A1088" t="s">
        <v>3314</v>
      </c>
      <c r="B1088">
        <v>12240</v>
      </c>
      <c r="C1088" t="s">
        <v>3315</v>
      </c>
    </row>
    <row r="1089" spans="1:3">
      <c r="A1089" t="s">
        <v>3316</v>
      </c>
      <c r="B1089">
        <v>12250</v>
      </c>
      <c r="C1089" t="s">
        <v>3317</v>
      </c>
    </row>
    <row r="1090" spans="1:3">
      <c r="A1090" t="s">
        <v>3318</v>
      </c>
      <c r="B1090">
        <v>12260</v>
      </c>
      <c r="C1090" t="s">
        <v>3319</v>
      </c>
    </row>
    <row r="1091" spans="1:3">
      <c r="A1091" t="s">
        <v>3320</v>
      </c>
      <c r="B1091">
        <v>12270</v>
      </c>
      <c r="C1091" t="s">
        <v>3321</v>
      </c>
    </row>
    <row r="1092" spans="1:3">
      <c r="A1092" t="s">
        <v>3322</v>
      </c>
      <c r="B1092">
        <v>12280</v>
      </c>
      <c r="C1092" t="s">
        <v>3323</v>
      </c>
    </row>
    <row r="1093" spans="1:3">
      <c r="A1093" t="s">
        <v>3324</v>
      </c>
      <c r="B1093">
        <v>12290</v>
      </c>
      <c r="C1093" t="s">
        <v>3325</v>
      </c>
    </row>
    <row r="1094" spans="1:3">
      <c r="A1094" t="s">
        <v>3326</v>
      </c>
      <c r="B1094">
        <v>12300</v>
      </c>
      <c r="C1094" t="s">
        <v>3327</v>
      </c>
    </row>
    <row r="1095" spans="1:3">
      <c r="A1095" t="s">
        <v>3328</v>
      </c>
      <c r="B1095">
        <v>12310</v>
      </c>
      <c r="C1095" t="s">
        <v>3329</v>
      </c>
    </row>
    <row r="1096" spans="1:3">
      <c r="A1096" t="s">
        <v>3504</v>
      </c>
      <c r="B1096">
        <v>12320</v>
      </c>
      <c r="C1096" t="s">
        <v>3505</v>
      </c>
    </row>
    <row r="1097" spans="1:3">
      <c r="A1097" t="s">
        <v>3506</v>
      </c>
      <c r="B1097">
        <v>12330</v>
      </c>
      <c r="C1097" t="s">
        <v>3507</v>
      </c>
    </row>
    <row r="1098" spans="1:3">
      <c r="A1098" t="s">
        <v>3508</v>
      </c>
      <c r="B1098">
        <v>12340</v>
      </c>
      <c r="C1098" t="s">
        <v>3509</v>
      </c>
    </row>
    <row r="1099" spans="1:3">
      <c r="A1099" t="s">
        <v>3510</v>
      </c>
      <c r="B1099">
        <v>12350</v>
      </c>
      <c r="C1099" t="s">
        <v>3511</v>
      </c>
    </row>
    <row r="1100" spans="1:3">
      <c r="A1100" t="s">
        <v>3512</v>
      </c>
      <c r="B1100">
        <v>12360</v>
      </c>
      <c r="C1100" t="s">
        <v>3513</v>
      </c>
    </row>
    <row r="1101" spans="1:3">
      <c r="A1101" t="s">
        <v>3514</v>
      </c>
      <c r="B1101">
        <v>12370</v>
      </c>
      <c r="C1101" t="s">
        <v>3515</v>
      </c>
    </row>
    <row r="1102" spans="1:3">
      <c r="A1102" t="s">
        <v>3516</v>
      </c>
      <c r="B1102">
        <v>12380</v>
      </c>
      <c r="C1102" t="s">
        <v>3517</v>
      </c>
    </row>
    <row r="1103" spans="1:3">
      <c r="A1103" t="s">
        <v>3518</v>
      </c>
      <c r="B1103">
        <v>12390</v>
      </c>
      <c r="C1103" t="s">
        <v>3519</v>
      </c>
    </row>
    <row r="1104" spans="1:3">
      <c r="A1104" t="s">
        <v>2658</v>
      </c>
      <c r="B1104">
        <v>12400</v>
      </c>
      <c r="C1104" t="s">
        <v>2659</v>
      </c>
    </row>
    <row r="1105" spans="1:3">
      <c r="A1105" t="s">
        <v>3520</v>
      </c>
      <c r="B1105">
        <v>12410</v>
      </c>
      <c r="C1105" t="s">
        <v>3521</v>
      </c>
    </row>
    <row r="1106" spans="1:3">
      <c r="A1106" t="s">
        <v>3522</v>
      </c>
      <c r="B1106">
        <v>12420</v>
      </c>
      <c r="C1106" t="s">
        <v>3523</v>
      </c>
    </row>
    <row r="1107" spans="1:3">
      <c r="A1107" t="s">
        <v>3524</v>
      </c>
      <c r="B1107">
        <v>12430</v>
      </c>
      <c r="C1107" t="s">
        <v>3525</v>
      </c>
    </row>
    <row r="1108" spans="1:3">
      <c r="A1108" t="s">
        <v>3526</v>
      </c>
      <c r="B1108">
        <v>12440</v>
      </c>
      <c r="C1108" t="s">
        <v>3527</v>
      </c>
    </row>
    <row r="1109" spans="1:3">
      <c r="A1109" t="s">
        <v>3528</v>
      </c>
      <c r="B1109">
        <v>12450</v>
      </c>
      <c r="C1109" t="s">
        <v>3529</v>
      </c>
    </row>
    <row r="1110" spans="1:3">
      <c r="A1110" t="s">
        <v>3689</v>
      </c>
      <c r="B1110">
        <v>12460</v>
      </c>
      <c r="C1110" t="s">
        <v>3690</v>
      </c>
    </row>
    <row r="1111" spans="1:3">
      <c r="A1111" t="s">
        <v>3691</v>
      </c>
      <c r="B1111">
        <v>12480</v>
      </c>
      <c r="C1111" t="s">
        <v>3692</v>
      </c>
    </row>
    <row r="1112" spans="1:3">
      <c r="A1112" t="s">
        <v>2660</v>
      </c>
      <c r="B1112">
        <v>12490</v>
      </c>
      <c r="C1112" t="s">
        <v>2661</v>
      </c>
    </row>
    <row r="1113" spans="1:3">
      <c r="A1113" t="s">
        <v>3530</v>
      </c>
      <c r="B1113">
        <v>12500</v>
      </c>
      <c r="C1113" t="s">
        <v>3531</v>
      </c>
    </row>
    <row r="1114" spans="1:3">
      <c r="A1114" t="s">
        <v>3532</v>
      </c>
      <c r="B1114">
        <v>12510</v>
      </c>
      <c r="C1114" t="s">
        <v>3533</v>
      </c>
    </row>
    <row r="1115" spans="1:3">
      <c r="A1115" t="s">
        <v>3534</v>
      </c>
      <c r="B1115">
        <v>12520</v>
      </c>
      <c r="C1115" t="s">
        <v>3535</v>
      </c>
    </row>
    <row r="1116" spans="1:3">
      <c r="A1116" t="s">
        <v>3536</v>
      </c>
      <c r="B1116">
        <v>12530</v>
      </c>
      <c r="C1116" t="s">
        <v>3537</v>
      </c>
    </row>
    <row r="1117" spans="1:3">
      <c r="A1117" t="s">
        <v>3538</v>
      </c>
      <c r="B1117">
        <v>12540</v>
      </c>
      <c r="C1117" t="s">
        <v>3539</v>
      </c>
    </row>
    <row r="1118" spans="1:3">
      <c r="A1118" t="s">
        <v>3693</v>
      </c>
      <c r="B1118">
        <v>12550</v>
      </c>
      <c r="C1118" t="s">
        <v>3694</v>
      </c>
    </row>
    <row r="1119" spans="1:3">
      <c r="A1119" t="s">
        <v>3695</v>
      </c>
      <c r="B1119">
        <v>12560</v>
      </c>
      <c r="C1119" t="s">
        <v>3696</v>
      </c>
    </row>
    <row r="1120" spans="1:3">
      <c r="A1120" t="s">
        <v>3697</v>
      </c>
      <c r="B1120">
        <v>12570</v>
      </c>
      <c r="C1120" t="s">
        <v>3698</v>
      </c>
    </row>
    <row r="1121" spans="1:3">
      <c r="A1121" t="s">
        <v>3699</v>
      </c>
      <c r="B1121">
        <v>12580</v>
      </c>
      <c r="C1121" t="s">
        <v>3700</v>
      </c>
    </row>
    <row r="1122" spans="1:3">
      <c r="A1122" t="s">
        <v>3701</v>
      </c>
      <c r="B1122">
        <v>12590</v>
      </c>
      <c r="C1122" t="s">
        <v>3702</v>
      </c>
    </row>
    <row r="1123" spans="1:3">
      <c r="A1123" t="s">
        <v>3703</v>
      </c>
      <c r="B1123">
        <v>12600</v>
      </c>
      <c r="C1123" t="s">
        <v>3704</v>
      </c>
    </row>
    <row r="1124" spans="1:3">
      <c r="A1124" t="s">
        <v>3705</v>
      </c>
      <c r="B1124">
        <v>12610</v>
      </c>
      <c r="C1124" t="s">
        <v>3706</v>
      </c>
    </row>
    <row r="1125" spans="1:3">
      <c r="A1125" t="s">
        <v>3707</v>
      </c>
      <c r="B1125">
        <v>12620</v>
      </c>
      <c r="C1125" t="s">
        <v>3708</v>
      </c>
    </row>
    <row r="1126" spans="1:3">
      <c r="A1126" t="s">
        <v>3709</v>
      </c>
      <c r="B1126">
        <v>12640</v>
      </c>
      <c r="C1126" t="s">
        <v>3710</v>
      </c>
    </row>
    <row r="1127" spans="1:3">
      <c r="A1127" t="s">
        <v>3711</v>
      </c>
      <c r="B1127">
        <v>12660</v>
      </c>
      <c r="C1127" t="s">
        <v>3712</v>
      </c>
    </row>
    <row r="1128" spans="1:3">
      <c r="A1128" t="s">
        <v>3713</v>
      </c>
      <c r="B1128">
        <v>12700</v>
      </c>
      <c r="C1128" t="s">
        <v>3714</v>
      </c>
    </row>
    <row r="1129" spans="1:3">
      <c r="A1129" t="s">
        <v>3715</v>
      </c>
      <c r="B1129">
        <v>12710</v>
      </c>
      <c r="C1129" t="s">
        <v>3716</v>
      </c>
    </row>
    <row r="1130" spans="1:3">
      <c r="A1130" t="s">
        <v>3717</v>
      </c>
      <c r="B1130">
        <v>12800</v>
      </c>
      <c r="C1130" t="s">
        <v>3718</v>
      </c>
    </row>
    <row r="1131" spans="1:3">
      <c r="A1131" t="s">
        <v>3719</v>
      </c>
      <c r="B1131">
        <v>12830</v>
      </c>
      <c r="C1131" t="s">
        <v>3720</v>
      </c>
    </row>
    <row r="1132" spans="1:3">
      <c r="A1132" t="s">
        <v>2662</v>
      </c>
      <c r="B1132">
        <v>12840</v>
      </c>
      <c r="C1132" t="s">
        <v>2663</v>
      </c>
    </row>
    <row r="1133" spans="1:3">
      <c r="A1133" t="s">
        <v>2664</v>
      </c>
      <c r="B1133">
        <v>12900</v>
      </c>
      <c r="C1133" t="s">
        <v>2665</v>
      </c>
    </row>
    <row r="1134" spans="1:3">
      <c r="A1134" t="s">
        <v>2666</v>
      </c>
      <c r="B1134">
        <v>12920</v>
      </c>
      <c r="C1134" t="s">
        <v>2667</v>
      </c>
    </row>
    <row r="1135" spans="1:3">
      <c r="A1135" t="s">
        <v>3721</v>
      </c>
      <c r="B1135">
        <v>12930</v>
      </c>
      <c r="C1135" t="s">
        <v>3722</v>
      </c>
    </row>
    <row r="1136" spans="1:3">
      <c r="A1136" t="s">
        <v>3723</v>
      </c>
      <c r="B1136">
        <v>12940</v>
      </c>
      <c r="C1136" t="s">
        <v>3724</v>
      </c>
    </row>
    <row r="1137" spans="1:3">
      <c r="A1137" t="s">
        <v>3725</v>
      </c>
      <c r="B1137">
        <v>12950</v>
      </c>
      <c r="C1137" t="s">
        <v>3726</v>
      </c>
    </row>
    <row r="1138" spans="1:3">
      <c r="A1138" t="s">
        <v>3727</v>
      </c>
      <c r="B1138">
        <v>12960</v>
      </c>
      <c r="C1138" t="s">
        <v>3728</v>
      </c>
    </row>
    <row r="1139" spans="1:3">
      <c r="A1139" t="s">
        <v>3729</v>
      </c>
      <c r="B1139">
        <v>12970</v>
      </c>
      <c r="C1139" t="s">
        <v>3730</v>
      </c>
    </row>
    <row r="1140" spans="1:3">
      <c r="A1140" t="s">
        <v>3731</v>
      </c>
      <c r="B1140">
        <v>12980</v>
      </c>
      <c r="C1140" t="s">
        <v>3732</v>
      </c>
    </row>
    <row r="1141" spans="1:3">
      <c r="A1141" t="s">
        <v>3733</v>
      </c>
      <c r="B1141">
        <v>12990</v>
      </c>
      <c r="C1141" t="s">
        <v>3734</v>
      </c>
    </row>
    <row r="1142" spans="1:3">
      <c r="A1142" t="s">
        <v>2668</v>
      </c>
      <c r="B1142">
        <v>13020</v>
      </c>
      <c r="C1142" t="s">
        <v>2669</v>
      </c>
    </row>
    <row r="1143" spans="1:3">
      <c r="A1143" t="s">
        <v>2670</v>
      </c>
      <c r="B1143">
        <v>13021</v>
      </c>
      <c r="C1143" t="s">
        <v>2671</v>
      </c>
    </row>
    <row r="1144" spans="1:3">
      <c r="A1144" t="s">
        <v>2672</v>
      </c>
      <c r="B1144">
        <v>13022</v>
      </c>
      <c r="C1144" t="s">
        <v>2673</v>
      </c>
    </row>
    <row r="1145" spans="1:3">
      <c r="A1145" t="s">
        <v>2674</v>
      </c>
      <c r="B1145">
        <v>13025</v>
      </c>
      <c r="C1145" t="s">
        <v>2675</v>
      </c>
    </row>
    <row r="1146" spans="1:3">
      <c r="A1146" t="s">
        <v>2676</v>
      </c>
      <c r="B1146">
        <v>15000</v>
      </c>
      <c r="C1146" t="s">
        <v>2677</v>
      </c>
    </row>
    <row r="1147" spans="1:3">
      <c r="A1147" t="s">
        <v>2678</v>
      </c>
      <c r="B1147">
        <v>15001</v>
      </c>
      <c r="C1147" t="s">
        <v>2679</v>
      </c>
    </row>
    <row r="1148" spans="1:3">
      <c r="A1148" t="s">
        <v>2680</v>
      </c>
      <c r="B1148">
        <v>15002</v>
      </c>
      <c r="C1148" t="s">
        <v>2681</v>
      </c>
    </row>
    <row r="1149" spans="1:3">
      <c r="A1149" t="s">
        <v>2682</v>
      </c>
      <c r="B1149">
        <v>15003</v>
      </c>
      <c r="C1149" t="s">
        <v>2683</v>
      </c>
    </row>
  </sheetData>
  <mergeCells count="1">
    <mergeCell ref="I1:L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A259"/>
  <sheetViews>
    <sheetView showGridLines="0" zoomScaleNormal="100" zoomScaleSheetLayoutView="100" workbookViewId="0">
      <selection activeCell="E3" sqref="E3:N3"/>
    </sheetView>
  </sheetViews>
  <sheetFormatPr defaultColWidth="8" defaultRowHeight="12.6" customHeight="1"/>
  <cols>
    <col min="1" max="1" width="1.5703125" style="72" customWidth="1"/>
    <col min="2" max="2" width="32.7109375" style="72" customWidth="1"/>
    <col min="3" max="3" width="2" style="72" customWidth="1"/>
    <col min="4" max="4" width="5.7109375" style="72" customWidth="1"/>
    <col min="5" max="5" width="15" style="86" customWidth="1"/>
    <col min="6" max="7" width="2" style="72" customWidth="1"/>
    <col min="8" max="8" width="14.7109375" style="86" customWidth="1"/>
    <col min="9" max="9" width="2" style="72" customWidth="1"/>
    <col min="10" max="10" width="6" style="72" customWidth="1"/>
    <col min="11" max="11" width="15.42578125" style="86" customWidth="1"/>
    <col min="12" max="13" width="2" style="72" customWidth="1"/>
    <col min="14" max="14" width="15.28515625" style="86" customWidth="1"/>
    <col min="15" max="15" width="1.7109375" style="86" customWidth="1"/>
    <col min="16" max="16" width="18.42578125" style="72" customWidth="1"/>
    <col min="17" max="19" width="8" style="72" customWidth="1"/>
    <col min="20" max="20" width="8" style="72" hidden="1" customWidth="1"/>
    <col min="21" max="21" width="10.42578125" style="72" hidden="1" customWidth="1"/>
    <col min="22" max="16384" width="8" style="72"/>
  </cols>
  <sheetData>
    <row r="1" spans="2:18" ht="14.25" customHeight="1">
      <c r="B1" s="1122" t="s">
        <v>272</v>
      </c>
      <c r="C1" s="1168"/>
      <c r="D1" s="1169"/>
      <c r="E1" s="1156" t="str">
        <f>'Enterprise Template'!E1</f>
        <v/>
      </c>
      <c r="F1" s="1157"/>
      <c r="G1" s="1157"/>
      <c r="H1" s="1157"/>
      <c r="I1" s="1157"/>
      <c r="J1" s="1157"/>
      <c r="K1" s="1157"/>
      <c r="L1" s="1157"/>
      <c r="M1" s="1157"/>
      <c r="N1" s="1158"/>
      <c r="O1" s="368"/>
    </row>
    <row r="2" spans="2:18" ht="12.75" customHeight="1">
      <c r="B2" s="1122" t="s">
        <v>190</v>
      </c>
      <c r="C2" s="1168"/>
      <c r="D2" s="1169"/>
      <c r="E2" s="1170" t="str">
        <f>IF('Enterprise Template'!E2="","",'Enterprise Template'!E2)</f>
        <v/>
      </c>
      <c r="F2" s="1171"/>
      <c r="G2" s="1171"/>
      <c r="H2" s="1171"/>
      <c r="I2" s="1171"/>
      <c r="J2" s="1171"/>
      <c r="K2" s="1171"/>
      <c r="L2" s="1171"/>
      <c r="M2" s="1171"/>
      <c r="N2" s="1172"/>
      <c r="O2" s="369"/>
    </row>
    <row r="3" spans="2:18" ht="15" customHeight="1">
      <c r="B3" s="1122" t="s">
        <v>447</v>
      </c>
      <c r="C3" s="1168"/>
      <c r="D3" s="1169"/>
      <c r="E3" s="1159" t="str">
        <f>IF('Enterprise Template'!E3="","",'Enterprise Template'!E3)</f>
        <v/>
      </c>
      <c r="F3" s="1160"/>
      <c r="G3" s="1160"/>
      <c r="H3" s="1160"/>
      <c r="I3" s="1160"/>
      <c r="J3" s="1160"/>
      <c r="K3" s="1160"/>
      <c r="L3" s="1160"/>
      <c r="M3" s="1160"/>
      <c r="N3" s="1161"/>
      <c r="O3" s="50"/>
      <c r="R3" s="12"/>
    </row>
    <row r="4" spans="2:18" ht="12.75" customHeight="1">
      <c r="B4" s="1122" t="s">
        <v>448</v>
      </c>
      <c r="C4" s="1168"/>
      <c r="D4" s="1169"/>
      <c r="E4" s="1162" t="str">
        <f>IF('Enterprise Template'!E4="","",'Enterprise Template'!E4)</f>
        <v/>
      </c>
      <c r="F4" s="1163"/>
      <c r="G4" s="1163"/>
      <c r="H4" s="1163"/>
      <c r="I4" s="1163"/>
      <c r="J4" s="1163"/>
      <c r="K4" s="1163"/>
      <c r="L4" s="1163"/>
      <c r="M4" s="1163"/>
      <c r="N4" s="1164"/>
      <c r="O4" s="373"/>
    </row>
    <row r="5" spans="2:18" ht="12.75" customHeight="1">
      <c r="B5" s="1122" t="s">
        <v>2847</v>
      </c>
      <c r="C5" s="1168"/>
      <c r="D5" s="1169"/>
      <c r="E5" s="1150" t="str">
        <f>IF('Enterprise Template'!E5="","",'Enterprise Template'!E5)</f>
        <v/>
      </c>
      <c r="F5" s="1151"/>
      <c r="G5" s="1151"/>
      <c r="H5" s="1151"/>
      <c r="I5" s="1151"/>
      <c r="J5" s="1151"/>
      <c r="K5" s="1151"/>
      <c r="L5" s="1151"/>
      <c r="M5" s="1151"/>
      <c r="N5" s="1152"/>
      <c r="O5" s="374"/>
    </row>
    <row r="6" spans="2:18" ht="12.75" customHeight="1">
      <c r="B6" s="1122" t="s">
        <v>449</v>
      </c>
      <c r="C6" s="1168"/>
      <c r="D6" s="1169"/>
      <c r="E6" s="1153" t="str">
        <f>IF('Enterprise Template'!E6="","",'Enterprise Template'!E6)</f>
        <v/>
      </c>
      <c r="F6" s="1154"/>
      <c r="G6" s="1154"/>
      <c r="H6" s="1154"/>
      <c r="I6" s="1154"/>
      <c r="J6" s="1154"/>
      <c r="K6" s="1154"/>
      <c r="L6" s="1154"/>
      <c r="M6" s="1154"/>
      <c r="N6" s="1155"/>
      <c r="O6" s="375"/>
    </row>
    <row r="7" spans="2:18" ht="12.75" customHeight="1">
      <c r="B7" s="1122" t="s">
        <v>224</v>
      </c>
      <c r="C7" s="1168"/>
      <c r="D7" s="1169"/>
      <c r="E7" s="1156" t="str">
        <f>'Enterprise Template'!E7</f>
        <v/>
      </c>
      <c r="F7" s="1157"/>
      <c r="G7" s="1157"/>
      <c r="H7" s="1157"/>
      <c r="I7" s="1157"/>
      <c r="J7" s="1157"/>
      <c r="K7" s="1157"/>
      <c r="L7" s="1157"/>
      <c r="M7" s="1157"/>
      <c r="N7" s="1158"/>
      <c r="O7" s="368"/>
    </row>
    <row r="8" spans="2:18" ht="12.75" customHeight="1">
      <c r="B8" s="73"/>
      <c r="C8" s="74"/>
      <c r="D8" s="74"/>
      <c r="E8" s="74"/>
      <c r="F8" s="74"/>
      <c r="G8" s="74"/>
      <c r="H8" s="74"/>
      <c r="I8" s="74"/>
      <c r="J8" s="74"/>
      <c r="K8" s="74"/>
      <c r="L8" s="74"/>
      <c r="M8" s="75"/>
      <c r="N8" s="76"/>
      <c r="O8" s="76"/>
    </row>
    <row r="9" spans="2:18" ht="12.6" customHeight="1">
      <c r="B9" s="20" t="s">
        <v>428</v>
      </c>
      <c r="C9" s="19"/>
      <c r="D9" s="19"/>
      <c r="E9" s="19"/>
      <c r="H9" s="77"/>
      <c r="K9" s="77"/>
      <c r="N9" s="77"/>
      <c r="O9" s="77"/>
    </row>
    <row r="10" spans="2:18" s="78" customFormat="1" ht="18" customHeight="1">
      <c r="B10" s="382" t="str">
        <f>'Enterprise Template'!A27</f>
        <v>For the Year Ended June 30, 2024</v>
      </c>
      <c r="C10" s="382"/>
      <c r="D10" s="382"/>
      <c r="E10" s="382"/>
      <c r="F10" s="382"/>
      <c r="G10" s="382"/>
      <c r="H10" s="382"/>
      <c r="J10" s="79"/>
      <c r="K10" s="80"/>
      <c r="M10" s="79"/>
      <c r="N10" s="81"/>
      <c r="O10" s="81"/>
    </row>
    <row r="11" spans="2:18" s="78" customFormat="1" ht="12.6" customHeight="1">
      <c r="B11" s="24" t="s">
        <v>3602</v>
      </c>
      <c r="C11" s="19"/>
      <c r="D11" s="19"/>
      <c r="E11" s="19"/>
      <c r="G11" s="79"/>
      <c r="H11" s="80"/>
      <c r="J11" s="79"/>
      <c r="K11" s="80"/>
      <c r="M11" s="79"/>
      <c r="N11" s="81"/>
      <c r="O11" s="81"/>
    </row>
    <row r="12" spans="2:18" s="78" customFormat="1" ht="12.6" customHeight="1">
      <c r="B12" s="82" t="s">
        <v>3414</v>
      </c>
      <c r="C12" s="19"/>
      <c r="D12" s="19"/>
      <c r="E12" s="19"/>
      <c r="G12" s="79"/>
      <c r="H12" s="80"/>
      <c r="J12" s="79"/>
      <c r="K12" s="80"/>
      <c r="M12" s="79"/>
      <c r="N12" s="81"/>
      <c r="O12" s="81"/>
    </row>
    <row r="13" spans="2:18" s="78" customFormat="1" ht="12.6" customHeight="1">
      <c r="B13" s="82" t="s">
        <v>3361</v>
      </c>
      <c r="C13" s="19"/>
      <c r="D13" s="19"/>
      <c r="E13" s="19"/>
      <c r="G13" s="79"/>
      <c r="H13" s="80"/>
      <c r="J13" s="79"/>
      <c r="K13" s="80"/>
      <c r="M13" s="79"/>
      <c r="N13" s="81"/>
      <c r="O13" s="81"/>
    </row>
    <row r="14" spans="2:18" s="78" customFormat="1" ht="12.6" customHeight="1">
      <c r="B14" s="82"/>
      <c r="C14" s="19"/>
      <c r="D14" s="19"/>
      <c r="E14" s="19"/>
      <c r="G14" s="79"/>
      <c r="H14" s="80"/>
      <c r="J14" s="79"/>
      <c r="K14" s="80"/>
      <c r="M14" s="79"/>
      <c r="N14" s="81"/>
      <c r="O14" s="81"/>
    </row>
    <row r="15" spans="2:18" s="78" customFormat="1" ht="12.6" customHeight="1">
      <c r="B15" s="82"/>
      <c r="C15" s="19"/>
      <c r="D15" s="19"/>
      <c r="E15" s="19"/>
      <c r="G15" s="79"/>
      <c r="H15" s="80"/>
      <c r="J15" s="79"/>
      <c r="K15" s="80"/>
      <c r="M15" s="79"/>
      <c r="N15" s="81"/>
      <c r="O15" s="81"/>
    </row>
    <row r="16" spans="2:18" s="78" customFormat="1" ht="12.6" customHeight="1">
      <c r="D16" s="1174" t="s">
        <v>241</v>
      </c>
      <c r="E16" s="1174"/>
      <c r="F16" s="81"/>
      <c r="G16" s="83"/>
      <c r="H16" s="83"/>
      <c r="I16" s="81"/>
      <c r="J16" s="83"/>
      <c r="K16" s="83"/>
      <c r="L16" s="81"/>
      <c r="M16" s="1173"/>
      <c r="N16" s="1173"/>
      <c r="O16" s="854"/>
    </row>
    <row r="17" spans="2:27" s="78" customFormat="1" ht="12.6" customHeight="1">
      <c r="D17" s="1175" t="s">
        <v>3620</v>
      </c>
      <c r="E17" s="1179"/>
      <c r="F17" s="81"/>
      <c r="G17" s="83"/>
      <c r="H17" s="84" t="s">
        <v>242</v>
      </c>
      <c r="I17" s="81"/>
      <c r="J17" s="83"/>
      <c r="K17" s="83" t="s">
        <v>243</v>
      </c>
      <c r="L17" s="81"/>
      <c r="M17" s="1173" t="s">
        <v>241</v>
      </c>
      <c r="N17" s="1173"/>
      <c r="O17" s="854"/>
    </row>
    <row r="18" spans="2:27" s="78" customFormat="1" ht="12" customHeight="1">
      <c r="D18" s="1176" t="s">
        <v>295</v>
      </c>
      <c r="E18" s="1176"/>
      <c r="F18" s="81"/>
      <c r="G18" s="85"/>
      <c r="H18" s="85" t="s">
        <v>295</v>
      </c>
      <c r="I18" s="81"/>
      <c r="J18" s="85"/>
      <c r="K18" s="85" t="s">
        <v>296</v>
      </c>
      <c r="L18" s="81"/>
      <c r="M18" s="1177" t="s">
        <v>3621</v>
      </c>
      <c r="N18" s="1178"/>
      <c r="O18" s="370"/>
    </row>
    <row r="19" spans="2:27" ht="12.6" customHeight="1">
      <c r="B19" s="72" t="s">
        <v>244</v>
      </c>
    </row>
    <row r="20" spans="2:27" ht="12.6" customHeight="1">
      <c r="B20" s="380" t="s">
        <v>245</v>
      </c>
      <c r="D20" s="87" t="s">
        <v>246</v>
      </c>
      <c r="E20" s="2"/>
      <c r="F20" s="65"/>
      <c r="G20" s="65" t="s">
        <v>246</v>
      </c>
      <c r="H20" s="2"/>
      <c r="I20" s="65"/>
      <c r="J20" s="65" t="s">
        <v>246</v>
      </c>
      <c r="K20" s="2"/>
      <c r="L20" s="65"/>
      <c r="M20" s="65" t="s">
        <v>246</v>
      </c>
      <c r="N20" s="65">
        <f>SUM(E20,H20,K20)</f>
        <v>0</v>
      </c>
      <c r="O20" s="65"/>
    </row>
    <row r="21" spans="2:27" ht="12.6" customHeight="1">
      <c r="B21" s="380" t="s">
        <v>171</v>
      </c>
      <c r="D21" s="87"/>
      <c r="E21" s="2"/>
      <c r="F21" s="65"/>
      <c r="G21" s="187"/>
      <c r="H21" s="2"/>
      <c r="I21" s="65"/>
      <c r="J21" s="187"/>
      <c r="K21" s="2"/>
      <c r="L21" s="65"/>
      <c r="M21" s="187"/>
      <c r="N21" s="65">
        <f>SUM(E21,H21,K21)</f>
        <v>0</v>
      </c>
      <c r="O21" s="187"/>
    </row>
    <row r="22" spans="2:27" ht="12.6" customHeight="1">
      <c r="B22" s="380" t="s">
        <v>414</v>
      </c>
      <c r="D22" s="87"/>
      <c r="E22" s="2"/>
      <c r="F22" s="65"/>
      <c r="G22" s="187"/>
      <c r="H22" s="2"/>
      <c r="I22" s="65"/>
      <c r="J22" s="187"/>
      <c r="K22" s="2"/>
      <c r="L22" s="65"/>
      <c r="M22" s="187"/>
      <c r="N22" s="65">
        <f>SUM(E22,H22,K22)</f>
        <v>0</v>
      </c>
      <c r="O22" s="187"/>
    </row>
    <row r="23" spans="2:27" ht="12.6" customHeight="1">
      <c r="B23" s="380" t="s">
        <v>658</v>
      </c>
      <c r="D23" s="87"/>
      <c r="E23" s="2"/>
      <c r="F23" s="65"/>
      <c r="G23" s="187"/>
      <c r="H23" s="2"/>
      <c r="I23" s="65"/>
      <c r="J23" s="187"/>
      <c r="K23" s="2"/>
      <c r="L23" s="65"/>
      <c r="M23" s="187"/>
      <c r="N23" s="65">
        <f>SUM(E23,H23,K23)</f>
        <v>0</v>
      </c>
      <c r="O23" s="187"/>
      <c r="AA23"/>
    </row>
    <row r="24" spans="2:27" ht="27.75" customHeight="1">
      <c r="B24" s="788" t="s">
        <v>3018</v>
      </c>
      <c r="D24" s="87"/>
      <c r="E24" s="2"/>
      <c r="F24" s="65"/>
      <c r="G24" s="187"/>
      <c r="H24" s="2"/>
      <c r="I24" s="65"/>
      <c r="J24" s="187"/>
      <c r="K24" s="2"/>
      <c r="L24" s="65"/>
      <c r="M24" s="90"/>
      <c r="N24" s="90">
        <f>SUM(E24,H24,K24)</f>
        <v>0</v>
      </c>
      <c r="O24" s="187"/>
    </row>
    <row r="25" spans="2:27" ht="12">
      <c r="B25" s="598" t="str">
        <f>IF(N24&lt;&gt;0,"Answer Required","N/A")</f>
        <v>N/A</v>
      </c>
      <c r="D25" s="87"/>
      <c r="E25" s="162"/>
      <c r="F25" s="162"/>
      <c r="G25" s="162"/>
      <c r="H25" s="162"/>
      <c r="I25" s="162"/>
      <c r="J25" s="162"/>
      <c r="K25" s="162"/>
      <c r="L25" s="65"/>
      <c r="M25" s="187"/>
      <c r="N25" s="187"/>
      <c r="O25" s="187"/>
    </row>
    <row r="26" spans="2:27" ht="12.6" customHeight="1">
      <c r="B26" s="72" t="s">
        <v>247</v>
      </c>
      <c r="D26" s="89"/>
      <c r="E26" s="90">
        <f>SUM(E20:E25)</f>
        <v>0</v>
      </c>
      <c r="F26" s="65"/>
      <c r="G26" s="90"/>
      <c r="H26" s="90">
        <f>SUM(H20:H25)</f>
        <v>0</v>
      </c>
      <c r="I26" s="65"/>
      <c r="J26" s="90"/>
      <c r="K26" s="90">
        <f>SUM(K20:K25)</f>
        <v>0</v>
      </c>
      <c r="L26" s="65"/>
      <c r="M26" s="90"/>
      <c r="N26" s="383">
        <f>IF(SUM(N20:N25)='Enterprise Template'!G94,SUM(N20:N25),"ERROR")</f>
        <v>0</v>
      </c>
      <c r="O26" s="345"/>
      <c r="P26" s="91"/>
    </row>
    <row r="27" spans="2:27" ht="12.6" customHeight="1">
      <c r="D27" s="87"/>
      <c r="E27" s="187"/>
      <c r="F27" s="87"/>
      <c r="G27" s="87"/>
      <c r="H27" s="187"/>
      <c r="I27" s="87"/>
      <c r="J27" s="87"/>
      <c r="K27" s="187"/>
      <c r="L27" s="87"/>
      <c r="M27" s="289" t="s">
        <v>440</v>
      </c>
      <c r="N27" s="288">
        <f>SUM(N20:N25)-'Enterprise Template'!G94</f>
        <v>0</v>
      </c>
      <c r="O27" s="288"/>
    </row>
    <row r="28" spans="2:27" ht="12.6" customHeight="1">
      <c r="B28" s="434" t="s">
        <v>3334</v>
      </c>
      <c r="D28" s="87"/>
      <c r="E28" s="187"/>
      <c r="F28" s="87"/>
      <c r="G28" s="87"/>
      <c r="H28" s="187"/>
      <c r="I28" s="87"/>
      <c r="J28" s="87"/>
      <c r="K28" s="187"/>
      <c r="L28" s="87"/>
      <c r="M28" s="87"/>
      <c r="N28" s="187"/>
      <c r="O28" s="187"/>
    </row>
    <row r="29" spans="2:27" ht="12.6" customHeight="1">
      <c r="B29" s="380" t="s">
        <v>248</v>
      </c>
      <c r="D29" s="87"/>
      <c r="E29" s="2"/>
      <c r="F29" s="65"/>
      <c r="G29" s="65"/>
      <c r="H29" s="2"/>
      <c r="I29" s="65"/>
      <c r="J29" s="65"/>
      <c r="K29" s="2"/>
      <c r="L29" s="65"/>
      <c r="M29" s="65"/>
      <c r="N29" s="65">
        <f>SUM(E29,H29,K29)</f>
        <v>0</v>
      </c>
      <c r="O29" s="65"/>
    </row>
    <row r="30" spans="2:27" ht="12.6" customHeight="1">
      <c r="B30" s="380" t="s">
        <v>249</v>
      </c>
      <c r="D30" s="87"/>
      <c r="E30" s="2"/>
      <c r="F30" s="65"/>
      <c r="G30" s="65"/>
      <c r="H30" s="2"/>
      <c r="I30" s="65"/>
      <c r="J30" s="65"/>
      <c r="K30" s="2"/>
      <c r="L30" s="65"/>
      <c r="M30" s="65"/>
      <c r="N30" s="65">
        <f>SUM(E30,H30,K30)</f>
        <v>0</v>
      </c>
      <c r="O30" s="65"/>
    </row>
    <row r="31" spans="2:27" ht="12.6" customHeight="1">
      <c r="B31" s="380" t="s">
        <v>250</v>
      </c>
      <c r="D31" s="87"/>
      <c r="E31" s="2"/>
      <c r="F31" s="65"/>
      <c r="G31" s="187"/>
      <c r="H31" s="2"/>
      <c r="I31" s="65"/>
      <c r="J31" s="187"/>
      <c r="K31" s="2"/>
      <c r="L31" s="65"/>
      <c r="M31" s="187"/>
      <c r="N31" s="65">
        <f>SUM(E31,H31,K31)</f>
        <v>0</v>
      </c>
      <c r="O31" s="187"/>
    </row>
    <row r="32" spans="2:27" ht="12.6" customHeight="1">
      <c r="B32" s="380" t="s">
        <v>659</v>
      </c>
      <c r="D32" s="87"/>
      <c r="E32" s="2"/>
      <c r="F32" s="65"/>
      <c r="G32" s="187"/>
      <c r="H32" s="2"/>
      <c r="I32" s="65"/>
      <c r="J32" s="187"/>
      <c r="K32" s="2"/>
      <c r="L32" s="65"/>
      <c r="M32" s="187"/>
      <c r="N32" s="65">
        <f t="shared" ref="N32:N38" si="0">SUM(E32,H32,K32)</f>
        <v>0</v>
      </c>
      <c r="O32" s="187"/>
    </row>
    <row r="33" spans="2:16" ht="12.6" customHeight="1">
      <c r="B33" s="555" t="s">
        <v>936</v>
      </c>
      <c r="D33" s="87"/>
      <c r="E33" s="2"/>
      <c r="F33" s="65"/>
      <c r="G33" s="187"/>
      <c r="H33" s="2"/>
      <c r="I33" s="65"/>
      <c r="J33" s="187"/>
      <c r="K33" s="2"/>
      <c r="L33" s="65"/>
      <c r="M33" s="187"/>
      <c r="N33" s="65">
        <f t="shared" si="0"/>
        <v>0</v>
      </c>
      <c r="O33" s="187"/>
    </row>
    <row r="34" spans="2:16" ht="12.6" customHeight="1">
      <c r="B34" s="380" t="s">
        <v>503</v>
      </c>
      <c r="D34" s="87"/>
      <c r="E34" s="162"/>
      <c r="F34" s="162"/>
      <c r="G34" s="162"/>
      <c r="H34" s="162"/>
      <c r="I34" s="162"/>
      <c r="J34" s="162"/>
      <c r="K34" s="162"/>
      <c r="L34" s="65"/>
      <c r="M34" s="187"/>
      <c r="N34" s="65"/>
      <c r="O34" s="187"/>
    </row>
    <row r="35" spans="2:16" ht="12.6" customHeight="1">
      <c r="B35" s="530" t="s">
        <v>347</v>
      </c>
      <c r="D35" s="87"/>
      <c r="E35" s="2"/>
      <c r="F35" s="65"/>
      <c r="G35" s="187"/>
      <c r="H35" s="2"/>
      <c r="I35" s="65"/>
      <c r="J35" s="187"/>
      <c r="K35" s="2"/>
      <c r="L35" s="65"/>
      <c r="M35" s="187"/>
      <c r="N35" s="65">
        <f t="shared" si="0"/>
        <v>0</v>
      </c>
      <c r="O35" s="187"/>
    </row>
    <row r="36" spans="2:16" ht="12.6" customHeight="1">
      <c r="B36" s="530" t="s">
        <v>932</v>
      </c>
      <c r="D36" s="87"/>
      <c r="E36" s="2"/>
      <c r="F36" s="65"/>
      <c r="G36" s="187"/>
      <c r="H36" s="2"/>
      <c r="I36" s="65"/>
      <c r="J36" s="187"/>
      <c r="K36" s="2"/>
      <c r="L36" s="65"/>
      <c r="M36" s="187"/>
      <c r="N36" s="65">
        <f t="shared" si="0"/>
        <v>0</v>
      </c>
      <c r="O36" s="187"/>
    </row>
    <row r="37" spans="2:16" ht="12.6" customHeight="1">
      <c r="B37" s="530" t="s">
        <v>937</v>
      </c>
      <c r="D37" s="87"/>
      <c r="E37" s="2"/>
      <c r="F37" s="65"/>
      <c r="G37" s="187"/>
      <c r="H37" s="2"/>
      <c r="I37" s="65"/>
      <c r="J37" s="187"/>
      <c r="K37" s="2"/>
      <c r="L37" s="65"/>
      <c r="M37" s="187"/>
      <c r="N37" s="65">
        <f t="shared" si="0"/>
        <v>0</v>
      </c>
      <c r="O37" s="187"/>
    </row>
    <row r="38" spans="2:16" ht="12.6" customHeight="1">
      <c r="B38" s="381" t="s">
        <v>420</v>
      </c>
      <c r="D38" s="87"/>
      <c r="E38" s="2"/>
      <c r="F38" s="65"/>
      <c r="G38" s="187"/>
      <c r="H38" s="2"/>
      <c r="I38" s="65"/>
      <c r="J38" s="187"/>
      <c r="K38" s="2"/>
      <c r="L38" s="65"/>
      <c r="M38" s="90"/>
      <c r="N38" s="90">
        <f t="shared" si="0"/>
        <v>0</v>
      </c>
      <c r="O38" s="187"/>
    </row>
    <row r="39" spans="2:16" ht="12">
      <c r="B39" s="598" t="str">
        <f>IF(N38&lt;&gt;0,"Answer Required","N/A")</f>
        <v>N/A</v>
      </c>
      <c r="D39" s="87"/>
      <c r="E39" s="162"/>
      <c r="F39" s="162"/>
      <c r="G39" s="162"/>
      <c r="H39" s="162"/>
      <c r="I39" s="162"/>
      <c r="J39" s="162"/>
      <c r="K39" s="162"/>
      <c r="L39" s="65"/>
      <c r="M39" s="187"/>
      <c r="N39" s="187"/>
      <c r="O39" s="187"/>
      <c r="P39" s="162"/>
    </row>
    <row r="40" spans="2:16" ht="12.6" customHeight="1">
      <c r="B40" s="434" t="s">
        <v>3381</v>
      </c>
      <c r="D40" s="87"/>
      <c r="E40" s="187"/>
      <c r="F40" s="87"/>
      <c r="G40" s="87"/>
      <c r="H40" s="187"/>
      <c r="I40" s="87"/>
      <c r="J40" s="87"/>
      <c r="K40" s="187"/>
      <c r="L40" s="87"/>
      <c r="M40" s="87"/>
      <c r="N40" s="187"/>
      <c r="O40" s="187"/>
    </row>
    <row r="41" spans="2:16" ht="12.6" customHeight="1">
      <c r="B41" s="530" t="s">
        <v>245</v>
      </c>
      <c r="D41" s="87"/>
      <c r="E41" s="2"/>
      <c r="F41" s="65"/>
      <c r="G41" s="65"/>
      <c r="H41" s="2"/>
      <c r="I41" s="65"/>
      <c r="J41" s="65"/>
      <c r="K41" s="2"/>
      <c r="L41" s="65"/>
      <c r="M41" s="65"/>
      <c r="N41" s="65">
        <f>SUM(E41,H41,K41)</f>
        <v>0</v>
      </c>
      <c r="O41" s="65"/>
    </row>
    <row r="42" spans="2:16" ht="12.6" customHeight="1">
      <c r="B42" s="530" t="s">
        <v>248</v>
      </c>
      <c r="D42" s="87"/>
      <c r="E42" s="2"/>
      <c r="F42" s="65"/>
      <c r="G42" s="65"/>
      <c r="H42" s="2"/>
      <c r="I42" s="65"/>
      <c r="J42" s="65"/>
      <c r="K42" s="2"/>
      <c r="L42" s="65"/>
      <c r="M42" s="65"/>
      <c r="N42" s="65">
        <f>SUM(E42,H42,K42)</f>
        <v>0</v>
      </c>
      <c r="O42" s="65"/>
    </row>
    <row r="43" spans="2:16" ht="12.6" customHeight="1">
      <c r="B43" s="530" t="s">
        <v>249</v>
      </c>
      <c r="D43" s="87"/>
      <c r="E43" s="2"/>
      <c r="F43" s="65"/>
      <c r="G43" s="187"/>
      <c r="H43" s="2"/>
      <c r="I43" s="65"/>
      <c r="J43" s="187"/>
      <c r="K43" s="2"/>
      <c r="L43" s="65"/>
      <c r="M43" s="187"/>
      <c r="N43" s="65">
        <f>SUM(E43,H43,K43)</f>
        <v>0</v>
      </c>
      <c r="O43" s="187"/>
    </row>
    <row r="44" spans="2:16" ht="12.6" customHeight="1">
      <c r="B44" s="530" t="s">
        <v>250</v>
      </c>
      <c r="D44" s="87"/>
      <c r="E44" s="2"/>
      <c r="F44" s="65"/>
      <c r="G44" s="187"/>
      <c r="H44" s="2"/>
      <c r="I44" s="65"/>
      <c r="J44" s="187"/>
      <c r="K44" s="2"/>
      <c r="L44" s="65"/>
      <c r="M44" s="187"/>
      <c r="N44" s="65">
        <f t="shared" ref="N44:N47" si="1">SUM(E44,H44,K44)</f>
        <v>0</v>
      </c>
      <c r="O44" s="187"/>
    </row>
    <row r="45" spans="2:16" ht="12.6" customHeight="1">
      <c r="B45" s="530" t="s">
        <v>420</v>
      </c>
      <c r="D45" s="87"/>
      <c r="E45" s="2"/>
      <c r="F45" s="65"/>
      <c r="G45" s="187"/>
      <c r="H45" s="2"/>
      <c r="I45" s="65"/>
      <c r="J45" s="187"/>
      <c r="K45" s="2"/>
      <c r="L45" s="65"/>
      <c r="M45" s="90"/>
      <c r="N45" s="90">
        <f t="shared" si="1"/>
        <v>0</v>
      </c>
      <c r="O45" s="187"/>
    </row>
    <row r="46" spans="2:16" ht="12">
      <c r="B46" s="598" t="str">
        <f>IF(N45&lt;&gt;0,"Answer Required","N/A")</f>
        <v>N/A</v>
      </c>
      <c r="D46" s="87"/>
      <c r="E46" s="162"/>
      <c r="F46" s="162"/>
      <c r="G46" s="162"/>
      <c r="H46" s="162"/>
      <c r="I46" s="162"/>
      <c r="J46" s="162"/>
      <c r="K46" s="162"/>
      <c r="L46" s="65"/>
      <c r="M46" s="187"/>
      <c r="N46" s="187"/>
      <c r="O46" s="187"/>
      <c r="P46" s="162"/>
    </row>
    <row r="47" spans="2:16" ht="11.25">
      <c r="B47" s="434" t="s">
        <v>3394</v>
      </c>
      <c r="D47" s="87"/>
      <c r="E47" s="2"/>
      <c r="F47" s="162"/>
      <c r="G47" s="162"/>
      <c r="H47" s="2"/>
      <c r="I47" s="162"/>
      <c r="J47" s="162"/>
      <c r="K47" s="2"/>
      <c r="L47" s="65"/>
      <c r="M47" s="187"/>
      <c r="N47" s="65">
        <f t="shared" si="1"/>
        <v>0</v>
      </c>
      <c r="O47" s="187"/>
      <c r="P47" s="162"/>
    </row>
    <row r="48" spans="2:16" ht="12">
      <c r="B48" s="943"/>
      <c r="D48" s="87"/>
      <c r="E48" s="162"/>
      <c r="F48" s="162"/>
      <c r="G48" s="162"/>
      <c r="H48" s="162"/>
      <c r="I48" s="162"/>
      <c r="J48" s="162"/>
      <c r="K48" s="162"/>
      <c r="L48" s="65"/>
      <c r="M48" s="187"/>
      <c r="N48" s="187"/>
      <c r="O48" s="187"/>
      <c r="P48" s="162"/>
    </row>
    <row r="49" spans="2:15" ht="12.6" customHeight="1">
      <c r="B49" s="434" t="s">
        <v>3335</v>
      </c>
      <c r="D49" s="89"/>
      <c r="E49" s="90">
        <f>SUM(E41:E45,E35:E38,E29:E33,E47)</f>
        <v>0</v>
      </c>
      <c r="F49" s="65"/>
      <c r="G49" s="90"/>
      <c r="H49" s="90">
        <f>SUM(H41:H45,H35:H38,H29:H33,H47)</f>
        <v>0</v>
      </c>
      <c r="I49" s="65"/>
      <c r="J49" s="90"/>
      <c r="K49" s="90">
        <f>SUM(K41:K45,K35:K38,K29:K33,K47)</f>
        <v>0</v>
      </c>
      <c r="L49" s="65"/>
      <c r="M49" s="90"/>
      <c r="N49" s="90">
        <f>SUM(N41:N45,N35:N38,N29:N33,N47)</f>
        <v>0</v>
      </c>
      <c r="O49" s="187"/>
    </row>
    <row r="50" spans="2:15" ht="12.6" customHeight="1">
      <c r="E50" s="188"/>
      <c r="H50" s="188"/>
      <c r="K50" s="188"/>
      <c r="L50" s="289"/>
      <c r="N50" s="288"/>
      <c r="O50" s="188"/>
    </row>
    <row r="51" spans="2:15" ht="12.6" customHeight="1">
      <c r="B51" s="92" t="s">
        <v>251</v>
      </c>
      <c r="E51" s="188"/>
      <c r="H51" s="188"/>
      <c r="K51" s="188"/>
      <c r="N51" s="188"/>
      <c r="O51" s="188"/>
    </row>
    <row r="52" spans="2:15" ht="12.6" customHeight="1">
      <c r="B52" s="72" t="s">
        <v>252</v>
      </c>
      <c r="D52" s="87"/>
      <c r="E52" s="2"/>
      <c r="G52" s="65"/>
      <c r="H52" s="2"/>
      <c r="J52" s="65"/>
      <c r="K52" s="2"/>
      <c r="N52" s="65">
        <f>SUM(E52,H52,K52)</f>
        <v>0</v>
      </c>
      <c r="O52" s="65"/>
    </row>
    <row r="53" spans="2:15" ht="12.6" customHeight="1">
      <c r="B53" s="72" t="s">
        <v>253</v>
      </c>
      <c r="D53" s="87"/>
      <c r="E53" s="2"/>
      <c r="G53" s="65"/>
      <c r="H53" s="2"/>
      <c r="J53" s="65"/>
      <c r="K53" s="2"/>
      <c r="N53" s="65">
        <f t="shared" ref="N53:N58" si="2">SUM(E53,H53,K53)</f>
        <v>0</v>
      </c>
      <c r="O53" s="65"/>
    </row>
    <row r="54" spans="2:15" ht="12.6" customHeight="1">
      <c r="B54" s="72" t="s">
        <v>254</v>
      </c>
      <c r="D54" s="87"/>
      <c r="E54" s="2"/>
      <c r="F54" s="65"/>
      <c r="G54" s="187"/>
      <c r="H54" s="2"/>
      <c r="I54" s="65"/>
      <c r="J54" s="187"/>
      <c r="K54" s="2"/>
      <c r="L54" s="65"/>
      <c r="M54" s="187"/>
      <c r="N54" s="65">
        <f t="shared" si="2"/>
        <v>0</v>
      </c>
      <c r="O54" s="187"/>
    </row>
    <row r="55" spans="2:15" ht="12.6" customHeight="1">
      <c r="B55" s="555" t="s">
        <v>659</v>
      </c>
      <c r="D55" s="87"/>
      <c r="E55" s="2"/>
      <c r="F55" s="65"/>
      <c r="G55" s="187"/>
      <c r="H55" s="2"/>
      <c r="I55" s="65"/>
      <c r="J55" s="187"/>
      <c r="K55" s="2"/>
      <c r="L55" s="65"/>
      <c r="M55" s="187"/>
      <c r="N55" s="65">
        <f t="shared" si="2"/>
        <v>0</v>
      </c>
      <c r="O55" s="187"/>
    </row>
    <row r="56" spans="2:15" ht="12.6" customHeight="1">
      <c r="B56" s="555" t="s">
        <v>936</v>
      </c>
      <c r="D56" s="87"/>
      <c r="E56" s="2"/>
      <c r="F56" s="65"/>
      <c r="G56" s="187"/>
      <c r="H56" s="2"/>
      <c r="I56" s="65"/>
      <c r="J56" s="187"/>
      <c r="K56" s="2"/>
      <c r="L56" s="65"/>
      <c r="M56" s="187"/>
      <c r="N56" s="65">
        <f t="shared" si="2"/>
        <v>0</v>
      </c>
      <c r="O56" s="187"/>
    </row>
    <row r="57" spans="2:15" ht="12.6" customHeight="1">
      <c r="B57" s="380" t="s">
        <v>503</v>
      </c>
      <c r="D57" s="87"/>
      <c r="E57" s="162"/>
      <c r="F57" s="162"/>
      <c r="G57" s="162"/>
      <c r="H57" s="162"/>
      <c r="I57" s="162"/>
      <c r="J57" s="162"/>
      <c r="K57" s="162"/>
      <c r="L57" s="65"/>
      <c r="M57" s="187"/>
      <c r="N57" s="65"/>
      <c r="O57" s="187"/>
    </row>
    <row r="58" spans="2:15" ht="12.6" customHeight="1">
      <c r="B58" s="381" t="s">
        <v>347</v>
      </c>
      <c r="D58" s="87"/>
      <c r="E58" s="2"/>
      <c r="F58" s="65"/>
      <c r="G58" s="187"/>
      <c r="H58" s="2"/>
      <c r="I58" s="65"/>
      <c r="J58" s="187"/>
      <c r="K58" s="2"/>
      <c r="L58" s="65"/>
      <c r="M58" s="187"/>
      <c r="N58" s="65">
        <f t="shared" si="2"/>
        <v>0</v>
      </c>
      <c r="O58" s="187"/>
    </row>
    <row r="59" spans="2:15" ht="12.6" customHeight="1">
      <c r="B59" s="530" t="s">
        <v>932</v>
      </c>
      <c r="D59" s="87"/>
      <c r="E59" s="2"/>
      <c r="F59" s="65"/>
      <c r="G59" s="187"/>
      <c r="H59" s="2"/>
      <c r="I59" s="65"/>
      <c r="J59" s="187"/>
      <c r="K59" s="2"/>
      <c r="L59" s="65"/>
      <c r="M59" s="187"/>
      <c r="N59" s="65">
        <f>SUM(E59,H59,K59)</f>
        <v>0</v>
      </c>
      <c r="O59" s="187"/>
    </row>
    <row r="60" spans="2:15" ht="12.6" customHeight="1">
      <c r="B60" s="530" t="s">
        <v>937</v>
      </c>
      <c r="D60" s="87"/>
      <c r="E60" s="2"/>
      <c r="F60" s="65"/>
      <c r="G60" s="187"/>
      <c r="H60" s="2"/>
      <c r="I60" s="65"/>
      <c r="J60" s="187"/>
      <c r="K60" s="2"/>
      <c r="L60" s="65"/>
      <c r="M60" s="187"/>
      <c r="N60" s="65">
        <f>SUM(E60,H60,K60)</f>
        <v>0</v>
      </c>
      <c r="O60" s="187"/>
    </row>
    <row r="61" spans="2:15" ht="12.6" customHeight="1">
      <c r="B61" s="381" t="s">
        <v>346</v>
      </c>
      <c r="D61" s="87"/>
      <c r="E61" s="2"/>
      <c r="F61" s="65"/>
      <c r="G61" s="187"/>
      <c r="H61" s="2"/>
      <c r="I61" s="65"/>
      <c r="J61" s="187"/>
      <c r="K61" s="2"/>
      <c r="L61" s="65"/>
      <c r="M61" s="90"/>
      <c r="N61" s="65">
        <f>SUM(E61,H61,K61)</f>
        <v>0</v>
      </c>
      <c r="O61" s="187"/>
    </row>
    <row r="62" spans="2:15" ht="12.6" customHeight="1">
      <c r="B62" s="72" t="s">
        <v>255</v>
      </c>
      <c r="D62" s="89"/>
      <c r="E62" s="64">
        <f>SUM(E52:E56,E58:E61)</f>
        <v>0</v>
      </c>
      <c r="F62" s="65"/>
      <c r="G62" s="90"/>
      <c r="H62" s="64">
        <f>SUM(H52:H56,H58:H61)</f>
        <v>0</v>
      </c>
      <c r="I62" s="65"/>
      <c r="J62" s="90"/>
      <c r="K62" s="64">
        <f>SUM(K52:K56,K58:K61)</f>
        <v>0</v>
      </c>
      <c r="L62" s="65"/>
      <c r="M62" s="90"/>
      <c r="N62" s="64">
        <f>SUM(N52:N56,N58:N61)</f>
        <v>0</v>
      </c>
      <c r="O62" s="187"/>
    </row>
    <row r="63" spans="2:15" ht="12.6" customHeight="1">
      <c r="B63" s="72" t="s">
        <v>256</v>
      </c>
      <c r="E63" s="188"/>
      <c r="G63" s="289" t="s">
        <v>440</v>
      </c>
      <c r="H63" s="288">
        <f>SUM(H52:H61)-'Enterprise Template'!G225+SUM(K214:K216)</f>
        <v>0</v>
      </c>
      <c r="I63" s="191"/>
      <c r="J63" s="191"/>
      <c r="K63" s="65"/>
      <c r="N63" s="188"/>
      <c r="O63" s="188"/>
    </row>
    <row r="64" spans="2:15" ht="12.6" customHeight="1">
      <c r="B64" s="860" t="s">
        <v>3337</v>
      </c>
      <c r="E64" s="188"/>
      <c r="H64" s="188"/>
      <c r="K64" s="188"/>
      <c r="N64" s="188"/>
      <c r="O64" s="188"/>
    </row>
    <row r="65" spans="2:16" ht="12.6" customHeight="1">
      <c r="B65" s="434" t="s">
        <v>3381</v>
      </c>
      <c r="D65" s="87"/>
      <c r="E65" s="187"/>
      <c r="F65" s="87"/>
      <c r="G65" s="87"/>
      <c r="H65" s="187"/>
      <c r="I65" s="87"/>
      <c r="J65" s="87"/>
      <c r="K65" s="187"/>
      <c r="L65" s="87"/>
      <c r="M65" s="87"/>
      <c r="N65" s="187"/>
      <c r="O65" s="187"/>
    </row>
    <row r="66" spans="2:16" ht="12.6" customHeight="1">
      <c r="B66" s="530" t="s">
        <v>245</v>
      </c>
      <c r="D66" s="87"/>
      <c r="E66" s="2"/>
      <c r="F66" s="65"/>
      <c r="G66" s="65"/>
      <c r="H66" s="2"/>
      <c r="I66" s="65"/>
      <c r="J66" s="65"/>
      <c r="K66" s="2"/>
      <c r="L66" s="65"/>
      <c r="M66" s="65"/>
      <c r="N66" s="65">
        <f>SUM(E66,H66,K66)</f>
        <v>0</v>
      </c>
      <c r="O66" s="65"/>
    </row>
    <row r="67" spans="2:16" ht="12.6" customHeight="1">
      <c r="B67" s="530" t="s">
        <v>248</v>
      </c>
      <c r="D67" s="87"/>
      <c r="E67" s="2"/>
      <c r="F67" s="65"/>
      <c r="G67" s="65"/>
      <c r="H67" s="2"/>
      <c r="I67" s="65"/>
      <c r="J67" s="65"/>
      <c r="K67" s="2"/>
      <c r="L67" s="65"/>
      <c r="M67" s="65"/>
      <c r="N67" s="65">
        <f>SUM(E67,H67,K67)</f>
        <v>0</v>
      </c>
      <c r="O67" s="65"/>
    </row>
    <row r="68" spans="2:16" ht="12.6" customHeight="1">
      <c r="B68" s="530" t="s">
        <v>249</v>
      </c>
      <c r="D68" s="87"/>
      <c r="E68" s="2"/>
      <c r="F68" s="65"/>
      <c r="G68" s="187"/>
      <c r="H68" s="2"/>
      <c r="I68" s="65"/>
      <c r="J68" s="187"/>
      <c r="K68" s="2"/>
      <c r="L68" s="65"/>
      <c r="M68" s="187"/>
      <c r="N68" s="65">
        <f>SUM(E68,H68,K68)</f>
        <v>0</v>
      </c>
      <c r="O68" s="187"/>
    </row>
    <row r="69" spans="2:16" ht="12.6" customHeight="1">
      <c r="B69" s="530" t="s">
        <v>250</v>
      </c>
      <c r="D69" s="87"/>
      <c r="E69" s="2"/>
      <c r="F69" s="65"/>
      <c r="G69" s="187"/>
      <c r="H69" s="2"/>
      <c r="I69" s="65"/>
      <c r="J69" s="187"/>
      <c r="K69" s="2"/>
      <c r="L69" s="65"/>
      <c r="M69" s="187"/>
      <c r="N69" s="65">
        <f t="shared" ref="N69:N71" si="3">SUM(E69,H69,K69)</f>
        <v>0</v>
      </c>
      <c r="O69" s="187"/>
    </row>
    <row r="70" spans="2:16" ht="12.6" customHeight="1">
      <c r="B70" s="530" t="s">
        <v>346</v>
      </c>
      <c r="D70" s="87"/>
      <c r="E70" s="2"/>
      <c r="F70" s="65"/>
      <c r="G70" s="187"/>
      <c r="H70" s="2"/>
      <c r="I70" s="65"/>
      <c r="J70" s="187"/>
      <c r="K70" s="2"/>
      <c r="L70" s="65"/>
      <c r="M70" s="187"/>
      <c r="N70" s="187">
        <f t="shared" si="3"/>
        <v>0</v>
      </c>
      <c r="O70" s="187"/>
    </row>
    <row r="71" spans="2:16" ht="12.6" customHeight="1">
      <c r="B71" s="434" t="s">
        <v>3394</v>
      </c>
      <c r="D71" s="87"/>
      <c r="E71" s="2"/>
      <c r="F71" s="65"/>
      <c r="G71" s="187"/>
      <c r="H71" s="2"/>
      <c r="I71" s="65"/>
      <c r="J71" s="187"/>
      <c r="K71" s="2"/>
      <c r="L71" s="65"/>
      <c r="M71" s="90"/>
      <c r="N71" s="90">
        <f t="shared" si="3"/>
        <v>0</v>
      </c>
      <c r="O71" s="187"/>
    </row>
    <row r="72" spans="2:16" ht="12.6" customHeight="1">
      <c r="B72" s="434" t="s">
        <v>3336</v>
      </c>
      <c r="D72" s="93"/>
      <c r="E72" s="825">
        <f>SUM(E66:E71)</f>
        <v>0</v>
      </c>
      <c r="G72" s="93"/>
      <c r="H72" s="90">
        <f>SUM(H66:H71)</f>
        <v>0</v>
      </c>
      <c r="I72" s="191"/>
      <c r="J72" s="192"/>
      <c r="K72" s="90">
        <f>SUM(K66:K71)</f>
        <v>0</v>
      </c>
      <c r="M72" s="192"/>
      <c r="N72" s="90">
        <f>SUM(N66:N71)</f>
        <v>0</v>
      </c>
      <c r="O72" s="187"/>
      <c r="P72" s="91"/>
    </row>
    <row r="73" spans="2:16" ht="12.6" customHeight="1">
      <c r="B73" s="72" t="s">
        <v>256</v>
      </c>
      <c r="E73" s="188"/>
      <c r="G73" s="289" t="s">
        <v>440</v>
      </c>
      <c r="H73" s="288">
        <f>SUM(H66:H71)-'Enterprise Template'!G226+SUM(K226:K234)</f>
        <v>0</v>
      </c>
      <c r="I73" s="191"/>
      <c r="J73" s="191"/>
      <c r="K73" s="65"/>
      <c r="N73" s="188"/>
      <c r="O73" s="188"/>
    </row>
    <row r="74" spans="2:16" ht="12.6" customHeight="1">
      <c r="B74" s="434" t="s">
        <v>3339</v>
      </c>
      <c r="D74" s="93"/>
      <c r="E74" s="90">
        <f>E72+E62</f>
        <v>0</v>
      </c>
      <c r="G74" s="93"/>
      <c r="H74" s="90">
        <f>H72+H62</f>
        <v>0</v>
      </c>
      <c r="I74" s="191"/>
      <c r="J74" s="192"/>
      <c r="K74" s="90">
        <f>K72+K62</f>
        <v>0</v>
      </c>
      <c r="M74" s="192"/>
      <c r="N74" s="90">
        <f>N72+N62</f>
        <v>0</v>
      </c>
      <c r="O74" s="187"/>
      <c r="P74" s="91"/>
    </row>
    <row r="75" spans="2:16" ht="12.6" customHeight="1">
      <c r="B75" s="434"/>
      <c r="D75" s="826"/>
      <c r="E75" s="187"/>
      <c r="H75" s="187"/>
      <c r="I75" s="191"/>
      <c r="J75" s="191"/>
      <c r="K75" s="187"/>
      <c r="M75" s="191"/>
      <c r="N75" s="187"/>
      <c r="O75" s="187"/>
      <c r="P75" s="91"/>
    </row>
    <row r="76" spans="2:16" ht="12.6" customHeight="1">
      <c r="B76" s="434" t="s">
        <v>3338</v>
      </c>
      <c r="D76" s="93"/>
      <c r="E76" s="90">
        <f>E49-E74</f>
        <v>0</v>
      </c>
      <c r="G76" s="93"/>
      <c r="H76" s="90">
        <f>H49-H74</f>
        <v>0</v>
      </c>
      <c r="I76" s="191"/>
      <c r="J76" s="192"/>
      <c r="K76" s="90">
        <f>K49-K74</f>
        <v>0</v>
      </c>
      <c r="M76" s="192"/>
      <c r="N76" s="90">
        <f>N49-N74</f>
        <v>0</v>
      </c>
      <c r="O76" s="187"/>
      <c r="P76" s="91"/>
    </row>
    <row r="77" spans="2:16" ht="12.6" customHeight="1">
      <c r="E77" s="188"/>
      <c r="H77" s="188"/>
      <c r="I77" s="191"/>
      <c r="J77" s="191"/>
      <c r="K77" s="188"/>
      <c r="M77" s="289" t="s">
        <v>440</v>
      </c>
      <c r="N77" s="288">
        <f>(N49-N74)-'Enterprise Template'!G95</f>
        <v>0</v>
      </c>
      <c r="O77" s="288"/>
    </row>
    <row r="78" spans="2:16" ht="12.6" customHeight="1" thickBot="1">
      <c r="B78" s="72" t="s">
        <v>257</v>
      </c>
      <c r="D78" s="95" t="s">
        <v>246</v>
      </c>
      <c r="E78" s="203">
        <f>SUM(E26,E76)</f>
        <v>0</v>
      </c>
      <c r="G78" s="95" t="s">
        <v>246</v>
      </c>
      <c r="H78" s="203">
        <f>SUM(H26,H76)</f>
        <v>0</v>
      </c>
      <c r="I78" s="191"/>
      <c r="J78" s="193" t="s">
        <v>246</v>
      </c>
      <c r="K78" s="203">
        <f>SUM(K26,K76)</f>
        <v>0</v>
      </c>
      <c r="M78" s="95" t="s">
        <v>246</v>
      </c>
      <c r="N78" s="203">
        <f>SUM(N26,N76)</f>
        <v>0</v>
      </c>
      <c r="O78" s="187"/>
    </row>
    <row r="79" spans="2:16" ht="12.6" customHeight="1" thickTop="1"/>
    <row r="81" spans="2:21" ht="12.6" customHeight="1">
      <c r="B81" s="222" t="s">
        <v>429</v>
      </c>
      <c r="C81" s="223"/>
      <c r="D81" s="223"/>
      <c r="E81" s="223"/>
      <c r="F81" s="78"/>
      <c r="G81" s="79"/>
      <c r="H81" s="80"/>
    </row>
    <row r="83" spans="2:21" ht="12.6" customHeight="1">
      <c r="B83" s="78"/>
      <c r="C83" s="78"/>
      <c r="D83" s="1174" t="s">
        <v>241</v>
      </c>
      <c r="E83" s="1174"/>
      <c r="F83" s="81"/>
      <c r="G83" s="83"/>
      <c r="H83" s="83" t="s">
        <v>432</v>
      </c>
      <c r="I83" s="81"/>
      <c r="J83" s="83"/>
      <c r="K83" s="83"/>
      <c r="L83" s="81"/>
      <c r="M83" s="1173"/>
      <c r="N83" s="1173"/>
      <c r="O83" s="854"/>
    </row>
    <row r="84" spans="2:21" ht="12.6" customHeight="1">
      <c r="B84" s="78"/>
      <c r="C84" s="78"/>
      <c r="D84" s="1175" t="s">
        <v>3620</v>
      </c>
      <c r="E84" s="1173"/>
      <c r="F84" s="81"/>
      <c r="G84" s="83"/>
      <c r="H84" s="84" t="s">
        <v>433</v>
      </c>
      <c r="I84" s="81"/>
      <c r="J84" s="83"/>
      <c r="K84" s="83" t="s">
        <v>434</v>
      </c>
      <c r="L84" s="81"/>
      <c r="M84" s="78"/>
      <c r="N84" s="78"/>
      <c r="O84" s="78"/>
    </row>
    <row r="85" spans="2:21" ht="12.6" customHeight="1">
      <c r="B85" s="78"/>
      <c r="C85" s="78"/>
      <c r="D85" s="1176" t="s">
        <v>431</v>
      </c>
      <c r="E85" s="1176"/>
      <c r="F85" s="81"/>
      <c r="G85" s="85"/>
      <c r="H85" s="85" t="s">
        <v>241</v>
      </c>
      <c r="I85" s="81"/>
      <c r="J85" s="85"/>
      <c r="K85" s="85" t="s">
        <v>436</v>
      </c>
      <c r="L85" s="81"/>
      <c r="M85" s="78"/>
      <c r="N85" s="78"/>
      <c r="O85" s="78"/>
    </row>
    <row r="86" spans="2:21" ht="11.25">
      <c r="B86" s="434" t="s">
        <v>3603</v>
      </c>
    </row>
    <row r="87" spans="2:21" ht="12.6" customHeight="1">
      <c r="B87" s="380" t="s">
        <v>245</v>
      </c>
      <c r="D87" s="87" t="s">
        <v>246</v>
      </c>
      <c r="E87" s="115">
        <f>E20</f>
        <v>0</v>
      </c>
      <c r="F87" s="220"/>
      <c r="G87" s="220" t="s">
        <v>246</v>
      </c>
      <c r="H87" s="115" t="str">
        <f>IF(ISNA(HLOOKUP($E$2,'HLookup Tables'!$H$445:$AL$501,3,FALSE)),"",(HLOOKUP($E$2,'HLookup Tables'!$H$445:$AL$501,3,FALSE)))</f>
        <v/>
      </c>
      <c r="I87" s="220"/>
      <c r="J87" s="220" t="s">
        <v>246</v>
      </c>
      <c r="K87" s="115" t="str">
        <f>IF(ISERR(E87-H87),"",(E87-H87))</f>
        <v/>
      </c>
      <c r="L87" s="65"/>
      <c r="M87" s="187"/>
      <c r="N87" s="65"/>
      <c r="O87" s="65"/>
      <c r="U87" s="191"/>
    </row>
    <row r="88" spans="2:21" ht="11.25">
      <c r="B88" s="380" t="s">
        <v>171</v>
      </c>
      <c r="D88" s="87"/>
      <c r="E88" s="115">
        <f>E21</f>
        <v>0</v>
      </c>
      <c r="F88" s="220"/>
      <c r="G88" s="162"/>
      <c r="H88" s="115" t="str">
        <f>IF(ISNA(HLOOKUP($E$2,'HLookup Tables'!$H$445:$AL$501,4,FALSE)),"",(HLOOKUP($E$2,'HLookup Tables'!$H$445:$AL$501,4,FALSE)))</f>
        <v/>
      </c>
      <c r="I88" s="220"/>
      <c r="J88" s="162"/>
      <c r="K88" s="115" t="str">
        <f>IF(ISERR(E88-H88),"",(E88-H88))</f>
        <v/>
      </c>
      <c r="L88" s="65"/>
      <c r="M88" s="187"/>
      <c r="N88" s="65"/>
      <c r="O88" s="187"/>
      <c r="U88" s="191"/>
    </row>
    <row r="89" spans="2:21" ht="11.25">
      <c r="B89" s="380" t="s">
        <v>414</v>
      </c>
      <c r="D89" s="87"/>
      <c r="E89" s="115">
        <f>E22</f>
        <v>0</v>
      </c>
      <c r="F89" s="220"/>
      <c r="G89" s="162"/>
      <c r="H89" s="115" t="str">
        <f>IF(ISNA(HLOOKUP($E$2,'HLookup Tables'!$H$445:$AL$501,5,FALSE)),"",(HLOOKUP($E$2,'HLookup Tables'!$H$445:$AL$501,5,FALSE)))</f>
        <v/>
      </c>
      <c r="I89" s="220"/>
      <c r="J89" s="162"/>
      <c r="K89" s="115" t="str">
        <f>IF(ISERR(E89-H89),"",(E89-H89))</f>
        <v/>
      </c>
      <c r="L89" s="65"/>
      <c r="M89" s="187"/>
      <c r="N89" s="65"/>
      <c r="O89" s="187"/>
      <c r="U89" s="191"/>
    </row>
    <row r="90" spans="2:21" ht="11.25">
      <c r="B90" s="380" t="s">
        <v>658</v>
      </c>
      <c r="D90" s="87"/>
      <c r="E90" s="115">
        <f>E23</f>
        <v>0</v>
      </c>
      <c r="F90" s="220"/>
      <c r="G90" s="162"/>
      <c r="H90" s="115" t="str">
        <f>IF(ISNA(HLOOKUP($E$2,'HLookup Tables'!$H$445:$AL$501,6,FALSE)),"",(HLOOKUP($E$2,'HLookup Tables'!$H$445:$AL$501,6,FALSE)))</f>
        <v/>
      </c>
      <c r="I90" s="220"/>
      <c r="J90" s="162"/>
      <c r="K90" s="115" t="str">
        <f>IF(ISERR(E90-H90),"",(E90-H90))</f>
        <v/>
      </c>
      <c r="L90" s="65"/>
      <c r="M90" s="187"/>
      <c r="N90" s="65"/>
      <c r="O90" s="187"/>
      <c r="U90" s="191"/>
    </row>
    <row r="91" spans="2:21" ht="22.5">
      <c r="B91" s="788" t="s">
        <v>3549</v>
      </c>
      <c r="D91" s="87"/>
      <c r="E91" s="115">
        <f>E24</f>
        <v>0</v>
      </c>
      <c r="F91" s="220"/>
      <c r="G91" s="162"/>
      <c r="H91" s="115" t="str">
        <f>IF(ISNA(HLOOKUP($E$2,'HLookup Tables'!$H$445:$AL$501,7,FALSE)),"",(HLOOKUP($E$2,'HLookup Tables'!$H$445:$AL$501,7,FALSE)))</f>
        <v/>
      </c>
      <c r="I91" s="220"/>
      <c r="J91" s="162"/>
      <c r="K91" s="115" t="str">
        <f>IF(ISERR(E91-H91),"",(E91-H91))</f>
        <v/>
      </c>
      <c r="L91" s="65"/>
      <c r="M91" s="187"/>
      <c r="N91" s="187"/>
      <c r="O91" s="187"/>
      <c r="U91" s="191"/>
    </row>
    <row r="92" spans="2:21" ht="11.25">
      <c r="D92" s="87"/>
      <c r="E92" s="162"/>
      <c r="F92" s="162"/>
      <c r="G92" s="162"/>
      <c r="H92" s="162"/>
      <c r="I92" s="162"/>
      <c r="J92" s="162"/>
      <c r="K92" s="162"/>
      <c r="L92" s="65"/>
      <c r="M92" s="187"/>
      <c r="N92" s="187"/>
      <c r="O92" s="187"/>
      <c r="U92" s="191"/>
    </row>
    <row r="93" spans="2:21" ht="12.6" customHeight="1">
      <c r="B93" s="380" t="s">
        <v>247</v>
      </c>
      <c r="D93" s="89"/>
      <c r="E93" s="217">
        <f>SUM(E87:E91)</f>
        <v>0</v>
      </c>
      <c r="F93" s="220"/>
      <c r="G93" s="217"/>
      <c r="H93" s="217">
        <f>SUM(H87:H91)</f>
        <v>0</v>
      </c>
      <c r="I93" s="220"/>
      <c r="J93" s="217"/>
      <c r="K93" s="217">
        <f>SUM(K87:K91)</f>
        <v>0</v>
      </c>
      <c r="L93" s="65"/>
      <c r="M93" s="187"/>
      <c r="N93" s="187"/>
      <c r="O93" s="187"/>
      <c r="U93" s="191"/>
    </row>
    <row r="94" spans="2:21" ht="12.6" customHeight="1">
      <c r="D94" s="87"/>
      <c r="E94" s="162"/>
      <c r="F94" s="87"/>
      <c r="G94" s="87"/>
      <c r="H94" s="162"/>
      <c r="I94" s="87"/>
      <c r="J94" s="87"/>
      <c r="K94" s="162"/>
      <c r="L94" s="87"/>
      <c r="M94" s="87"/>
      <c r="N94" s="189"/>
      <c r="O94" s="189"/>
      <c r="U94" s="191"/>
    </row>
    <row r="95" spans="2:21" ht="12.6" customHeight="1">
      <c r="B95" s="434" t="s">
        <v>3334</v>
      </c>
      <c r="D95" s="87"/>
      <c r="E95" s="162"/>
      <c r="F95" s="87"/>
      <c r="G95" s="87"/>
      <c r="H95" s="162"/>
      <c r="I95" s="87"/>
      <c r="J95" s="87"/>
      <c r="K95" s="162"/>
      <c r="L95" s="87"/>
      <c r="M95" s="87"/>
      <c r="N95" s="187"/>
      <c r="O95" s="187"/>
      <c r="U95" s="191"/>
    </row>
    <row r="96" spans="2:21" ht="12.6" customHeight="1">
      <c r="B96" s="380" t="s">
        <v>248</v>
      </c>
      <c r="D96" s="87"/>
      <c r="E96" s="115">
        <f>E29</f>
        <v>0</v>
      </c>
      <c r="F96" s="220"/>
      <c r="G96" s="220"/>
      <c r="H96" s="115" t="str">
        <f>IF(ISNA(HLOOKUP($E$2,'HLookup Tables'!$H$445:$AL$501,12,FALSE)),"",(HLOOKUP($E$2,'HLookup Tables'!$H$445:$AL$501,12,FALSE)))</f>
        <v/>
      </c>
      <c r="I96" s="220"/>
      <c r="J96" s="220"/>
      <c r="K96" s="115" t="str">
        <f>IF(ISERR(E96-H96),"",(E96-H96))</f>
        <v/>
      </c>
      <c r="L96" s="65"/>
      <c r="M96" s="187"/>
      <c r="N96" s="187"/>
      <c r="O96" s="187"/>
      <c r="U96" s="191"/>
    </row>
    <row r="97" spans="2:21" ht="12.6" customHeight="1">
      <c r="B97" s="380" t="s">
        <v>249</v>
      </c>
      <c r="D97" s="87"/>
      <c r="E97" s="115">
        <f>E30</f>
        <v>0</v>
      </c>
      <c r="F97" s="220"/>
      <c r="G97" s="220"/>
      <c r="H97" s="115" t="str">
        <f>IF(ISNA(HLOOKUP($E$2,'HLookup Tables'!$H$445:$AL$501,13,FALSE)),"",(HLOOKUP($E$2,'HLookup Tables'!$H$445:$AL$501,13,FALSE)))</f>
        <v/>
      </c>
      <c r="I97" s="220"/>
      <c r="J97" s="220"/>
      <c r="K97" s="115" t="str">
        <f t="shared" ref="K97:K112" si="4">IF(ISERR(E97-H97),"",(E97-H97))</f>
        <v/>
      </c>
      <c r="L97" s="65"/>
      <c r="M97" s="187"/>
      <c r="N97" s="187"/>
      <c r="O97" s="187"/>
      <c r="U97" s="191"/>
    </row>
    <row r="98" spans="2:21" ht="12.6" customHeight="1">
      <c r="B98" s="380" t="s">
        <v>250</v>
      </c>
      <c r="D98" s="87"/>
      <c r="E98" s="115">
        <f>E31</f>
        <v>0</v>
      </c>
      <c r="F98" s="220"/>
      <c r="G98" s="162"/>
      <c r="H98" s="115" t="str">
        <f>IF(ISNA(HLOOKUP($E$2,'HLookup Tables'!$H$445:$AL$501,14,FALSE)),"",(HLOOKUP($E$2,'HLookup Tables'!$H$445:$AL$501,14,FALSE)))</f>
        <v/>
      </c>
      <c r="I98" s="220"/>
      <c r="J98" s="162"/>
      <c r="K98" s="115" t="str">
        <f t="shared" si="4"/>
        <v/>
      </c>
      <c r="L98" s="65"/>
      <c r="M98" s="187"/>
      <c r="N98" s="187"/>
      <c r="O98" s="187"/>
      <c r="U98" s="191"/>
    </row>
    <row r="99" spans="2:21" ht="12.6" customHeight="1">
      <c r="B99" s="380" t="s">
        <v>659</v>
      </c>
      <c r="D99" s="87"/>
      <c r="E99" s="115">
        <f>E32</f>
        <v>0</v>
      </c>
      <c r="F99" s="220"/>
      <c r="G99" s="162"/>
      <c r="H99" s="115" t="str">
        <f>IF(ISNA(HLOOKUP($E$2,'HLookup Tables'!$H$445:$AL$501,15,FALSE)),"",(HLOOKUP($E$2,'HLookup Tables'!$H$445:$AL$501,15,FALSE)))</f>
        <v/>
      </c>
      <c r="I99" s="220"/>
      <c r="J99" s="162"/>
      <c r="K99" s="115" t="str">
        <f t="shared" si="4"/>
        <v/>
      </c>
      <c r="L99" s="65"/>
      <c r="M99" s="187"/>
      <c r="N99" s="187"/>
      <c r="O99" s="187"/>
      <c r="U99" s="191"/>
    </row>
    <row r="100" spans="2:21" ht="12.6" customHeight="1">
      <c r="B100" s="380" t="s">
        <v>660</v>
      </c>
      <c r="D100" s="87"/>
      <c r="E100" s="115">
        <f>E33</f>
        <v>0</v>
      </c>
      <c r="F100" s="220"/>
      <c r="G100" s="162"/>
      <c r="H100" s="115" t="str">
        <f>IF(ISNA(HLOOKUP($E$2,'HLookup Tables'!$H$445:$AL$501,16,FALSE)),"",(HLOOKUP($E$2,'HLookup Tables'!$H$445:$AL$501,16,FALSE)))</f>
        <v/>
      </c>
      <c r="I100" s="220"/>
      <c r="J100" s="162"/>
      <c r="K100" s="115" t="str">
        <f t="shared" si="4"/>
        <v/>
      </c>
      <c r="L100" s="65"/>
      <c r="M100" s="187"/>
      <c r="N100" s="187"/>
      <c r="O100" s="187"/>
      <c r="P100" s="434" t="s">
        <v>693</v>
      </c>
      <c r="U100" s="191"/>
    </row>
    <row r="101" spans="2:21" ht="12.6" customHeight="1">
      <c r="B101" s="380" t="s">
        <v>503</v>
      </c>
      <c r="D101" s="87"/>
      <c r="E101" s="162"/>
      <c r="F101" s="162"/>
      <c r="G101" s="162"/>
      <c r="H101" s="162"/>
      <c r="I101" s="162"/>
      <c r="J101" s="162"/>
      <c r="K101" s="162"/>
      <c r="L101" s="65"/>
      <c r="M101" s="187"/>
      <c r="N101" s="187"/>
      <c r="O101" s="187"/>
    </row>
    <row r="102" spans="2:21" ht="12.6" customHeight="1">
      <c r="B102" s="381" t="s">
        <v>347</v>
      </c>
      <c r="D102" s="87"/>
      <c r="E102" s="115">
        <f>E35</f>
        <v>0</v>
      </c>
      <c r="F102" s="220"/>
      <c r="G102" s="162"/>
      <c r="H102" s="115" t="str">
        <f>IF(ISNA(HLOOKUP($E$2,'HLookup Tables'!$H$445:$AL$501,18,FALSE)),"",(HLOOKUP($E$2,'HLookup Tables'!$H$445:$AL$501,18,FALSE)))</f>
        <v/>
      </c>
      <c r="I102" s="220"/>
      <c r="J102" s="162"/>
      <c r="K102" s="115" t="str">
        <f t="shared" si="4"/>
        <v/>
      </c>
      <c r="L102" s="65"/>
      <c r="M102" s="187"/>
      <c r="N102" s="187"/>
      <c r="O102" s="187"/>
    </row>
    <row r="103" spans="2:21" ht="12.6" customHeight="1">
      <c r="B103" s="530" t="s">
        <v>418</v>
      </c>
      <c r="D103" s="87"/>
      <c r="E103" s="115">
        <f>E36</f>
        <v>0</v>
      </c>
      <c r="F103" s="220"/>
      <c r="G103" s="162"/>
      <c r="H103" s="115" t="str">
        <f>IF(ISNA(HLOOKUP($E$2,'HLookup Tables'!$H$445:$AL$501,19,FALSE)),"",(HLOOKUP($E$2,'HLookup Tables'!$H$445:$AL$501,19,FALSE)))</f>
        <v/>
      </c>
      <c r="I103" s="220"/>
      <c r="J103" s="162"/>
      <c r="K103" s="115" t="str">
        <f t="shared" si="4"/>
        <v/>
      </c>
      <c r="L103" s="65"/>
      <c r="M103" s="187"/>
      <c r="N103" s="187"/>
      <c r="O103" s="187"/>
    </row>
    <row r="104" spans="2:21" ht="12.6" customHeight="1">
      <c r="B104" s="381" t="s">
        <v>419</v>
      </c>
      <c r="D104" s="87"/>
      <c r="E104" s="115">
        <f>E37</f>
        <v>0</v>
      </c>
      <c r="F104" s="220"/>
      <c r="G104" s="162"/>
      <c r="H104" s="115" t="str">
        <f>IF(ISNA(HLOOKUP($E$2,'HLookup Tables'!$H$445:$AL$501,20,FALSE)),"",(HLOOKUP($E$2,'HLookup Tables'!$H$445:$AL$501,20,FALSE)))</f>
        <v/>
      </c>
      <c r="I104" s="220"/>
      <c r="J104" s="162"/>
      <c r="K104" s="115" t="str">
        <f t="shared" si="4"/>
        <v/>
      </c>
      <c r="L104" s="65"/>
      <c r="M104" s="187"/>
      <c r="N104" s="187"/>
      <c r="O104" s="187"/>
      <c r="U104" s="191"/>
    </row>
    <row r="105" spans="2:21" ht="12.6" customHeight="1">
      <c r="B105" s="530" t="s">
        <v>346</v>
      </c>
      <c r="D105" s="87"/>
      <c r="E105" s="115">
        <f>E38</f>
        <v>0</v>
      </c>
      <c r="F105" s="220"/>
      <c r="G105" s="162"/>
      <c r="H105" s="115" t="str">
        <f>IF(ISNA(HLOOKUP($E$2,'HLookup Tables'!$H$445:$AL$501,21,FALSE)),"",(HLOOKUP($E$2,'HLookup Tables'!$H$445:$AL$501,21,FALSE)))</f>
        <v/>
      </c>
      <c r="I105" s="220"/>
      <c r="J105" s="162"/>
      <c r="K105" s="115" t="str">
        <f t="shared" si="4"/>
        <v/>
      </c>
      <c r="L105" s="65"/>
      <c r="M105" s="187"/>
      <c r="N105" s="187"/>
      <c r="O105" s="187"/>
      <c r="U105" s="191"/>
    </row>
    <row r="106" spans="2:21" ht="12.6" customHeight="1">
      <c r="B106" s="380" t="s">
        <v>3381</v>
      </c>
      <c r="D106" s="87"/>
      <c r="E106" s="162"/>
      <c r="F106" s="162"/>
      <c r="G106" s="162"/>
      <c r="H106" s="162"/>
      <c r="I106" s="162"/>
      <c r="J106" s="162"/>
      <c r="K106" s="162"/>
      <c r="L106" s="65"/>
      <c r="M106" s="187"/>
      <c r="N106" s="187"/>
      <c r="O106" s="187"/>
      <c r="U106" s="191"/>
    </row>
    <row r="107" spans="2:21" ht="12.6" customHeight="1">
      <c r="B107" s="530" t="s">
        <v>245</v>
      </c>
      <c r="D107" s="87"/>
      <c r="E107" s="115">
        <f>E41</f>
        <v>0</v>
      </c>
      <c r="F107" s="162"/>
      <c r="G107" s="162"/>
      <c r="H107" s="115" t="str">
        <f>IF(ISNA(HLOOKUP($E$2,'HLookup Tables'!$H$445:$AL$501,23,FALSE)),"",(HLOOKUP($E$2,'HLookup Tables'!$H$445:$AL$501,23,FALSE)))</f>
        <v/>
      </c>
      <c r="I107" s="162"/>
      <c r="J107" s="162"/>
      <c r="K107" s="115" t="str">
        <f t="shared" si="4"/>
        <v/>
      </c>
      <c r="L107" s="65"/>
      <c r="M107" s="187"/>
      <c r="N107" s="187"/>
      <c r="O107" s="187"/>
      <c r="U107" s="191"/>
    </row>
    <row r="108" spans="2:21" ht="12.6" customHeight="1">
      <c r="B108" s="530" t="s">
        <v>248</v>
      </c>
      <c r="D108" s="87"/>
      <c r="E108" s="115">
        <f t="shared" ref="E108:E111" si="5">E42</f>
        <v>0</v>
      </c>
      <c r="F108" s="162"/>
      <c r="G108" s="162"/>
      <c r="H108" s="115" t="str">
        <f>IF(ISNA(HLOOKUP($E$2,'HLookup Tables'!$H$445:$AL$501,24,FALSE)),"",(HLOOKUP($E$2,'HLookup Tables'!$H$445:$AL$501,24,FALSE)))</f>
        <v/>
      </c>
      <c r="I108" s="162"/>
      <c r="J108" s="162"/>
      <c r="K108" s="115" t="str">
        <f t="shared" si="4"/>
        <v/>
      </c>
      <c r="L108" s="65"/>
      <c r="M108" s="187"/>
      <c r="N108" s="187"/>
      <c r="O108" s="187"/>
      <c r="U108" s="191"/>
    </row>
    <row r="109" spans="2:21" ht="12.6" customHeight="1">
      <c r="B109" s="530" t="s">
        <v>249</v>
      </c>
      <c r="D109" s="87"/>
      <c r="E109" s="115">
        <f t="shared" si="5"/>
        <v>0</v>
      </c>
      <c r="F109" s="162"/>
      <c r="G109" s="162"/>
      <c r="H109" s="115" t="str">
        <f>IF(ISNA(HLOOKUP($E$2,'HLookup Tables'!$H$445:$AL$501,25,FALSE)),"",(HLOOKUP($E$2,'HLookup Tables'!$H$445:$AL$501,25,FALSE)))</f>
        <v/>
      </c>
      <c r="I109" s="162"/>
      <c r="J109" s="162"/>
      <c r="K109" s="115" t="str">
        <f t="shared" si="4"/>
        <v/>
      </c>
      <c r="L109" s="65"/>
      <c r="M109" s="187"/>
      <c r="N109" s="187"/>
      <c r="O109" s="187"/>
      <c r="U109" s="191"/>
    </row>
    <row r="110" spans="2:21" ht="12.6" customHeight="1">
      <c r="B110" s="530" t="s">
        <v>250</v>
      </c>
      <c r="D110" s="87"/>
      <c r="E110" s="115">
        <f t="shared" si="5"/>
        <v>0</v>
      </c>
      <c r="F110" s="162"/>
      <c r="G110" s="162"/>
      <c r="H110" s="115" t="str">
        <f>IF(ISNA(HLOOKUP($E$2,'HLookup Tables'!$H$445:$AL$501,26,FALSE)),"",(HLOOKUP($E$2,'HLookup Tables'!$H$445:$AL$501,26,FALSE)))</f>
        <v/>
      </c>
      <c r="I110" s="162"/>
      <c r="J110" s="162"/>
      <c r="K110" s="115" t="str">
        <f t="shared" si="4"/>
        <v/>
      </c>
      <c r="L110" s="65"/>
      <c r="M110" s="187"/>
      <c r="N110" s="187"/>
      <c r="O110" s="187"/>
      <c r="U110" s="191"/>
    </row>
    <row r="111" spans="2:21" ht="12.6" customHeight="1">
      <c r="B111" s="530" t="s">
        <v>346</v>
      </c>
      <c r="D111" s="87"/>
      <c r="E111" s="115">
        <f t="shared" si="5"/>
        <v>0</v>
      </c>
      <c r="F111" s="162"/>
      <c r="G111" s="162"/>
      <c r="H111" s="115" t="str">
        <f>IF(ISNA(HLOOKUP($E$2,'HLookup Tables'!$H$445:$AL$501,27,FALSE)),"",(HLOOKUP($E$2,'HLookup Tables'!$H$445:$AL$501,27,FALSE)))</f>
        <v/>
      </c>
      <c r="I111" s="162"/>
      <c r="J111" s="162"/>
      <c r="K111" s="115" t="str">
        <f t="shared" si="4"/>
        <v/>
      </c>
      <c r="L111" s="65"/>
      <c r="M111" s="187"/>
      <c r="N111" s="187"/>
      <c r="O111" s="187"/>
      <c r="U111" s="191"/>
    </row>
    <row r="112" spans="2:21" ht="12.6" customHeight="1">
      <c r="B112" s="434" t="s">
        <v>3394</v>
      </c>
      <c r="D112" s="87"/>
      <c r="E112" s="115">
        <f>E47</f>
        <v>0</v>
      </c>
      <c r="F112" s="162"/>
      <c r="G112" s="162"/>
      <c r="H112" s="115" t="str">
        <f>IF(ISNA(HLOOKUP($E$2,'HLookup Tables'!$H$445:$AL$501,28,FALSE)),"",(HLOOKUP($E$2,'HLookup Tables'!$H$445:$AL$501,28,FALSE)))</f>
        <v/>
      </c>
      <c r="I112" s="162"/>
      <c r="J112" s="162"/>
      <c r="K112" s="115" t="str">
        <f t="shared" si="4"/>
        <v/>
      </c>
      <c r="L112" s="65"/>
      <c r="M112" s="187"/>
      <c r="N112" s="187"/>
      <c r="O112" s="187"/>
      <c r="U112" s="191"/>
    </row>
    <row r="113" spans="2:21" ht="12.6" customHeight="1">
      <c r="B113" s="434" t="s">
        <v>3335</v>
      </c>
      <c r="D113" s="89"/>
      <c r="E113" s="218">
        <f>SUM(E96:E105,E107:E112)</f>
        <v>0</v>
      </c>
      <c r="F113" s="220"/>
      <c r="G113" s="217"/>
      <c r="H113" s="218">
        <f>SUM(H96:H105,H107:H112)</f>
        <v>0</v>
      </c>
      <c r="I113" s="220"/>
      <c r="J113" s="217"/>
      <c r="K113" s="218">
        <f>SUM(K96:K105,K107:K112)</f>
        <v>0</v>
      </c>
      <c r="L113" s="65"/>
      <c r="M113" s="187"/>
      <c r="N113" s="187"/>
      <c r="O113" s="187"/>
      <c r="U113" s="191"/>
    </row>
    <row r="114" spans="2:21" ht="12.6" customHeight="1">
      <c r="E114" s="219"/>
      <c r="H114" s="219"/>
      <c r="K114" s="219"/>
      <c r="N114" s="216"/>
      <c r="O114" s="216"/>
      <c r="T114" s="72" cm="1">
        <f t="array" ref="T114">SUM(COUNTIFS(K87:K134,{"","0"}))</f>
        <v>48</v>
      </c>
      <c r="U114" s="832" t="s">
        <v>3790</v>
      </c>
    </row>
    <row r="115" spans="2:21" ht="12.6" customHeight="1">
      <c r="B115" s="92" t="s">
        <v>251</v>
      </c>
      <c r="E115" s="219"/>
      <c r="H115" s="219"/>
      <c r="K115" s="219"/>
      <c r="N115" s="216"/>
      <c r="O115" s="216"/>
      <c r="U115" s="191"/>
    </row>
    <row r="116" spans="2:21" ht="12.6" customHeight="1">
      <c r="B116" s="72" t="s">
        <v>252</v>
      </c>
      <c r="E116" s="115">
        <f>E52</f>
        <v>0</v>
      </c>
      <c r="H116" s="115" t="str">
        <f>IF(ISNA(HLOOKUP($E$2,'HLookup Tables'!$H$445:$AL$501,32,FALSE)),"",(HLOOKUP($E$2,'HLookup Tables'!$H$445:$AL$501,32,FALSE)))</f>
        <v/>
      </c>
      <c r="K116" s="115" t="str">
        <f>IF(ISERR(E116-H116),"",(E116-H116))</f>
        <v/>
      </c>
      <c r="N116" s="187"/>
      <c r="O116" s="187"/>
      <c r="U116" s="191"/>
    </row>
    <row r="117" spans="2:21" ht="11.25">
      <c r="B117" s="72" t="s">
        <v>253</v>
      </c>
      <c r="E117" s="115">
        <f>E53</f>
        <v>0</v>
      </c>
      <c r="H117" s="115" t="str">
        <f>IF(ISNA(HLOOKUP($E$2,'HLookup Tables'!$H$445:$AL$501,33,FALSE)),"",(HLOOKUP($E$2,'HLookup Tables'!$H$445:$AL$501,33,FALSE)))</f>
        <v/>
      </c>
      <c r="K117" s="115" t="str">
        <f>IF(ISERR(E117-H117),"",(E117-H117))</f>
        <v/>
      </c>
      <c r="N117" s="187"/>
      <c r="O117" s="187"/>
      <c r="U117" s="191"/>
    </row>
    <row r="118" spans="2:21" ht="12.6" customHeight="1">
      <c r="B118" s="72" t="s">
        <v>254</v>
      </c>
      <c r="D118" s="87"/>
      <c r="E118" s="115">
        <f>E54</f>
        <v>0</v>
      </c>
      <c r="F118" s="220"/>
      <c r="G118" s="162"/>
      <c r="H118" s="115" t="str">
        <f>IF(ISNA(HLOOKUP($E$2,'HLookup Tables'!$H$445:$AL$501,34,FALSE)),"",(HLOOKUP($E$2,'HLookup Tables'!$H$445:$AL$501,34,FALSE)))</f>
        <v/>
      </c>
      <c r="I118" s="220"/>
      <c r="J118" s="162"/>
      <c r="K118" s="115" t="str">
        <f>IF(ISERR(E118-H118),"",(E118-H118))</f>
        <v/>
      </c>
      <c r="L118" s="65"/>
      <c r="M118" s="187"/>
      <c r="N118" s="187"/>
      <c r="O118" s="187"/>
      <c r="U118" s="191"/>
    </row>
    <row r="119" spans="2:21" ht="12.6" customHeight="1">
      <c r="B119" s="380" t="s">
        <v>659</v>
      </c>
      <c r="D119" s="87"/>
      <c r="E119" s="115">
        <f>E55</f>
        <v>0</v>
      </c>
      <c r="F119" s="220"/>
      <c r="G119" s="162"/>
      <c r="H119" s="115" t="str">
        <f>IF(ISNA(HLOOKUP($E$2,'HLookup Tables'!$H$445:$AL$501,35,FALSE)),"",(HLOOKUP($E$2,'HLookup Tables'!$H$445:$AL$501,35,FALSE)))</f>
        <v/>
      </c>
      <c r="I119" s="220"/>
      <c r="J119" s="162"/>
      <c r="K119" s="115" t="str">
        <f t="shared" ref="K119:K125" si="6">IF(ISERR(E119-H119),"",(E119-H119))</f>
        <v/>
      </c>
      <c r="L119" s="65"/>
      <c r="M119" s="187"/>
      <c r="N119" s="187"/>
      <c r="O119" s="187"/>
      <c r="U119" s="191"/>
    </row>
    <row r="120" spans="2:21" ht="12.6" customHeight="1">
      <c r="B120" s="380" t="s">
        <v>660</v>
      </c>
      <c r="D120" s="87"/>
      <c r="E120" s="115">
        <f>E56</f>
        <v>0</v>
      </c>
      <c r="F120" s="220"/>
      <c r="G120" s="162"/>
      <c r="H120" s="115" t="str">
        <f>IF(ISNA(HLOOKUP($E$2,'HLookup Tables'!$H$445:$AL$501,36,FALSE)),"",(HLOOKUP($E$2,'HLookup Tables'!$H$445:$AL$501,36,FALSE)))</f>
        <v/>
      </c>
      <c r="I120" s="220"/>
      <c r="J120" s="162"/>
      <c r="K120" s="115" t="str">
        <f t="shared" si="6"/>
        <v/>
      </c>
      <c r="L120" s="65"/>
      <c r="M120" s="187"/>
      <c r="N120" s="187"/>
      <c r="O120" s="187"/>
      <c r="U120" s="191"/>
    </row>
    <row r="121" spans="2:21" ht="12.6" customHeight="1">
      <c r="B121" s="380" t="s">
        <v>503</v>
      </c>
      <c r="D121" s="87"/>
      <c r="E121" s="162"/>
      <c r="F121" s="162"/>
      <c r="G121" s="162"/>
      <c r="H121" s="162"/>
      <c r="I121" s="162"/>
      <c r="J121" s="162"/>
      <c r="K121" s="162"/>
      <c r="L121" s="65"/>
      <c r="M121" s="187"/>
      <c r="N121" s="187"/>
      <c r="O121" s="187"/>
      <c r="U121" s="191"/>
    </row>
    <row r="122" spans="2:21" ht="12.6" customHeight="1">
      <c r="B122" s="381" t="s">
        <v>347</v>
      </c>
      <c r="D122" s="87"/>
      <c r="E122" s="115">
        <f>E58</f>
        <v>0</v>
      </c>
      <c r="F122" s="220"/>
      <c r="G122" s="162"/>
      <c r="H122" s="115" t="str">
        <f>IF(ISNA(HLOOKUP($E$2,'HLookup Tables'!$H$445:$AL$501,38,FALSE)),"",(HLOOKUP($E$2,'HLookup Tables'!$H$445:$AL$501,38,FALSE)))</f>
        <v/>
      </c>
      <c r="I122" s="220"/>
      <c r="J122" s="162"/>
      <c r="K122" s="115" t="str">
        <f t="shared" si="6"/>
        <v/>
      </c>
      <c r="L122" s="65"/>
      <c r="M122" s="187"/>
      <c r="N122" s="187"/>
      <c r="O122" s="187"/>
      <c r="U122" s="191"/>
    </row>
    <row r="123" spans="2:21" ht="12.6" customHeight="1">
      <c r="B123" s="530" t="s">
        <v>418</v>
      </c>
      <c r="D123" s="87"/>
      <c r="E123" s="115">
        <f>E59</f>
        <v>0</v>
      </c>
      <c r="F123" s="220"/>
      <c r="G123" s="162"/>
      <c r="H123" s="115" t="str">
        <f>IF(ISNA(HLOOKUP($E$2,'HLookup Tables'!$H$445:$AL$501,39,FALSE)),"",(HLOOKUP($E$2,'HLookup Tables'!$H$445:$AL$501,39,FALSE)))</f>
        <v/>
      </c>
      <c r="I123" s="220"/>
      <c r="J123" s="162"/>
      <c r="K123" s="115" t="str">
        <f t="shared" si="6"/>
        <v/>
      </c>
      <c r="L123" s="65"/>
      <c r="M123" s="187"/>
      <c r="N123" s="187"/>
      <c r="O123" s="187"/>
      <c r="U123" s="191"/>
    </row>
    <row r="124" spans="2:21" ht="12.6" customHeight="1">
      <c r="B124" s="381" t="s">
        <v>419</v>
      </c>
      <c r="D124" s="87"/>
      <c r="E124" s="115">
        <f>E60</f>
        <v>0</v>
      </c>
      <c r="F124" s="220"/>
      <c r="G124" s="162"/>
      <c r="H124" s="115" t="str">
        <f>IF(ISNA(HLOOKUP($E$2,'HLookup Tables'!$H$445:$AL$501,40,FALSE)),"",(HLOOKUP($E$2,'HLookup Tables'!$H$445:$AL$501,40,FALSE)))</f>
        <v/>
      </c>
      <c r="I124" s="220"/>
      <c r="J124" s="162"/>
      <c r="K124" s="115" t="str">
        <f t="shared" si="6"/>
        <v/>
      </c>
      <c r="L124" s="65"/>
      <c r="M124" s="187"/>
      <c r="N124" s="187"/>
      <c r="O124" s="187"/>
      <c r="U124" s="191"/>
    </row>
    <row r="125" spans="2:21" ht="12.6" customHeight="1">
      <c r="B125" s="381" t="s">
        <v>346</v>
      </c>
      <c r="D125" s="87"/>
      <c r="E125" s="115">
        <f>E61</f>
        <v>0</v>
      </c>
      <c r="F125" s="220"/>
      <c r="G125" s="162"/>
      <c r="H125" s="115" t="str">
        <f>IF(ISNA(HLOOKUP($E$2,'HLookup Tables'!$H$445:$AL$501,41,FALSE)),"",(HLOOKUP($E$2,'HLookup Tables'!$H$445:$AL$501,41,FALSE)))</f>
        <v/>
      </c>
      <c r="I125" s="220"/>
      <c r="J125" s="162"/>
      <c r="K125" s="115" t="str">
        <f t="shared" si="6"/>
        <v/>
      </c>
      <c r="L125" s="65"/>
      <c r="M125" s="187"/>
      <c r="N125" s="187"/>
      <c r="O125" s="187"/>
      <c r="U125" s="191"/>
    </row>
    <row r="126" spans="2:21" ht="12.6" customHeight="1">
      <c r="B126" s="72" t="s">
        <v>255</v>
      </c>
      <c r="D126" s="87"/>
      <c r="E126" s="218">
        <f>SUM(E116:E125)</f>
        <v>0</v>
      </c>
      <c r="F126" s="220"/>
      <c r="G126" s="162"/>
      <c r="H126" s="218">
        <f>SUM(H116:H125)</f>
        <v>0</v>
      </c>
      <c r="I126" s="220"/>
      <c r="J126" s="162"/>
      <c r="K126" s="218">
        <f>SUM(K116:K125)</f>
        <v>0</v>
      </c>
      <c r="L126" s="65"/>
      <c r="M126" s="187"/>
      <c r="N126" s="187"/>
      <c r="O126" s="187"/>
      <c r="U126" s="191"/>
    </row>
    <row r="127" spans="2:21" ht="12.6" customHeight="1">
      <c r="B127" s="860" t="s">
        <v>3337</v>
      </c>
      <c r="D127" s="87"/>
      <c r="E127" s="162"/>
      <c r="F127" s="220"/>
      <c r="G127" s="162"/>
      <c r="H127" s="162"/>
      <c r="I127" s="220"/>
      <c r="J127" s="162"/>
      <c r="K127" s="162"/>
      <c r="L127" s="65"/>
      <c r="M127" s="187"/>
      <c r="N127" s="187"/>
      <c r="O127" s="187"/>
      <c r="U127" s="191"/>
    </row>
    <row r="128" spans="2:21" ht="12.6" customHeight="1">
      <c r="B128" s="434" t="s">
        <v>3381</v>
      </c>
      <c r="D128" s="87"/>
      <c r="E128" s="162"/>
      <c r="F128" s="220"/>
      <c r="G128" s="162"/>
      <c r="H128" s="162"/>
      <c r="I128" s="220"/>
      <c r="J128" s="162"/>
      <c r="K128" s="162"/>
      <c r="L128" s="65"/>
      <c r="M128" s="187"/>
      <c r="N128" s="187"/>
      <c r="O128" s="187"/>
      <c r="U128" s="191"/>
    </row>
    <row r="129" spans="2:21" ht="12.6" customHeight="1">
      <c r="B129" s="530" t="s">
        <v>245</v>
      </c>
      <c r="D129" s="87"/>
      <c r="E129" s="115">
        <f t="shared" ref="E129:E134" si="7">E66</f>
        <v>0</v>
      </c>
      <c r="F129" s="220"/>
      <c r="G129" s="162"/>
      <c r="H129" s="115" t="str">
        <f>IF(ISNA(HLOOKUP($E$2,'HLookup Tables'!$H$445:$AL$501,45,FALSE)),"",(HLOOKUP($E$2,'HLookup Tables'!$H$445:$AL$501,45,FALSE)))</f>
        <v/>
      </c>
      <c r="I129" s="220"/>
      <c r="J129" s="162"/>
      <c r="K129" s="115" t="str">
        <f t="shared" ref="K129:K134" si="8">IF(ISERR(E129-H129),"",(E129-H129))</f>
        <v/>
      </c>
      <c r="L129" s="65"/>
      <c r="M129" s="187"/>
      <c r="N129" s="187"/>
      <c r="O129" s="187"/>
      <c r="U129" s="191"/>
    </row>
    <row r="130" spans="2:21" ht="12.6" customHeight="1">
      <c r="B130" s="530" t="s">
        <v>248</v>
      </c>
      <c r="D130" s="87"/>
      <c r="E130" s="115">
        <f t="shared" si="7"/>
        <v>0</v>
      </c>
      <c r="F130" s="220"/>
      <c r="G130" s="162"/>
      <c r="H130" s="115" t="str">
        <f>IF(ISNA(HLOOKUP($E$2,'HLookup Tables'!$H$445:$AL$501,46,FALSE)),"",(HLOOKUP($E$2,'HLookup Tables'!$H$445:$AL$501,46,FALSE)))</f>
        <v/>
      </c>
      <c r="I130" s="220"/>
      <c r="J130" s="162"/>
      <c r="K130" s="115" t="str">
        <f t="shared" si="8"/>
        <v/>
      </c>
      <c r="L130" s="65"/>
      <c r="M130" s="187"/>
      <c r="N130" s="187"/>
      <c r="O130" s="187"/>
      <c r="U130" s="191"/>
    </row>
    <row r="131" spans="2:21" ht="12.6" customHeight="1">
      <c r="B131" s="530" t="s">
        <v>249</v>
      </c>
      <c r="D131" s="87"/>
      <c r="E131" s="115">
        <f t="shared" si="7"/>
        <v>0</v>
      </c>
      <c r="F131" s="220"/>
      <c r="G131" s="162"/>
      <c r="H131" s="115" t="str">
        <f>IF(ISNA(HLOOKUP($E$2,'HLookup Tables'!$H$445:$AL$501,47,FALSE)),"",(HLOOKUP($E$2,'HLookup Tables'!$H$445:$AL$501,47,FALSE)))</f>
        <v/>
      </c>
      <c r="I131" s="220"/>
      <c r="J131" s="162"/>
      <c r="K131" s="115" t="str">
        <f t="shared" si="8"/>
        <v/>
      </c>
      <c r="L131" s="65"/>
      <c r="M131" s="187"/>
      <c r="N131" s="187"/>
      <c r="O131" s="187"/>
      <c r="U131" s="191"/>
    </row>
    <row r="132" spans="2:21" ht="12.6" customHeight="1">
      <c r="B132" s="530" t="s">
        <v>250</v>
      </c>
      <c r="D132" s="87"/>
      <c r="E132" s="115">
        <f t="shared" si="7"/>
        <v>0</v>
      </c>
      <c r="F132" s="220"/>
      <c r="G132" s="162"/>
      <c r="H132" s="115" t="str">
        <f>IF(ISNA(HLOOKUP($E$2,'HLookup Tables'!$H$445:$AL$501,48,FALSE)),"",(HLOOKUP($E$2,'HLookup Tables'!$H$445:$AL$501,48,FALSE)))</f>
        <v/>
      </c>
      <c r="I132" s="220"/>
      <c r="J132" s="162"/>
      <c r="K132" s="115" t="str">
        <f t="shared" si="8"/>
        <v/>
      </c>
      <c r="L132" s="65"/>
      <c r="M132" s="187"/>
      <c r="N132" s="187"/>
      <c r="O132" s="187"/>
      <c r="U132" s="191"/>
    </row>
    <row r="133" spans="2:21" ht="12.6" customHeight="1">
      <c r="B133" s="530" t="s">
        <v>346</v>
      </c>
      <c r="D133" s="87"/>
      <c r="E133" s="115">
        <f t="shared" si="7"/>
        <v>0</v>
      </c>
      <c r="F133" s="220"/>
      <c r="G133" s="162"/>
      <c r="H133" s="115" t="str">
        <f>IF(ISNA(HLOOKUP($E$2,'HLookup Tables'!$H$445:$AL$501,49,FALSE)),"",(HLOOKUP($E$2,'HLookup Tables'!$H$445:$AL$501,49,FALSE)))</f>
        <v/>
      </c>
      <c r="I133" s="220"/>
      <c r="J133" s="162"/>
      <c r="K133" s="115" t="str">
        <f t="shared" si="8"/>
        <v/>
      </c>
      <c r="L133" s="65"/>
      <c r="M133" s="187"/>
      <c r="N133" s="187"/>
      <c r="O133" s="187"/>
      <c r="U133" s="191"/>
    </row>
    <row r="134" spans="2:21" ht="12.6" customHeight="1">
      <c r="B134" s="434" t="s">
        <v>3394</v>
      </c>
      <c r="D134" s="87"/>
      <c r="E134" s="115">
        <f t="shared" si="7"/>
        <v>0</v>
      </c>
      <c r="F134" s="220"/>
      <c r="G134" s="162"/>
      <c r="H134" s="115" t="str">
        <f>IF(ISNA(HLOOKUP($E$2,'HLookup Tables'!$H$445:$AL$501,50,FALSE)),"",(HLOOKUP($E$2,'HLookup Tables'!$H$445:$AL$501,50,FALSE)))</f>
        <v/>
      </c>
      <c r="I134" s="220"/>
      <c r="J134" s="162"/>
      <c r="K134" s="115" t="str">
        <f t="shared" si="8"/>
        <v/>
      </c>
      <c r="L134" s="65"/>
      <c r="M134" s="187"/>
      <c r="N134" s="187"/>
      <c r="O134" s="187"/>
      <c r="U134" s="191"/>
    </row>
    <row r="135" spans="2:21" ht="12.6" customHeight="1">
      <c r="B135" s="434" t="s">
        <v>3336</v>
      </c>
      <c r="D135" s="87"/>
      <c r="E135" s="218">
        <f>SUM(E129:E134)</f>
        <v>0</v>
      </c>
      <c r="F135" s="220"/>
      <c r="G135" s="162"/>
      <c r="H135" s="218">
        <f>SUM(H129:H134)</f>
        <v>0</v>
      </c>
      <c r="I135" s="220"/>
      <c r="J135" s="162"/>
      <c r="K135" s="218">
        <f>SUM(K129:K134)</f>
        <v>0</v>
      </c>
      <c r="L135" s="65"/>
      <c r="M135" s="187"/>
      <c r="N135" s="187"/>
      <c r="O135" s="187"/>
      <c r="U135" s="191"/>
    </row>
    <row r="136" spans="2:21" ht="12.6" customHeight="1">
      <c r="B136" s="72" t="s">
        <v>256</v>
      </c>
      <c r="E136" s="219"/>
      <c r="H136" s="220"/>
      <c r="I136" s="191"/>
      <c r="J136" s="191"/>
      <c r="K136" s="220"/>
      <c r="N136" s="216"/>
      <c r="O136" s="216"/>
      <c r="U136" s="191"/>
    </row>
    <row r="137" spans="2:21" ht="12.6" customHeight="1">
      <c r="B137" s="434" t="s">
        <v>3339</v>
      </c>
      <c r="E137" s="976">
        <f>E135+E126</f>
        <v>0</v>
      </c>
      <c r="H137" s="217">
        <f>H135+H126</f>
        <v>0</v>
      </c>
      <c r="I137" s="191"/>
      <c r="J137" s="191"/>
      <c r="K137" s="217">
        <f>K135+K126</f>
        <v>0</v>
      </c>
      <c r="N137" s="216"/>
      <c r="O137" s="216"/>
      <c r="U137" s="191"/>
    </row>
    <row r="138" spans="2:21" ht="12.6" customHeight="1">
      <c r="E138" s="219"/>
      <c r="H138" s="220"/>
      <c r="I138" s="191"/>
      <c r="J138" s="191"/>
      <c r="K138" s="220"/>
      <c r="N138" s="216"/>
      <c r="O138" s="216"/>
      <c r="U138" s="191"/>
    </row>
    <row r="139" spans="2:21" ht="12.6" customHeight="1">
      <c r="B139" s="434" t="s">
        <v>3338</v>
      </c>
      <c r="D139" s="93"/>
      <c r="E139" s="217">
        <f>E113-E137</f>
        <v>0</v>
      </c>
      <c r="G139" s="93"/>
      <c r="H139" s="217">
        <f>H113-H137</f>
        <v>0</v>
      </c>
      <c r="I139" s="191"/>
      <c r="J139" s="192"/>
      <c r="K139" s="217">
        <f>K113-K137</f>
        <v>0</v>
      </c>
      <c r="N139" s="187"/>
      <c r="O139" s="187"/>
      <c r="U139" s="191"/>
    </row>
    <row r="140" spans="2:21" ht="12.6" customHeight="1">
      <c r="E140" s="219"/>
      <c r="H140" s="219"/>
      <c r="I140" s="191"/>
      <c r="J140" s="191"/>
      <c r="K140" s="219"/>
      <c r="N140" s="190"/>
      <c r="O140" s="190"/>
      <c r="U140" s="191"/>
    </row>
    <row r="141" spans="2:21" ht="12.6" customHeight="1" thickBot="1">
      <c r="B141" s="72" t="s">
        <v>257</v>
      </c>
      <c r="D141" s="95" t="s">
        <v>246</v>
      </c>
      <c r="E141" s="221">
        <f>SUM(E93,E139)</f>
        <v>0</v>
      </c>
      <c r="G141" s="95" t="s">
        <v>246</v>
      </c>
      <c r="H141" s="221">
        <f>SUM(H93,H139)</f>
        <v>0</v>
      </c>
      <c r="I141" s="191"/>
      <c r="J141" s="193" t="s">
        <v>246</v>
      </c>
      <c r="K141" s="221">
        <f>SUM(K93,K139)</f>
        <v>0</v>
      </c>
      <c r="N141" s="187"/>
      <c r="O141" s="187"/>
      <c r="U141" s="191"/>
    </row>
    <row r="142" spans="2:21" ht="12.6" customHeight="1" thickTop="1">
      <c r="U142" s="191"/>
    </row>
    <row r="143" spans="2:21" ht="12.6" customHeight="1">
      <c r="B143" s="72" t="s">
        <v>435</v>
      </c>
    </row>
    <row r="144" spans="2:21" ht="96" customHeight="1">
      <c r="B144" s="1180" t="str">
        <f>IF((T114=48),"N/A","Answer Required")</f>
        <v>N/A</v>
      </c>
      <c r="C144" s="1181"/>
      <c r="D144" s="1181"/>
      <c r="E144" s="1181"/>
      <c r="F144" s="1181"/>
      <c r="G144" s="1181"/>
      <c r="H144" s="1181"/>
      <c r="I144" s="1181"/>
      <c r="J144" s="1181"/>
      <c r="K144" s="1181"/>
      <c r="L144" s="1181"/>
      <c r="M144" s="1181"/>
      <c r="N144" s="1182"/>
      <c r="O144" s="281"/>
    </row>
    <row r="145" spans="2:15" ht="12.75">
      <c r="B145" s="278"/>
      <c r="C145" s="279"/>
      <c r="D145" s="279"/>
      <c r="E145" s="279"/>
      <c r="F145" s="279"/>
      <c r="G145" s="279"/>
      <c r="H145" s="279"/>
      <c r="I145" s="279"/>
      <c r="J145" s="279"/>
      <c r="K145" s="279"/>
      <c r="L145" s="279"/>
      <c r="M145" s="279"/>
      <c r="N145" s="279"/>
      <c r="O145" s="279"/>
    </row>
    <row r="146" spans="2:15" ht="12.75">
      <c r="B146" s="278"/>
      <c r="C146" s="279"/>
      <c r="D146" s="279"/>
      <c r="E146" s="279"/>
      <c r="F146" s="279"/>
      <c r="G146" s="279"/>
      <c r="H146" s="279"/>
      <c r="I146" s="279"/>
      <c r="J146" s="279"/>
      <c r="K146" s="279"/>
      <c r="L146" s="279"/>
      <c r="M146" s="279"/>
      <c r="N146" s="279"/>
      <c r="O146" s="279"/>
    </row>
    <row r="147" spans="2:15" ht="12.75">
      <c r="B147" s="120" t="s">
        <v>430</v>
      </c>
      <c r="C147" s="280"/>
      <c r="D147" s="280"/>
      <c r="E147" s="280"/>
      <c r="F147" s="281"/>
      <c r="G147" s="281"/>
      <c r="H147" s="281"/>
      <c r="I147" s="281"/>
      <c r="J147" s="281"/>
      <c r="K147" s="281"/>
      <c r="L147" s="281"/>
      <c r="M147" s="281"/>
      <c r="N147" s="281"/>
      <c r="O147" s="281"/>
    </row>
    <row r="148" spans="2:15" ht="12" customHeight="1">
      <c r="B148" s="72" t="s">
        <v>453</v>
      </c>
      <c r="C148" s="1185"/>
      <c r="D148" s="1186"/>
      <c r="E148" s="1187"/>
      <c r="H148" s="1188" t="s">
        <v>480</v>
      </c>
      <c r="I148" s="1188"/>
      <c r="J148" s="1188"/>
      <c r="K148" s="1188"/>
      <c r="L148" s="1188"/>
      <c r="M148" s="1188"/>
      <c r="N148" s="1188"/>
      <c r="O148" s="851"/>
    </row>
    <row r="149" spans="2:15" ht="12.6" customHeight="1">
      <c r="H149" s="96"/>
    </row>
    <row r="150" spans="2:15" ht="168" customHeight="1">
      <c r="B150" s="1189" t="s">
        <v>3769</v>
      </c>
      <c r="C150" s="1190"/>
      <c r="D150" s="1190"/>
      <c r="E150" s="1190"/>
      <c r="F150" s="1190"/>
      <c r="G150" s="1190"/>
      <c r="H150" s="1190"/>
      <c r="I150" s="1190"/>
      <c r="J150" s="1190"/>
      <c r="K150" s="1190"/>
      <c r="L150" s="1190"/>
      <c r="M150" s="1190"/>
      <c r="N150" s="1190"/>
      <c r="O150" s="376"/>
    </row>
    <row r="151" spans="2:15" ht="12.6" customHeight="1">
      <c r="B151" s="852"/>
      <c r="C151" s="364"/>
      <c r="D151" s="364"/>
      <c r="E151" s="364"/>
      <c r="F151" s="364"/>
      <c r="G151" s="364"/>
      <c r="H151" s="364"/>
      <c r="I151" s="364"/>
      <c r="J151" s="364"/>
      <c r="K151" s="364"/>
      <c r="L151" s="364"/>
      <c r="M151" s="364"/>
      <c r="N151" s="364"/>
      <c r="O151" s="365"/>
    </row>
    <row r="152" spans="2:15" ht="34.15" customHeight="1">
      <c r="B152" s="1183" t="s">
        <v>3795</v>
      </c>
      <c r="C152" s="1191"/>
      <c r="D152" s="1191"/>
      <c r="E152" s="1191"/>
      <c r="F152" s="1191"/>
      <c r="G152" s="1191"/>
      <c r="H152" s="1191"/>
      <c r="I152" s="1191"/>
      <c r="J152" s="1191"/>
      <c r="K152" s="1191"/>
      <c r="L152" s="1191"/>
      <c r="M152" s="1191"/>
      <c r="N152" s="1191"/>
      <c r="O152" s="371"/>
    </row>
    <row r="153" spans="2:15" ht="13.9" customHeight="1">
      <c r="B153" s="97"/>
      <c r="E153" s="366"/>
      <c r="H153" s="366"/>
      <c r="K153" s="366"/>
      <c r="N153" s="366"/>
      <c r="O153" s="367"/>
    </row>
    <row r="154" spans="2:15" ht="45.6" customHeight="1">
      <c r="B154" s="1183" t="s">
        <v>3362</v>
      </c>
      <c r="C154" s="1184"/>
      <c r="D154" s="1184"/>
      <c r="E154" s="1184"/>
      <c r="F154" s="1184"/>
      <c r="G154" s="1184"/>
      <c r="H154" s="1184"/>
      <c r="I154" s="1184"/>
      <c r="J154" s="1184"/>
      <c r="K154" s="1184"/>
      <c r="L154" s="1184"/>
      <c r="M154" s="1184"/>
      <c r="N154" s="1184"/>
      <c r="O154" s="372"/>
    </row>
    <row r="155" spans="2:15" ht="12.6" customHeight="1">
      <c r="B155" s="97"/>
      <c r="E155" s="77"/>
      <c r="H155" s="77"/>
      <c r="K155" s="77"/>
      <c r="N155" s="77"/>
      <c r="O155" s="98"/>
    </row>
    <row r="156" spans="2:15" ht="12.6" customHeight="1">
      <c r="B156" s="1194" t="s">
        <v>571</v>
      </c>
      <c r="C156" s="1195"/>
      <c r="D156" s="1195"/>
      <c r="E156" s="1195"/>
      <c r="F156" s="1195"/>
      <c r="G156" s="1195"/>
      <c r="H156" s="1195"/>
      <c r="I156" s="1195"/>
      <c r="J156" s="1195"/>
      <c r="K156" s="1195"/>
      <c r="L156" s="1195"/>
      <c r="M156" s="1195"/>
      <c r="N156" s="1195"/>
      <c r="O156" s="363"/>
    </row>
    <row r="157" spans="2:15" ht="12.6" customHeight="1">
      <c r="B157" s="97"/>
      <c r="E157" s="77"/>
      <c r="H157" s="301" t="s">
        <v>573</v>
      </c>
      <c r="N157" s="77"/>
      <c r="O157" s="98"/>
    </row>
    <row r="158" spans="2:15" ht="12.6" customHeight="1">
      <c r="B158" s="97"/>
      <c r="E158" s="72" t="s">
        <v>252</v>
      </c>
      <c r="H158" s="99" t="s">
        <v>168</v>
      </c>
      <c r="N158" s="77"/>
      <c r="O158" s="98"/>
    </row>
    <row r="159" spans="2:15" ht="12.6" customHeight="1">
      <c r="B159" s="97"/>
      <c r="E159" s="72" t="s">
        <v>253</v>
      </c>
      <c r="H159" s="99" t="s">
        <v>169</v>
      </c>
      <c r="N159" s="77"/>
      <c r="O159" s="98"/>
    </row>
    <row r="160" spans="2:15" ht="12.6" customHeight="1">
      <c r="B160" s="97"/>
      <c r="E160" s="72" t="s">
        <v>254</v>
      </c>
      <c r="H160" s="99" t="s">
        <v>572</v>
      </c>
      <c r="N160" s="77"/>
      <c r="O160" s="98"/>
    </row>
    <row r="161" spans="2:15" ht="12.6" customHeight="1">
      <c r="B161" s="97"/>
      <c r="E161" s="380" t="s">
        <v>503</v>
      </c>
      <c r="H161" s="99"/>
      <c r="K161" s="72" t="s">
        <v>416</v>
      </c>
      <c r="N161" s="77"/>
      <c r="O161" s="98"/>
    </row>
    <row r="162" spans="2:15" ht="12.6" customHeight="1">
      <c r="B162" s="97"/>
      <c r="E162" s="381" t="s">
        <v>347</v>
      </c>
      <c r="H162" s="99"/>
      <c r="K162" s="988"/>
      <c r="N162" s="77"/>
      <c r="O162" s="98"/>
    </row>
    <row r="163" spans="2:15" ht="12.6" customHeight="1">
      <c r="B163" s="97"/>
      <c r="E163" s="530" t="s">
        <v>932</v>
      </c>
      <c r="H163" s="99"/>
      <c r="K163" s="987"/>
      <c r="N163" s="77"/>
      <c r="O163" s="98"/>
    </row>
    <row r="164" spans="2:15" ht="12.6" customHeight="1">
      <c r="B164" s="97"/>
      <c r="E164" s="381" t="s">
        <v>419</v>
      </c>
      <c r="H164" s="99"/>
      <c r="K164" s="987"/>
      <c r="N164" s="77"/>
      <c r="O164" s="98"/>
    </row>
    <row r="165" spans="2:15" ht="12.6" customHeight="1">
      <c r="B165" s="97"/>
      <c r="E165" s="530" t="s">
        <v>3363</v>
      </c>
      <c r="H165" s="99"/>
      <c r="K165" s="987"/>
      <c r="N165" s="77"/>
      <c r="O165" s="98"/>
    </row>
    <row r="166" spans="2:15" ht="12.75" hidden="1">
      <c r="B166" s="97"/>
      <c r="D166" s="827"/>
      <c r="E166" s="1196" t="str">
        <f>IF(K165="","N/A","Answer Required")</f>
        <v>N/A</v>
      </c>
      <c r="F166" s="1197"/>
      <c r="G166" s="1197"/>
      <c r="H166" s="1198"/>
      <c r="I166" s="97"/>
      <c r="K166" s="77"/>
      <c r="N166" s="77"/>
      <c r="O166" s="98"/>
    </row>
    <row r="167" spans="2:15" ht="12.6" customHeight="1">
      <c r="B167" s="97"/>
      <c r="E167" s="434" t="s">
        <v>3340</v>
      </c>
      <c r="H167" s="859"/>
      <c r="K167" s="72" t="s">
        <v>416</v>
      </c>
      <c r="N167" s="77"/>
      <c r="O167" s="98"/>
    </row>
    <row r="168" spans="2:15" ht="12.6" customHeight="1">
      <c r="B168" s="97"/>
      <c r="E168" s="530" t="s">
        <v>3341</v>
      </c>
      <c r="H168" s="859"/>
      <c r="K168" s="392"/>
      <c r="N168" s="77"/>
      <c r="O168" s="98"/>
    </row>
    <row r="169" spans="2:15" ht="12.6" customHeight="1">
      <c r="B169" s="97"/>
      <c r="E169" s="530" t="s">
        <v>3342</v>
      </c>
      <c r="H169" s="859"/>
      <c r="K169" s="392"/>
      <c r="N169" s="77"/>
      <c r="O169" s="98"/>
    </row>
    <row r="170" spans="2:15" ht="12.6" customHeight="1">
      <c r="B170" s="97"/>
      <c r="E170" s="530" t="s">
        <v>3343</v>
      </c>
      <c r="H170" s="859"/>
      <c r="K170" s="392"/>
      <c r="N170" s="77"/>
      <c r="O170" s="98"/>
    </row>
    <row r="171" spans="2:15" ht="12.6" customHeight="1">
      <c r="B171" s="97"/>
      <c r="E171" s="530" t="s">
        <v>3344</v>
      </c>
      <c r="H171" s="859"/>
      <c r="K171" s="392"/>
      <c r="N171" s="77"/>
      <c r="O171" s="98"/>
    </row>
    <row r="172" spans="2:15" ht="12.6" customHeight="1">
      <c r="B172" s="97"/>
      <c r="E172" s="530" t="s">
        <v>3364</v>
      </c>
      <c r="H172" s="859"/>
      <c r="K172" s="392"/>
      <c r="N172" s="77"/>
      <c r="O172" s="98"/>
    </row>
    <row r="173" spans="2:15" ht="12.6" hidden="1" customHeight="1">
      <c r="B173" s="97"/>
      <c r="E173" s="1199" t="str">
        <f>IF(K172="","N/A","Answer Required")</f>
        <v>N/A</v>
      </c>
      <c r="F173" s="1200"/>
      <c r="G173" s="1200"/>
      <c r="H173" s="1201"/>
      <c r="K173" s="828"/>
      <c r="N173" s="77"/>
      <c r="O173" s="98"/>
    </row>
    <row r="174" spans="2:15" ht="12.6" customHeight="1">
      <c r="B174" s="97"/>
      <c r="E174" s="434" t="s">
        <v>3395</v>
      </c>
      <c r="F174" s="927"/>
      <c r="G174" s="927"/>
      <c r="H174" s="927"/>
      <c r="K174" s="392"/>
      <c r="N174" s="77"/>
      <c r="O174" s="98"/>
    </row>
    <row r="175" spans="2:15" ht="12.6" customHeight="1">
      <c r="B175" s="97"/>
      <c r="E175" s="926"/>
      <c r="F175" s="927"/>
      <c r="G175" s="927"/>
      <c r="H175" s="927"/>
      <c r="K175" s="77"/>
      <c r="N175" s="77"/>
      <c r="O175" s="98"/>
    </row>
    <row r="176" spans="2:15" ht="34.9" customHeight="1">
      <c r="B176" s="1183" t="s">
        <v>3382</v>
      </c>
      <c r="C176" s="1184"/>
      <c r="D176" s="1184"/>
      <c r="E176" s="1184"/>
      <c r="F176" s="1184"/>
      <c r="G176" s="1184"/>
      <c r="H176" s="1184"/>
      <c r="I176" s="1184"/>
      <c r="J176" s="1184"/>
      <c r="K176" s="1184"/>
      <c r="L176" s="1184"/>
      <c r="M176" s="1184"/>
      <c r="N176" s="1184"/>
      <c r="O176" s="98"/>
    </row>
    <row r="177" spans="2:17" ht="11.25">
      <c r="B177" s="100"/>
      <c r="C177" s="93"/>
      <c r="D177" s="93"/>
      <c r="E177" s="93"/>
      <c r="F177" s="93"/>
      <c r="G177" s="93"/>
      <c r="H177" s="93"/>
      <c r="I177" s="93"/>
      <c r="J177" s="93"/>
      <c r="K177" s="94"/>
      <c r="L177" s="93"/>
      <c r="M177" s="93"/>
      <c r="N177" s="94"/>
      <c r="O177" s="101"/>
    </row>
    <row r="180" spans="2:17" ht="24" customHeight="1">
      <c r="B180" s="1205" t="s">
        <v>45</v>
      </c>
      <c r="C180" s="1206"/>
      <c r="D180" s="1206"/>
      <c r="E180" s="1206"/>
      <c r="F180" s="1206"/>
      <c r="G180" s="1206"/>
      <c r="H180" s="1206"/>
      <c r="I180" s="1206"/>
      <c r="J180" s="1206"/>
      <c r="K180" s="1206"/>
      <c r="L180" s="1206"/>
      <c r="M180" s="1206"/>
      <c r="N180" s="1206"/>
      <c r="O180" s="1206"/>
    </row>
    <row r="181" spans="2:17" ht="99.75" customHeight="1">
      <c r="B181" s="1202" t="str">
        <f>IF(C148="No","Answer Required", "N/A")</f>
        <v>N/A</v>
      </c>
      <c r="C181" s="1203"/>
      <c r="D181" s="1203"/>
      <c r="E181" s="1203"/>
      <c r="F181" s="1203"/>
      <c r="G181" s="1203"/>
      <c r="H181" s="1203"/>
      <c r="I181" s="1203"/>
      <c r="J181" s="1203"/>
      <c r="K181" s="1203"/>
      <c r="L181" s="1203"/>
      <c r="M181" s="1203"/>
      <c r="N181" s="1203"/>
      <c r="O181" s="1204"/>
    </row>
    <row r="183" spans="2:17" ht="12.6" hidden="1" customHeight="1"/>
    <row r="184" spans="2:17" ht="12.6" hidden="1" customHeight="1">
      <c r="B184" s="120" t="s">
        <v>940</v>
      </c>
    </row>
    <row r="185" spans="2:17" ht="12.6" hidden="1" customHeight="1"/>
    <row r="186" spans="2:17" ht="12.6" hidden="1" customHeight="1">
      <c r="B186" s="434" t="s">
        <v>3331</v>
      </c>
      <c r="N186" s="1185" t="str">
        <f>IF($E$78&gt;0,"Answer Required",IF($N$78&gt;0,"Answer Required","N/A"))</f>
        <v>N/A</v>
      </c>
      <c r="O186" s="1186"/>
      <c r="P186" s="1187"/>
    </row>
    <row r="187" spans="2:17" ht="12.6" hidden="1" customHeight="1">
      <c r="K187" s="72"/>
      <c r="N187" s="72"/>
      <c r="O187" s="72"/>
    </row>
    <row r="188" spans="2:17" ht="22.5" hidden="1" customHeight="1">
      <c r="K188" s="88"/>
      <c r="N188" s="550" t="s">
        <v>941</v>
      </c>
      <c r="O188" s="550"/>
      <c r="P188" s="556" t="s">
        <v>942</v>
      </c>
    </row>
    <row r="189" spans="2:17" ht="12.6" hidden="1" customHeight="1">
      <c r="B189" s="434" t="s">
        <v>3332</v>
      </c>
      <c r="M189" s="434" t="s">
        <v>246</v>
      </c>
      <c r="N189" s="393"/>
      <c r="O189" s="379"/>
      <c r="P189" s="395"/>
    </row>
    <row r="190" spans="2:17" ht="12.6" hidden="1" customHeight="1"/>
    <row r="191" spans="2:17" ht="12.6" customHeight="1">
      <c r="B191" s="120" t="s">
        <v>3397</v>
      </c>
      <c r="E191" s="108"/>
      <c r="H191" s="108"/>
      <c r="K191" s="108"/>
      <c r="N191" s="108"/>
      <c r="O191" s="108"/>
    </row>
    <row r="192" spans="2:17" ht="12.6" customHeight="1">
      <c r="B192" s="120" t="s">
        <v>3396</v>
      </c>
      <c r="E192" s="108"/>
      <c r="H192" s="108"/>
      <c r="K192" s="108"/>
      <c r="N192" s="108"/>
      <c r="O192" s="108"/>
      <c r="Q192" s="434"/>
    </row>
    <row r="193" spans="2:16" ht="12.6" customHeight="1">
      <c r="B193" s="250" t="s">
        <v>782</v>
      </c>
    </row>
    <row r="195" spans="2:16" ht="12.6" customHeight="1">
      <c r="B195" s="434" t="s">
        <v>3789</v>
      </c>
    </row>
    <row r="196" spans="2:16" ht="12.6" customHeight="1">
      <c r="B196" s="434" t="s">
        <v>3398</v>
      </c>
      <c r="K196" s="88" t="s">
        <v>526</v>
      </c>
      <c r="N196" s="642" t="str">
        <f>IF($E$78&gt;0,"Answer Required",IF($N$78&gt;0,"Answer Required","N/A"))</f>
        <v>N/A</v>
      </c>
      <c r="O196"/>
      <c r="P196"/>
    </row>
    <row r="197" spans="2:16" ht="12.6" customHeight="1">
      <c r="B197" s="235"/>
    </row>
    <row r="198" spans="2:16" ht="24" customHeight="1">
      <c r="B198" s="1192" t="s">
        <v>951</v>
      </c>
      <c r="C198" s="1193"/>
      <c r="D198" s="1193"/>
      <c r="E198" s="1193"/>
      <c r="F198" s="1193"/>
      <c r="G198" s="1193"/>
      <c r="H198" s="1193"/>
      <c r="I198" s="1193"/>
      <c r="J198" s="1193"/>
      <c r="K198" s="1193"/>
      <c r="L198" s="1193"/>
      <c r="M198" s="1193"/>
      <c r="N198" s="1193"/>
      <c r="O198" s="853"/>
    </row>
    <row r="199" spans="2:16" ht="66" customHeight="1">
      <c r="B199" s="1165" t="str">
        <f>IF(N196="Yes","Answer Required","N/A")</f>
        <v>N/A</v>
      </c>
      <c r="C199" s="1166"/>
      <c r="D199" s="1166"/>
      <c r="E199" s="1166"/>
      <c r="F199" s="1166"/>
      <c r="G199" s="1166"/>
      <c r="H199" s="1166"/>
      <c r="I199" s="1166"/>
      <c r="J199" s="1166"/>
      <c r="K199" s="1166"/>
      <c r="L199" s="1166"/>
      <c r="M199" s="1166"/>
      <c r="N199" s="1167"/>
      <c r="O199" s="126"/>
    </row>
    <row r="201" spans="2:16" ht="12.6" customHeight="1">
      <c r="B201" s="72" t="s">
        <v>367</v>
      </c>
    </row>
    <row r="202" spans="2:16" ht="12.6" customHeight="1">
      <c r="B202" s="72" t="s">
        <v>527</v>
      </c>
      <c r="K202" s="88" t="s">
        <v>526</v>
      </c>
      <c r="N202" s="642" t="str">
        <f>IF($N$196="Yes","Answer Required","N/A")</f>
        <v>N/A</v>
      </c>
      <c r="O202" s="108"/>
    </row>
    <row r="203" spans="2:16" ht="12.6" customHeight="1">
      <c r="B203" s="72" t="s">
        <v>368</v>
      </c>
      <c r="K203" s="236"/>
      <c r="N203" s="108"/>
      <c r="O203" s="108"/>
    </row>
    <row r="204" spans="2:16" ht="12.6" customHeight="1">
      <c r="K204" s="236"/>
      <c r="N204" s="108"/>
      <c r="O204" s="108"/>
    </row>
    <row r="205" spans="2:16" ht="12.6" customHeight="1">
      <c r="B205" s="72" t="s">
        <v>370</v>
      </c>
      <c r="K205" s="88" t="s">
        <v>526</v>
      </c>
      <c r="N205" s="642" t="str">
        <f>IF($N$202="Yes","Answer Required","N/A")</f>
        <v>N/A</v>
      </c>
      <c r="O205" s="108"/>
    </row>
    <row r="206" spans="2:16" ht="12.6" customHeight="1">
      <c r="B206" s="72" t="s">
        <v>371</v>
      </c>
      <c r="O206" s="96"/>
    </row>
    <row r="207" spans="2:16" ht="12.6" customHeight="1">
      <c r="O207" s="96"/>
    </row>
    <row r="208" spans="2:16" ht="12.6" customHeight="1">
      <c r="B208" s="72" t="s">
        <v>372</v>
      </c>
      <c r="K208" s="96"/>
      <c r="N208" s="108"/>
      <c r="O208" s="108"/>
    </row>
    <row r="209" spans="2:15" ht="12.6" customHeight="1">
      <c r="B209" s="434" t="s">
        <v>3399</v>
      </c>
      <c r="K209" s="88" t="s">
        <v>526</v>
      </c>
      <c r="N209" s="642" t="str">
        <f>IF($N$205="Yes","Answer Required","N/A")</f>
        <v>N/A</v>
      </c>
      <c r="O209" s="108"/>
    </row>
    <row r="210" spans="2:15" ht="12.6" customHeight="1">
      <c r="N210" s="108"/>
      <c r="O210" s="108"/>
    </row>
    <row r="211" spans="2:15" ht="12.6" customHeight="1">
      <c r="B211" s="434" t="s">
        <v>3383</v>
      </c>
    </row>
    <row r="212" spans="2:15" ht="12.6" customHeight="1">
      <c r="B212" s="434" t="s">
        <v>3770</v>
      </c>
    </row>
    <row r="213" spans="2:15" ht="68.25" customHeight="1">
      <c r="H213" s="268" t="s">
        <v>531</v>
      </c>
      <c r="K213" s="237" t="s">
        <v>495</v>
      </c>
      <c r="N213" s="550" t="s">
        <v>950</v>
      </c>
      <c r="O213" s="237"/>
    </row>
    <row r="214" spans="2:15" ht="12.6" customHeight="1">
      <c r="H214" s="88" t="s">
        <v>64</v>
      </c>
      <c r="K214" s="393"/>
      <c r="N214" s="393"/>
      <c r="O214" s="377"/>
    </row>
    <row r="215" spans="2:15" ht="12.6" customHeight="1">
      <c r="H215" s="88" t="s">
        <v>532</v>
      </c>
      <c r="K215" s="393"/>
      <c r="N215" s="393"/>
      <c r="O215" s="377"/>
    </row>
    <row r="216" spans="2:15" ht="12.6" customHeight="1">
      <c r="H216" s="88" t="s">
        <v>533</v>
      </c>
      <c r="K216" s="393"/>
      <c r="N216" s="393"/>
      <c r="O216" s="377"/>
    </row>
    <row r="217" spans="2:15" ht="12.6" customHeight="1">
      <c r="H217" s="88"/>
      <c r="K217" s="936"/>
      <c r="N217" s="936"/>
      <c r="O217" s="377"/>
    </row>
    <row r="218" spans="2:15" ht="12.6" customHeight="1">
      <c r="B218" s="250" t="s">
        <v>504</v>
      </c>
      <c r="N218" s="936"/>
      <c r="O218" s="377"/>
    </row>
    <row r="219" spans="2:15" ht="12.6" customHeight="1">
      <c r="B219" s="10" t="s">
        <v>534</v>
      </c>
      <c r="C219" s="10"/>
      <c r="D219" s="10"/>
      <c r="E219" s="10"/>
      <c r="F219" s="10"/>
      <c r="G219" s="10"/>
      <c r="H219" s="10"/>
      <c r="I219" s="10"/>
      <c r="J219" s="10"/>
      <c r="K219" s="10"/>
      <c r="N219" s="936"/>
      <c r="O219" s="377"/>
    </row>
    <row r="220" spans="2:15" ht="12.6" customHeight="1">
      <c r="B220" s="251" t="s">
        <v>505</v>
      </c>
      <c r="C220" s="10"/>
      <c r="D220" s="10"/>
      <c r="E220" s="10"/>
      <c r="F220" s="10"/>
      <c r="G220" s="10"/>
      <c r="H220" s="10"/>
      <c r="I220" s="10"/>
      <c r="J220" s="10"/>
      <c r="K220" s="10"/>
      <c r="L220" s="91"/>
      <c r="M220" s="91"/>
      <c r="N220" s="238"/>
      <c r="O220" s="238"/>
    </row>
    <row r="221" spans="2:15" ht="12.6" customHeight="1">
      <c r="B221" s="251"/>
      <c r="C221" s="10"/>
      <c r="D221" s="10"/>
      <c r="E221" s="10"/>
      <c r="F221" s="10"/>
      <c r="G221" s="10"/>
      <c r="H221" s="10"/>
      <c r="I221" s="10"/>
      <c r="J221" s="10"/>
      <c r="K221" s="10"/>
      <c r="L221" s="91"/>
      <c r="M221" s="91"/>
      <c r="N221" s="238"/>
      <c r="O221" s="238"/>
    </row>
    <row r="222" spans="2:15" s="434" customFormat="1" ht="12.6" customHeight="1">
      <c r="B222" s="434" t="s">
        <v>3384</v>
      </c>
      <c r="D222" s="835"/>
      <c r="G222" s="834"/>
      <c r="J222" s="830"/>
      <c r="M222" s="831"/>
      <c r="N222" s="831"/>
      <c r="O222" s="832"/>
    </row>
    <row r="223" spans="2:15" s="434" customFormat="1" ht="12.6" customHeight="1">
      <c r="B223" s="434" t="s">
        <v>3559</v>
      </c>
      <c r="D223" s="835"/>
      <c r="G223" s="834"/>
      <c r="J223" s="830"/>
      <c r="M223" s="831"/>
      <c r="N223" s="831"/>
      <c r="O223" s="832"/>
    </row>
    <row r="224" spans="2:15" s="434" customFormat="1" ht="12.6" customHeight="1">
      <c r="D224" s="540"/>
      <c r="G224" s="829"/>
      <c r="J224" s="830"/>
      <c r="M224" s="831"/>
      <c r="N224" s="831"/>
      <c r="O224" s="832"/>
    </row>
    <row r="225" spans="2:16" s="434" customFormat="1" ht="9.75" customHeight="1">
      <c r="D225" s="540"/>
      <c r="G225" s="829"/>
      <c r="I225" s="268"/>
      <c r="J225" s="550"/>
      <c r="M225" s="831"/>
      <c r="N225" s="831"/>
      <c r="O225" s="832"/>
    </row>
    <row r="226" spans="2:16" s="434" customFormat="1" ht="12.6" customHeight="1">
      <c r="D226" s="835"/>
      <c r="G226" s="834"/>
      <c r="I226" s="834" t="s">
        <v>3345</v>
      </c>
      <c r="J226" s="830"/>
      <c r="K226" s="833"/>
      <c r="M226" s="831"/>
      <c r="N226" s="831"/>
      <c r="O226" s="832"/>
    </row>
    <row r="227" spans="2:16" s="434" customFormat="1" ht="12.6" customHeight="1">
      <c r="D227" s="835"/>
      <c r="G227" s="834"/>
      <c r="I227" s="834" t="s">
        <v>3411</v>
      </c>
      <c r="J227" s="830"/>
      <c r="K227" s="833"/>
      <c r="M227" s="831"/>
      <c r="N227" s="831"/>
      <c r="O227" s="832"/>
    </row>
    <row r="228" spans="2:16" s="434" customFormat="1" ht="12.6" customHeight="1">
      <c r="D228" s="835"/>
      <c r="G228" s="834"/>
      <c r="I228" s="834"/>
      <c r="J228" s="830"/>
      <c r="K228" s="934"/>
      <c r="M228" s="831"/>
      <c r="N228" s="831"/>
      <c r="O228" s="832"/>
    </row>
    <row r="229" spans="2:16" s="434" customFormat="1" ht="12.6" customHeight="1">
      <c r="B229" s="434" t="s">
        <v>3409</v>
      </c>
      <c r="D229" s="835"/>
      <c r="G229" s="834"/>
      <c r="J229" s="830"/>
      <c r="M229" s="831"/>
      <c r="N229" s="831"/>
      <c r="O229" s="832"/>
    </row>
    <row r="230" spans="2:16" s="434" customFormat="1" ht="12.6" customHeight="1">
      <c r="B230" s="434" t="s">
        <v>3559</v>
      </c>
      <c r="D230" s="835"/>
      <c r="G230" s="834"/>
      <c r="J230" s="830"/>
      <c r="M230" s="831"/>
      <c r="N230" s="831"/>
      <c r="O230" s="832"/>
    </row>
    <row r="231" spans="2:16" s="434" customFormat="1" ht="12.6" customHeight="1">
      <c r="D231" s="540"/>
      <c r="G231" s="829"/>
      <c r="J231" s="830"/>
      <c r="M231" s="831"/>
      <c r="N231" s="831"/>
      <c r="O231" s="832"/>
    </row>
    <row r="232" spans="2:16" s="434" customFormat="1" ht="12.6" customHeight="1">
      <c r="D232" s="540"/>
      <c r="G232" s="829"/>
      <c r="I232" s="268"/>
      <c r="J232" s="550"/>
      <c r="M232" s="831"/>
      <c r="N232" s="831"/>
      <c r="O232" s="832"/>
    </row>
    <row r="233" spans="2:16" s="434" customFormat="1" ht="12.6" customHeight="1">
      <c r="D233" s="835"/>
      <c r="G233" s="834"/>
      <c r="I233" s="834" t="s">
        <v>3410</v>
      </c>
      <c r="J233" s="830"/>
      <c r="K233" s="833"/>
      <c r="M233" s="831"/>
      <c r="N233" s="831"/>
      <c r="O233" s="832"/>
    </row>
    <row r="234" spans="2:16" s="434" customFormat="1" ht="12.6" customHeight="1">
      <c r="D234" s="835"/>
      <c r="G234" s="834"/>
      <c r="I234" s="834" t="s">
        <v>3411</v>
      </c>
      <c r="J234" s="830"/>
      <c r="K234" s="833"/>
      <c r="M234" s="831"/>
      <c r="N234" s="831"/>
      <c r="O234" s="832"/>
    </row>
    <row r="235" spans="2:16" s="434" customFormat="1" ht="12.6" customHeight="1">
      <c r="D235" s="835"/>
      <c r="G235" s="834"/>
      <c r="I235" s="834"/>
      <c r="J235" s="830"/>
      <c r="K235" s="934"/>
      <c r="M235" s="831"/>
      <c r="N235" s="831"/>
      <c r="O235" s="832"/>
    </row>
    <row r="236" spans="2:16" s="434" customFormat="1" ht="12.6" customHeight="1">
      <c r="B236" s="10" t="s">
        <v>373</v>
      </c>
      <c r="D236" s="835"/>
      <c r="G236" s="834"/>
      <c r="I236" s="834"/>
      <c r="J236" s="830"/>
      <c r="K236" s="934"/>
      <c r="M236" s="831"/>
      <c r="N236" s="831"/>
      <c r="O236" s="832"/>
    </row>
    <row r="237" spans="2:16" s="434" customFormat="1" ht="39.75" customHeight="1">
      <c r="B237" s="1165" t="str">
        <f>IF(N209="No","Answer Required","N/A")</f>
        <v>N/A</v>
      </c>
      <c r="C237" s="1166"/>
      <c r="D237" s="1166"/>
      <c r="E237" s="1166"/>
      <c r="F237" s="1166"/>
      <c r="G237" s="1166"/>
      <c r="H237" s="1166"/>
      <c r="I237" s="1166"/>
      <c r="J237" s="1166"/>
      <c r="K237" s="1166"/>
      <c r="L237" s="1166"/>
      <c r="M237" s="1166"/>
      <c r="N237" s="1167"/>
      <c r="O237" s="832"/>
    </row>
    <row r="238" spans="2:16" s="434" customFormat="1" ht="21" customHeight="1">
      <c r="D238" s="540"/>
      <c r="G238" s="834"/>
      <c r="I238" s="834"/>
      <c r="J238" s="830"/>
      <c r="M238" s="831"/>
      <c r="N238" s="831"/>
      <c r="O238" s="832"/>
    </row>
    <row r="239" spans="2:16" ht="12.6" customHeight="1">
      <c r="B239" s="8" t="s">
        <v>535</v>
      </c>
      <c r="C239" s="10"/>
      <c r="D239" s="10"/>
      <c r="E239" s="10"/>
      <c r="F239" s="10"/>
      <c r="G239" s="10"/>
      <c r="H239" s="10"/>
      <c r="I239" s="10"/>
      <c r="J239" s="10"/>
      <c r="K239" s="10"/>
      <c r="L239" s="10"/>
      <c r="M239" s="10"/>
      <c r="N239" s="10"/>
      <c r="O239" s="10"/>
      <c r="P239" s="12"/>
    </row>
    <row r="240" spans="2:16" ht="12.6" customHeight="1">
      <c r="B240" s="10"/>
      <c r="C240" s="10"/>
      <c r="D240" s="10"/>
      <c r="E240" s="10"/>
      <c r="F240" s="10"/>
      <c r="G240" s="10"/>
      <c r="H240" s="10"/>
      <c r="I240" s="10"/>
      <c r="J240" s="10"/>
      <c r="K240" s="10"/>
      <c r="L240" s="10"/>
      <c r="M240" s="10"/>
      <c r="N240" s="10"/>
      <c r="O240" s="10"/>
      <c r="P240" s="12"/>
    </row>
    <row r="241" spans="1:16" ht="12.6" customHeight="1">
      <c r="B241" s="72" t="s">
        <v>537</v>
      </c>
    </row>
    <row r="242" spans="1:16" ht="21" customHeight="1">
      <c r="N242" s="237" t="s">
        <v>538</v>
      </c>
      <c r="O242" s="237"/>
      <c r="P242" s="239" t="s">
        <v>539</v>
      </c>
    </row>
    <row r="243" spans="1:16" ht="12.6" customHeight="1">
      <c r="K243" s="88" t="s">
        <v>526</v>
      </c>
      <c r="N243" s="472" t="str">
        <f>IF($N$202="Yes","Answer Required","N/A")</f>
        <v>N/A</v>
      </c>
      <c r="O243" s="378"/>
      <c r="P243" s="471" t="str">
        <f>IF($N$202="Yes","Answer Required","N/A")</f>
        <v>N/A</v>
      </c>
    </row>
    <row r="244" spans="1:16" ht="12.6" customHeight="1">
      <c r="B244" s="72" t="s">
        <v>374</v>
      </c>
      <c r="M244" s="72" t="s">
        <v>246</v>
      </c>
      <c r="N244" s="394"/>
      <c r="O244" s="379"/>
      <c r="P244" s="395"/>
    </row>
    <row r="245" spans="1:16" ht="12.6" customHeight="1">
      <c r="O245" s="77"/>
    </row>
    <row r="248" spans="1:16" ht="12.6" hidden="1" customHeight="1">
      <c r="N248" s="86" t="s">
        <v>542</v>
      </c>
    </row>
    <row r="249" spans="1:16" ht="12.6" hidden="1" customHeight="1">
      <c r="N249" s="86" t="s">
        <v>270</v>
      </c>
    </row>
    <row r="250" spans="1:16" ht="12.6" hidden="1" customHeight="1">
      <c r="N250" s="86" t="s">
        <v>271</v>
      </c>
    </row>
    <row r="251" spans="1:16" ht="12.6" hidden="1" customHeight="1">
      <c r="N251" s="540" t="s">
        <v>456</v>
      </c>
    </row>
    <row r="252" spans="1:16" ht="12.6" hidden="1" customHeight="1">
      <c r="A252" s="120"/>
      <c r="B252" s="434"/>
    </row>
    <row r="253" spans="1:16" ht="12.6" hidden="1" customHeight="1">
      <c r="A253" s="434"/>
      <c r="B253" s="434"/>
    </row>
    <row r="254" spans="1:16" ht="12.6" hidden="1" customHeight="1">
      <c r="A254" s="434"/>
      <c r="B254" s="434"/>
      <c r="P254" s="556"/>
    </row>
    <row r="255" spans="1:16" ht="12.6" hidden="1" customHeight="1">
      <c r="A255" s="434"/>
      <c r="B255" s="434"/>
      <c r="N255" s="617"/>
      <c r="P255" s="618"/>
    </row>
    <row r="256" spans="1:16" ht="12.6" hidden="1" customHeight="1">
      <c r="A256" s="434"/>
      <c r="B256" s="434"/>
      <c r="P256" s="434"/>
    </row>
    <row r="257" spans="1:16" ht="12.6" hidden="1" customHeight="1">
      <c r="A257" s="434"/>
      <c r="B257" s="434"/>
      <c r="P257" s="434"/>
    </row>
    <row r="258" spans="1:16" ht="12.6" hidden="1" customHeight="1">
      <c r="A258" s="434"/>
      <c r="B258" s="434"/>
      <c r="P258" s="556"/>
    </row>
    <row r="259" spans="1:16" ht="12.6" hidden="1" customHeight="1">
      <c r="A259" s="434"/>
      <c r="B259" s="434"/>
      <c r="N259" s="617"/>
      <c r="P259" s="618"/>
    </row>
  </sheetData>
  <sheetProtection algorithmName="SHA-512" hashValue="UaKyh8ITc3BGDdxl9hMXPH/soZ9URbY8scJQ6EWG7gpYZG6fBF9GbzJbvtxAsY6v6upQOY1p4BeYq98KVg4O1w==" saltValue="E+ea/Joot/jtJ03oWGGkvg==" spinCount="100000" sheet="1" objects="1" scenarios="1"/>
  <mergeCells count="40">
    <mergeCell ref="B198:N198"/>
    <mergeCell ref="B199:N199"/>
    <mergeCell ref="B156:N156"/>
    <mergeCell ref="N186:P186"/>
    <mergeCell ref="E166:H166"/>
    <mergeCell ref="E173:H173"/>
    <mergeCell ref="B176:N176"/>
    <mergeCell ref="B181:O181"/>
    <mergeCell ref="B180:O180"/>
    <mergeCell ref="B144:N144"/>
    <mergeCell ref="B154:N154"/>
    <mergeCell ref="C148:E148"/>
    <mergeCell ref="H148:N148"/>
    <mergeCell ref="B150:N150"/>
    <mergeCell ref="B152:N152"/>
    <mergeCell ref="B7:D7"/>
    <mergeCell ref="M83:N83"/>
    <mergeCell ref="D84:E84"/>
    <mergeCell ref="D85:E85"/>
    <mergeCell ref="M17:N17"/>
    <mergeCell ref="D83:E83"/>
    <mergeCell ref="M18:N18"/>
    <mergeCell ref="D18:E18"/>
    <mergeCell ref="D17:E17"/>
    <mergeCell ref="B237:N237"/>
    <mergeCell ref="B1:D1"/>
    <mergeCell ref="E1:N1"/>
    <mergeCell ref="B2:D2"/>
    <mergeCell ref="E2:N2"/>
    <mergeCell ref="B5:D5"/>
    <mergeCell ref="E5:N5"/>
    <mergeCell ref="B3:D3"/>
    <mergeCell ref="E3:N3"/>
    <mergeCell ref="B4:D4"/>
    <mergeCell ref="E4:N4"/>
    <mergeCell ref="E6:N6"/>
    <mergeCell ref="B6:D6"/>
    <mergeCell ref="E7:N7"/>
    <mergeCell ref="M16:N16"/>
    <mergeCell ref="D16:E16"/>
  </mergeCells>
  <phoneticPr fontId="46" type="noConversion"/>
  <conditionalFormatting sqref="B25">
    <cfRule type="cellIs" dxfId="163" priority="17" operator="equal">
      <formula>"Answer Required"</formula>
    </cfRule>
  </conditionalFormatting>
  <conditionalFormatting sqref="B39">
    <cfRule type="cellIs" dxfId="162" priority="16" operator="equal">
      <formula>"Answer Required"</formula>
    </cfRule>
  </conditionalFormatting>
  <conditionalFormatting sqref="B46 B48">
    <cfRule type="cellIs" dxfId="161" priority="4" operator="equal">
      <formula>"Answer Required"</formula>
    </cfRule>
  </conditionalFormatting>
  <conditionalFormatting sqref="B144:N144">
    <cfRule type="cellIs" dxfId="160" priority="15" operator="equal">
      <formula>"Answer Required"</formula>
    </cfRule>
  </conditionalFormatting>
  <conditionalFormatting sqref="B199:N199">
    <cfRule type="cellIs" dxfId="159" priority="7" operator="equal">
      <formula>"Answer Required"</formula>
    </cfRule>
  </conditionalFormatting>
  <conditionalFormatting sqref="B237:N237">
    <cfRule type="cellIs" dxfId="158" priority="1" operator="equal">
      <formula>"Answer Required"</formula>
    </cfRule>
  </conditionalFormatting>
  <conditionalFormatting sqref="B181:O181">
    <cfRule type="cellIs" dxfId="157" priority="5" operator="equal">
      <formula>"Answer Required"</formula>
    </cfRule>
  </conditionalFormatting>
  <conditionalFormatting sqref="C148:E148 N186 N243 P243">
    <cfRule type="cellIs" dxfId="156" priority="33" operator="equal">
      <formula>"Answer Required"</formula>
    </cfRule>
  </conditionalFormatting>
  <conditionalFormatting sqref="E166:H166">
    <cfRule type="cellIs" dxfId="155" priority="2" operator="equal">
      <formula>"Answer Required"</formula>
    </cfRule>
  </conditionalFormatting>
  <conditionalFormatting sqref="E173:H173 F174:H174 E175:H175">
    <cfRule type="cellIs" dxfId="154" priority="3" operator="equal">
      <formula>"Answer Required"</formula>
    </cfRule>
  </conditionalFormatting>
  <conditionalFormatting sqref="N196">
    <cfRule type="cellIs" dxfId="153" priority="13" operator="equal">
      <formula>"Answer Required"</formula>
    </cfRule>
  </conditionalFormatting>
  <conditionalFormatting sqref="N202">
    <cfRule type="cellIs" dxfId="152" priority="11" operator="equal">
      <formula>"Answer Required"</formula>
    </cfRule>
  </conditionalFormatting>
  <conditionalFormatting sqref="N205">
    <cfRule type="cellIs" dxfId="151" priority="10" operator="equal">
      <formula>"Answer Required"</formula>
    </cfRule>
  </conditionalFormatting>
  <conditionalFormatting sqref="N209">
    <cfRule type="cellIs" dxfId="150" priority="9" operator="equal">
      <formula>"Answer Required"</formula>
    </cfRule>
  </conditionalFormatting>
  <conditionalFormatting sqref="N255">
    <cfRule type="cellIs" dxfId="149" priority="20" operator="equal">
      <formula>"Answer Required"</formula>
    </cfRule>
  </conditionalFormatting>
  <conditionalFormatting sqref="N259">
    <cfRule type="cellIs" dxfId="148" priority="18" operator="equal">
      <formula>"Answer Required"</formula>
    </cfRule>
  </conditionalFormatting>
  <dataValidations xWindow="271" yWindow="407" count="19">
    <dataValidation type="whole" allowBlank="1" showInputMessage="1" showErrorMessage="1" error="Enter whole number._x000a_" sqref="N189:P189 N244:P244 N214:O219 K214:K217" xr:uid="{00000000-0002-0000-0900-000000000000}">
      <formula1>-1000000000000000</formula1>
      <formula2>1000000000000000</formula2>
    </dataValidation>
    <dataValidation type="list" allowBlank="1" showInputMessage="1" showErrorMessage="1" error="Please use the drop-down list to select Yes,No, or N/A." sqref="P243 C148:E148 N186:P186 N196 N202 N205 N209 N243" xr:uid="{00000000-0002-0000-0900-000001000000}">
      <formula1>$N$249:$N$251</formula1>
    </dataValidation>
    <dataValidation type="list" allowBlank="1" showInputMessage="1" showErrorMessage="1" error="Use the drop-down list to enter yes or no." sqref="O205 O202 O209" xr:uid="{00000000-0002-0000-0900-000002000000}">
      <formula1>$N$249:$N$250</formula1>
    </dataValidation>
    <dataValidation allowBlank="1" showInputMessage="1" showErrorMessage="1" error="Enter whole number._x000a_" sqref="N245:P245" xr:uid="{00000000-0002-0000-0900-000003000000}"/>
    <dataValidation type="whole" allowBlank="1" showErrorMessage="1" error="Enter a whole number" sqref="H39 E39 K39 H25 E25 K25 P39 E48 P46:P48 H48 E46 H46 K46 K48" xr:uid="{00000000-0002-0000-0900-000004000000}">
      <formula1>-9999999999999990000</formula1>
      <formula2>99999999999999900000</formula2>
    </dataValidation>
    <dataValidation type="whole" allowBlank="1" showInputMessage="1" showErrorMessage="1" sqref="E113:E115 K50:K51 H27:H28 E27:E28 L20:M25 I20:J25 F20:G25 F59:G61 I122:J141 L27:L48 H50:H51 E50:E51 F27:G33 I27:J33 F50:G56 I50:J56 I59:J61 H113:H115 K113 H93:H95 F122:G141 E135:E141 N141:O141 K135 M78 E93:E95 I87:J120 E40 H40 F36:G48 I36:J48 M28:M48 E64:K64 F65:G71 E65 H65 I65:J71 M50:M76 L51:L78 L87:M141 N95:O138 F87:G120 E126:E128 H126:H128 H135:H141 N87:O92" xr:uid="{00000000-0002-0000-0900-000005000000}">
      <formula1>0</formula1>
      <formula2>9.99999999999999E+25</formula2>
    </dataValidation>
    <dataValidation type="whole" allowBlank="1" showErrorMessage="1" sqref="N139:O139 N93:O93" xr:uid="{00000000-0002-0000-0900-000006000000}">
      <formula1>0</formula1>
      <formula2>9.99999999999999E+25</formula2>
    </dataValidation>
    <dataValidation allowBlank="1" showErrorMessage="1" sqref="N94:O94" xr:uid="{00000000-0002-0000-0900-000007000000}"/>
    <dataValidation allowBlank="1" showErrorMessage="1" error="Amount must be rounded to the nearest dollar and must be positive." sqref="H87:H92 H122:H125 E116:E120 E122:E125 E87:E92 H116:H120 H96:H112 E96:E112 E129:E134 H129:H134" xr:uid="{00000000-0002-0000-0900-000008000000}"/>
    <dataValidation type="whole" allowBlank="1" showInputMessage="1" showErrorMessage="1" sqref="K27:K28 K40 K65" xr:uid="{00000000-0002-0000-0900-000009000000}">
      <formula1>-999999999999999</formula1>
      <formula2>9.99999999999999E+25</formula2>
    </dataValidation>
    <dataValidation type="whole" allowBlank="1" showInputMessage="1" showErrorMessage="1" error="Enter a positive whole number" sqref="E35:E38 E29:E33 E20:E24 E52:E56 E58:E61 H20:H24 H66:H71 H29:H33 H41:H45 H52:H56 H35:H38 E41:E45 E66:E71 H58:H61 E47 H47" xr:uid="{00000000-0002-0000-0900-00000A000000}">
      <formula1>0</formula1>
      <formula2>9.99999999999999E+31</formula2>
    </dataValidation>
    <dataValidation type="whole" allowBlank="1" showErrorMessage="1" error="Enter a negative whole number" sqref="K20:K24 K66:K71 K35:K38 K41:K45 K29:K33" xr:uid="{00000000-0002-0000-0900-00000B000000}">
      <formula1>-9999999999999990000</formula1>
      <formula2>0</formula2>
    </dataValidation>
    <dataValidation type="whole" allowBlank="1" showErrorMessage="1" error="Enter a  whole number" sqref="K175" xr:uid="{00000000-0002-0000-0900-00000C000000}">
      <formula1>-9999999999999990000</formula1>
      <formula2>99999999999999900000</formula2>
    </dataValidation>
    <dataValidation type="list" allowBlank="1" showInputMessage="1" showErrorMessage="1" error="Please use drop-down list to select Yes or No" sqref="N255 N259" xr:uid="{00000000-0002-0000-0900-00000D000000}">
      <formula1>$N$249:$N$251</formula1>
    </dataValidation>
    <dataValidation type="whole" allowBlank="1" showInputMessage="1" showErrorMessage="1" error="Please enter a whole number." sqref="P255 P259 J222:J224 J238 J226:J231 J233:J236" xr:uid="{00000000-0002-0000-0900-00000E000000}">
      <formula1>-9999999999999</formula1>
      <formula2>9999999999999</formula2>
    </dataValidation>
    <dataValidation type="whole" allowBlank="1" showInputMessage="1" showErrorMessage="1" sqref="O222:O238" xr:uid="{00000000-0002-0000-0900-00000F000000}">
      <formula1>-9999999999999</formula1>
      <formula2>9999999999999</formula2>
    </dataValidation>
    <dataValidation type="whole" allowBlank="1" showInputMessage="1" showErrorMessage="1" error="Enter a negative whole number" sqref="K52:K56 K58:K61 K47" xr:uid="{00000000-0002-0000-0900-000010000000}">
      <formula1>-9999999999999990000</formula1>
      <formula2>0</formula2>
    </dataValidation>
    <dataValidation type="whole" allowBlank="1" showInputMessage="1" showErrorMessage="1" error="Enter whole number." sqref="K226:K228 K233:K236" xr:uid="{00000000-0002-0000-0900-000011000000}">
      <formula1>-1000000000000000</formula1>
      <formula2>1000000000000000</formula2>
    </dataValidation>
    <dataValidation allowBlank="1" showErrorMessage="1" error="Enter a  whole number" sqref="K162:K165 K168:K174" xr:uid="{41815BF7-F823-400C-9287-C55905BD5769}"/>
  </dataValidations>
  <printOptions gridLinesSet="0"/>
  <pageMargins left="0.75" right="0.4" top="1.1000000000000001" bottom="0.5" header="0.44" footer="0.5"/>
  <pageSetup scale="67"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3" manualBreakCount="3">
    <brk id="80" min="1" max="15" man="1"/>
    <brk id="145" min="1" max="15" man="1"/>
    <brk id="189" max="16383" man="1"/>
  </rowBreaks>
  <ignoredErrors>
    <ignoredError sqref="H158:H160" twoDigitTextYear="1"/>
    <ignoredError sqref="E173 E166"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J77"/>
  <sheetViews>
    <sheetView showGridLines="0" zoomScaleNormal="100" zoomScaleSheetLayoutView="80" workbookViewId="0">
      <selection activeCell="B3" sqref="B3:F3"/>
    </sheetView>
  </sheetViews>
  <sheetFormatPr defaultColWidth="8" defaultRowHeight="12.6" customHeight="1"/>
  <cols>
    <col min="1" max="1" width="34.42578125" style="51" customWidth="1"/>
    <col min="2" max="2" width="26.7109375" style="53" customWidth="1"/>
    <col min="3" max="3" width="15.140625" style="51" customWidth="1"/>
    <col min="4" max="4" width="26.28515625" style="51" customWidth="1"/>
    <col min="5" max="5" width="15.85546875" style="51" customWidth="1"/>
    <col min="6" max="6" width="18.42578125" style="51" customWidth="1"/>
    <col min="7" max="16384" width="8" style="51"/>
  </cols>
  <sheetData>
    <row r="1" spans="1:10" ht="12.6" customHeight="1">
      <c r="A1" s="48" t="s">
        <v>272</v>
      </c>
      <c r="B1" s="1156" t="str">
        <f>'Enterprise Template'!E1</f>
        <v/>
      </c>
      <c r="C1" s="1157"/>
      <c r="D1" s="1157"/>
      <c r="E1" s="1157"/>
      <c r="F1" s="1158"/>
    </row>
    <row r="2" spans="1:10" ht="12.75" customHeight="1">
      <c r="A2" s="48" t="s">
        <v>190</v>
      </c>
      <c r="B2" s="1156" t="str">
        <f>IF('Enterprise Template'!E2="","",'Enterprise Template'!E2)</f>
        <v/>
      </c>
      <c r="C2" s="1157"/>
      <c r="D2" s="1157"/>
      <c r="E2" s="1157"/>
      <c r="F2" s="1158"/>
    </row>
    <row r="3" spans="1:10" ht="12.6" customHeight="1">
      <c r="A3" s="48" t="s">
        <v>447</v>
      </c>
      <c r="B3" s="1159" t="str">
        <f>IF('Enterprise Template'!E3="","",'Enterprise Template'!E3)</f>
        <v/>
      </c>
      <c r="C3" s="1160"/>
      <c r="D3" s="1160"/>
      <c r="E3" s="1160"/>
      <c r="F3" s="1161"/>
    </row>
    <row r="4" spans="1:10" ht="12.6" customHeight="1">
      <c r="A4" s="48" t="s">
        <v>448</v>
      </c>
      <c r="B4" s="1162" t="str">
        <f>IF('Enterprise Template'!E4="","",'Enterprise Template'!E4)</f>
        <v/>
      </c>
      <c r="C4" s="1163"/>
      <c r="D4" s="1163"/>
      <c r="E4" s="1163"/>
      <c r="F4" s="1164"/>
    </row>
    <row r="5" spans="1:10" ht="12.6" customHeight="1">
      <c r="A5" s="48" t="s">
        <v>2847</v>
      </c>
      <c r="B5" s="1150" t="str">
        <f>IF('Enterprise Template'!E5="","",'Enterprise Template'!E5)</f>
        <v/>
      </c>
      <c r="C5" s="1151"/>
      <c r="D5" s="1151"/>
      <c r="E5" s="1151"/>
      <c r="F5" s="1152"/>
    </row>
    <row r="6" spans="1:10" ht="12.6" customHeight="1">
      <c r="A6" s="48" t="s">
        <v>449</v>
      </c>
      <c r="B6" s="1153" t="str">
        <f>IF('Enterprise Template'!E6="","",'Enterprise Template'!E6)</f>
        <v/>
      </c>
      <c r="C6" s="1154"/>
      <c r="D6" s="1154"/>
      <c r="E6" s="1154"/>
      <c r="F6" s="1155"/>
      <c r="J6" s="12"/>
    </row>
    <row r="7" spans="1:10" ht="12.6" customHeight="1">
      <c r="A7" s="48" t="s">
        <v>224</v>
      </c>
      <c r="B7" s="1156" t="str">
        <f>'Enterprise Template'!E7</f>
        <v/>
      </c>
      <c r="C7" s="1157"/>
      <c r="D7" s="1157"/>
      <c r="E7" s="1157"/>
      <c r="F7" s="1158"/>
    </row>
    <row r="8" spans="1:10" ht="12.6" customHeight="1">
      <c r="A8" s="20"/>
      <c r="B8" s="102"/>
      <c r="C8" s="102"/>
      <c r="D8" s="102"/>
      <c r="E8" s="103"/>
      <c r="F8" s="103"/>
    </row>
    <row r="9" spans="1:10" ht="12.6" customHeight="1">
      <c r="A9" s="20" t="s">
        <v>645</v>
      </c>
    </row>
    <row r="10" spans="1:10" ht="12.6" customHeight="1">
      <c r="A10" s="24" t="str">
        <f>'Enterprise Template'!$A$27:$D$27</f>
        <v>For the Year Ended June 30, 2024</v>
      </c>
    </row>
    <row r="11" spans="1:10" ht="12.6" customHeight="1">
      <c r="A11" s="55"/>
      <c r="B11" s="56"/>
      <c r="C11" s="57"/>
      <c r="D11" s="57"/>
      <c r="E11" s="57"/>
      <c r="F11" s="57"/>
    </row>
    <row r="12" spans="1:10" ht="12.6" customHeight="1">
      <c r="D12" s="12"/>
      <c r="E12" s="12"/>
      <c r="F12" s="12"/>
    </row>
    <row r="13" spans="1:10" ht="12.6" customHeight="1">
      <c r="D13" s="12"/>
      <c r="E13" s="12"/>
      <c r="F13" s="12"/>
    </row>
    <row r="14" spans="1:10" ht="12.6" customHeight="1">
      <c r="A14" s="104" t="s">
        <v>221</v>
      </c>
    </row>
    <row r="16" spans="1:10" ht="12.6" customHeight="1">
      <c r="A16" s="616" t="s">
        <v>2993</v>
      </c>
      <c r="B16" s="616" t="s">
        <v>965</v>
      </c>
      <c r="C16" s="616" t="s">
        <v>1000</v>
      </c>
      <c r="D16" s="616" t="s">
        <v>1010</v>
      </c>
      <c r="E16" s="616" t="s">
        <v>1001</v>
      </c>
      <c r="F16" s="69" t="s">
        <v>110</v>
      </c>
    </row>
    <row r="17" spans="1:6" ht="11.25">
      <c r="A17" s="184"/>
      <c r="B17" s="601"/>
      <c r="C17" s="215"/>
      <c r="D17" s="612" t="str">
        <f>IF(C17="","",IFERROR(VLOOKUP(C17,'Fund Vlookup'!$B:$C,2,FALSE),"Verify fund number and contact DOA"))</f>
        <v/>
      </c>
      <c r="E17" s="185"/>
      <c r="F17" s="71"/>
    </row>
    <row r="18" spans="1:6" ht="11.25">
      <c r="A18" s="184"/>
      <c r="B18" s="601"/>
      <c r="C18" s="215"/>
      <c r="D18" s="612" t="str">
        <f>IF(C18="","",IFERROR(VLOOKUP(C18,'Fund Vlookup'!$B:$C,2,FALSE),"Verify fund number and contact DOA"))</f>
        <v/>
      </c>
      <c r="E18" s="185"/>
      <c r="F18" s="71"/>
    </row>
    <row r="19" spans="1:6" ht="11.25">
      <c r="A19" s="184"/>
      <c r="B19" s="601"/>
      <c r="C19" s="215"/>
      <c r="D19" s="612" t="str">
        <f>IF(C19="","",IFERROR(VLOOKUP(C19,'Fund Vlookup'!$B:$C,2,FALSE),"Verify fund number and contact DOA"))</f>
        <v/>
      </c>
      <c r="E19" s="185"/>
      <c r="F19" s="71"/>
    </row>
    <row r="20" spans="1:6" ht="11.25">
      <c r="A20" s="184"/>
      <c r="B20" s="601"/>
      <c r="C20" s="215"/>
      <c r="D20" s="612" t="str">
        <f>IF(C20="","",IFERROR(VLOOKUP(C20,'Fund Vlookup'!$B:$C,2,FALSE),"Verify fund number and contact DOA"))</f>
        <v/>
      </c>
      <c r="E20" s="185"/>
      <c r="F20" s="71"/>
    </row>
    <row r="21" spans="1:6" ht="11.25">
      <c r="A21" s="184"/>
      <c r="B21" s="601"/>
      <c r="C21" s="215"/>
      <c r="D21" s="612" t="str">
        <f>IF(C21="","",IFERROR(VLOOKUP(C21,'Fund Vlookup'!$B:$C,2,FALSE),"Verify fund number and contact DOA"))</f>
        <v/>
      </c>
      <c r="E21" s="185"/>
      <c r="F21" s="71"/>
    </row>
    <row r="22" spans="1:6" ht="11.25">
      <c r="A22" s="184"/>
      <c r="B22" s="601"/>
      <c r="C22" s="215"/>
      <c r="D22" s="612" t="str">
        <f>IF(C22="","",IFERROR(VLOOKUP(C22,'Fund Vlookup'!$B:$C,2,FALSE),"Verify fund number and contact DOA"))</f>
        <v/>
      </c>
      <c r="E22" s="185"/>
      <c r="F22" s="71"/>
    </row>
    <row r="23" spans="1:6" ht="11.25">
      <c r="A23" s="184"/>
      <c r="B23" s="601"/>
      <c r="C23" s="215"/>
      <c r="D23" s="612" t="str">
        <f>IF(C23="","",IFERROR(VLOOKUP(C23,'Fund Vlookup'!$B:$C,2,FALSE),"Verify fund number and contact DOA"))</f>
        <v/>
      </c>
      <c r="E23" s="185"/>
      <c r="F23" s="71"/>
    </row>
    <row r="24" spans="1:6" ht="11.25">
      <c r="A24" s="184"/>
      <c r="B24" s="601"/>
      <c r="C24" s="215"/>
      <c r="D24" s="612" t="str">
        <f>IF(C24="","",IFERROR(VLOOKUP(C24,'Fund Vlookup'!$B:$C,2,FALSE),"Verify fund number and contact DOA"))</f>
        <v/>
      </c>
      <c r="E24" s="185"/>
      <c r="F24" s="71"/>
    </row>
    <row r="25" spans="1:6" ht="12.6" customHeight="1">
      <c r="E25" s="194"/>
    </row>
    <row r="26" spans="1:6" ht="12.6" customHeight="1" thickBot="1">
      <c r="A26" s="51" t="s">
        <v>576</v>
      </c>
      <c r="F26" s="70">
        <f>IF(SUM(F17:F24)='Enterprise Template'!G120,SUM(F17:F24),"ERROR")</f>
        <v>0</v>
      </c>
    </row>
    <row r="27" spans="1:6" ht="12.6" customHeight="1" thickTop="1">
      <c r="E27" s="289" t="s">
        <v>440</v>
      </c>
      <c r="F27" s="290">
        <f>SUM(F17:F24)-'Enterprise Template'!G120</f>
        <v>0</v>
      </c>
    </row>
    <row r="28" spans="1:6" ht="12.6" customHeight="1">
      <c r="A28" s="551" t="s">
        <v>581</v>
      </c>
    </row>
    <row r="29" spans="1:6" ht="12.6" customHeight="1">
      <c r="A29" s="51" t="s">
        <v>577</v>
      </c>
    </row>
    <row r="31" spans="1:6" ht="12.6" customHeight="1">
      <c r="A31" s="104" t="s">
        <v>597</v>
      </c>
    </row>
    <row r="32" spans="1:6" ht="12.6" customHeight="1">
      <c r="A32" s="106" t="s">
        <v>578</v>
      </c>
    </row>
    <row r="34" spans="1:4" ht="12.6" customHeight="1">
      <c r="A34" s="616" t="s">
        <v>1000</v>
      </c>
      <c r="B34" s="616" t="s">
        <v>1010</v>
      </c>
      <c r="C34" s="616" t="s">
        <v>1001</v>
      </c>
      <c r="D34" s="69" t="s">
        <v>110</v>
      </c>
    </row>
    <row r="35" spans="1:4" ht="11.25">
      <c r="A35" s="215"/>
      <c r="B35" s="612" t="str">
        <f>IF(A35="","",IFERROR(VLOOKUP(A35,'Fund Vlookup'!$B:$C,2,FALSE),"Verify fund number and contact DOA"))</f>
        <v/>
      </c>
      <c r="C35" s="185"/>
      <c r="D35" s="71"/>
    </row>
    <row r="36" spans="1:4" ht="11.25">
      <c r="A36" s="215"/>
      <c r="B36" s="612" t="str">
        <f>IF(A36="","",IFERROR(VLOOKUP(A36,'Fund Vlookup'!$B:$C,2,FALSE),"Verify fund number and contact DOA"))</f>
        <v/>
      </c>
      <c r="C36" s="185"/>
      <c r="D36" s="71"/>
    </row>
    <row r="37" spans="1:4" ht="11.25">
      <c r="A37" s="215"/>
      <c r="B37" s="612" t="str">
        <f>IF(A37="","",IFERROR(VLOOKUP(A37,'Fund Vlookup'!$B:$C,2,FALSE),"Verify fund number and contact DOA"))</f>
        <v/>
      </c>
      <c r="C37" s="185"/>
      <c r="D37" s="71"/>
    </row>
    <row r="38" spans="1:4" ht="11.25">
      <c r="A38" s="215"/>
      <c r="B38" s="612" t="str">
        <f>IF(A38="","",IFERROR(VLOOKUP(A38,'Fund Vlookup'!$B:$C,2,FALSE),"Verify fund number and contact DOA"))</f>
        <v/>
      </c>
      <c r="C38" s="185"/>
      <c r="D38" s="71"/>
    </row>
    <row r="39" spans="1:4" ht="11.25">
      <c r="A39" s="215"/>
      <c r="B39" s="612" t="str">
        <f>IF(A39="","",IFERROR(VLOOKUP(A39,'Fund Vlookup'!$B:$C,2,FALSE),"Verify fund number and contact DOA"))</f>
        <v/>
      </c>
      <c r="C39" s="185"/>
      <c r="D39" s="71"/>
    </row>
    <row r="40" spans="1:4" ht="11.25">
      <c r="A40" s="215"/>
      <c r="B40" s="612" t="str">
        <f>IF(A40="","",IFERROR(VLOOKUP(A40,'Fund Vlookup'!$B:$C,2,FALSE),"Verify fund number and contact DOA"))</f>
        <v/>
      </c>
      <c r="C40" s="185"/>
      <c r="D40" s="71"/>
    </row>
    <row r="41" spans="1:4" ht="11.25">
      <c r="A41" s="215"/>
      <c r="B41" s="612" t="str">
        <f>IF(A41="","",IFERROR(VLOOKUP(A41,'Fund Vlookup'!$B:$C,2,FALSE),"Verify fund number and contact DOA"))</f>
        <v/>
      </c>
      <c r="C41" s="185"/>
      <c r="D41" s="71"/>
    </row>
    <row r="42" spans="1:4" ht="11.25">
      <c r="A42" s="215"/>
      <c r="B42" s="612" t="str">
        <f>IF(A42="","",IFERROR(VLOOKUP(A42,'Fund Vlookup'!$B:$C,2,FALSE),"Verify fund number and contact DOA"))</f>
        <v/>
      </c>
      <c r="C42" s="185"/>
      <c r="D42" s="71"/>
    </row>
    <row r="43" spans="1:4" ht="12.6" customHeight="1">
      <c r="B43" s="51"/>
    </row>
    <row r="44" spans="1:4" ht="12.6" customHeight="1" thickBot="1">
      <c r="A44" s="51" t="s">
        <v>582</v>
      </c>
      <c r="B44" s="51"/>
      <c r="D44" s="70">
        <f>IF(SUM(D35:D42)='Enterprise Template'!G119,SUM(D35:D42),"ERROR")</f>
        <v>0</v>
      </c>
    </row>
    <row r="45" spans="1:4" ht="12.6" customHeight="1" thickTop="1">
      <c r="B45" s="51"/>
      <c r="C45" s="289" t="s">
        <v>440</v>
      </c>
      <c r="D45" s="291">
        <f>(SUM(D35:D42)-'Enterprise Template'!G119)</f>
        <v>0</v>
      </c>
    </row>
    <row r="46" spans="1:4" ht="12.6" customHeight="1">
      <c r="B46" s="51"/>
    </row>
    <row r="47" spans="1:4" ht="12.6" customHeight="1">
      <c r="A47" s="106" t="s">
        <v>378</v>
      </c>
      <c r="B47" s="51"/>
    </row>
    <row r="48" spans="1:4" ht="12.6" customHeight="1">
      <c r="B48" s="51"/>
    </row>
    <row r="49" spans="1:4" ht="12.6" customHeight="1">
      <c r="A49" s="616" t="s">
        <v>1000</v>
      </c>
      <c r="B49" s="616" t="s">
        <v>1010</v>
      </c>
      <c r="C49" s="616" t="s">
        <v>1001</v>
      </c>
      <c r="D49" s="69" t="s">
        <v>110</v>
      </c>
    </row>
    <row r="50" spans="1:4" ht="11.25">
      <c r="A50" s="215"/>
      <c r="B50" s="611" t="str">
        <f>IF(A50="","",IFERROR(VLOOKUP(A50,'Fund Vlookup'!$B:$C,2,FALSE),"Verify fund number and contact DOA"))</f>
        <v/>
      </c>
      <c r="C50" s="185"/>
      <c r="D50" s="71"/>
    </row>
    <row r="51" spans="1:4" ht="11.25">
      <c r="A51" s="215"/>
      <c r="B51" s="611" t="str">
        <f>IF(A51="","",IFERROR(VLOOKUP(A51,'Fund Vlookup'!$B:$C,2,FALSE),"Verify fund number and contact DOA"))</f>
        <v/>
      </c>
      <c r="C51" s="185"/>
      <c r="D51" s="71"/>
    </row>
    <row r="52" spans="1:4" ht="11.25">
      <c r="A52" s="215"/>
      <c r="B52" s="611" t="str">
        <f>IF(A52="","",IFERROR(VLOOKUP(A52,'Fund Vlookup'!$B:$C,2,FALSE),"Verify fund number and contact DOA"))</f>
        <v/>
      </c>
      <c r="C52" s="185"/>
      <c r="D52" s="71"/>
    </row>
    <row r="53" spans="1:4" ht="11.25">
      <c r="A53" s="215"/>
      <c r="B53" s="611" t="str">
        <f>IF(A53="","",IFERROR(VLOOKUP(A53,'Fund Vlookup'!$B:$C,2,FALSE),"Verify fund number and contact DOA"))</f>
        <v/>
      </c>
      <c r="C53" s="185"/>
      <c r="D53" s="71"/>
    </row>
    <row r="54" spans="1:4" ht="11.25">
      <c r="A54" s="215"/>
      <c r="B54" s="611" t="str">
        <f>IF(A54="","",IFERROR(VLOOKUP(A54,'Fund Vlookup'!$B:$C,2,FALSE),"Verify fund number and contact DOA"))</f>
        <v/>
      </c>
      <c r="C54" s="185"/>
      <c r="D54" s="71"/>
    </row>
    <row r="55" spans="1:4" ht="11.25">
      <c r="A55" s="215"/>
      <c r="B55" s="611" t="str">
        <f>IF(A55="","",IFERROR(VLOOKUP(A55,'Fund Vlookup'!$B:$C,2,FALSE),"Verify fund number and contact DOA"))</f>
        <v/>
      </c>
      <c r="C55" s="185"/>
      <c r="D55" s="71"/>
    </row>
    <row r="56" spans="1:4" ht="11.25">
      <c r="A56" s="215"/>
      <c r="B56" s="611" t="str">
        <f>IF(A56="","",IFERROR(VLOOKUP(A56,'Fund Vlookup'!$B:$C,2,FALSE),"Verify fund number and contact DOA"))</f>
        <v/>
      </c>
      <c r="C56" s="185"/>
      <c r="D56" s="71"/>
    </row>
    <row r="57" spans="1:4" ht="11.25">
      <c r="A57" s="215"/>
      <c r="B57" s="611" t="str">
        <f>IF(A57="","",IFERROR(VLOOKUP(A57,'Fund Vlookup'!$B:$C,2,FALSE),"Verify fund number and contact DOA"))</f>
        <v/>
      </c>
      <c r="C57" s="185"/>
      <c r="D57" s="71"/>
    </row>
    <row r="58" spans="1:4" ht="12.6" customHeight="1">
      <c r="B58" s="51"/>
      <c r="D58" s="194"/>
    </row>
    <row r="59" spans="1:4" ht="12.6" customHeight="1" thickBot="1">
      <c r="A59" s="51" t="s">
        <v>379</v>
      </c>
      <c r="B59" s="51"/>
      <c r="D59" s="70">
        <f>IF(SUM(D50:D57)='Enterprise Template'!G154,SUM(D50:D57),"ERROR")</f>
        <v>0</v>
      </c>
    </row>
    <row r="60" spans="1:4" ht="12.6" customHeight="1" thickTop="1">
      <c r="B60" s="51"/>
      <c r="C60" s="289" t="s">
        <v>440</v>
      </c>
      <c r="D60" s="291">
        <f>SUM(D50:D57)-'Enterprise Template'!G154</f>
        <v>0</v>
      </c>
    </row>
    <row r="62" spans="1:4" ht="12.6" customHeight="1">
      <c r="A62" s="104" t="s">
        <v>302</v>
      </c>
    </row>
    <row r="64" spans="1:4" ht="12.6" customHeight="1">
      <c r="A64" s="616" t="s">
        <v>911</v>
      </c>
      <c r="B64" s="1211" t="s">
        <v>360</v>
      </c>
      <c r="C64" s="1211"/>
      <c r="D64" s="69" t="s">
        <v>110</v>
      </c>
    </row>
    <row r="65" spans="1:4" ht="11.25">
      <c r="A65" s="531"/>
      <c r="B65" s="1207"/>
      <c r="C65" s="1208"/>
      <c r="D65" s="71"/>
    </row>
    <row r="66" spans="1:4" ht="11.25">
      <c r="A66" s="160"/>
      <c r="B66" s="1207"/>
      <c r="C66" s="1210"/>
      <c r="D66" s="71"/>
    </row>
    <row r="67" spans="1:4" ht="11.25">
      <c r="A67" s="160"/>
      <c r="B67" s="1209"/>
      <c r="C67" s="1210"/>
      <c r="D67" s="71"/>
    </row>
    <row r="68" spans="1:4" ht="11.25">
      <c r="A68" s="160"/>
      <c r="B68" s="1209"/>
      <c r="C68" s="1210"/>
      <c r="D68" s="71"/>
    </row>
    <row r="69" spans="1:4" ht="11.25">
      <c r="A69" s="531"/>
      <c r="B69" s="1207"/>
      <c r="C69" s="1208"/>
      <c r="D69" s="71"/>
    </row>
    <row r="70" spans="1:4" ht="11.25">
      <c r="A70" s="160"/>
      <c r="B70" s="1209"/>
      <c r="C70" s="1210"/>
      <c r="D70" s="71"/>
    </row>
    <row r="71" spans="1:4" ht="11.25">
      <c r="A71" s="160"/>
      <c r="B71" s="1209"/>
      <c r="C71" s="1210"/>
      <c r="D71" s="71"/>
    </row>
    <row r="72" spans="1:4" ht="11.25">
      <c r="A72" s="160"/>
      <c r="B72" s="1209"/>
      <c r="C72" s="1210"/>
      <c r="D72" s="71"/>
    </row>
    <row r="73" spans="1:4" ht="11.25">
      <c r="B73" s="51"/>
      <c r="D73" s="194"/>
    </row>
    <row r="74" spans="1:4" ht="12.6" customHeight="1" thickBot="1">
      <c r="A74" s="533" t="s">
        <v>912</v>
      </c>
      <c r="B74" s="533"/>
      <c r="D74" s="70">
        <f>IF(SUM(D65:D72)='Enterprise Template'!G125,SUM(D65:D72),"ERROR")</f>
        <v>0</v>
      </c>
    </row>
    <row r="75" spans="1:4" ht="12.6" customHeight="1" thickTop="1">
      <c r="B75" s="51"/>
      <c r="C75" s="289" t="s">
        <v>440</v>
      </c>
      <c r="D75" s="291">
        <f>SUM(D65:D72)-'Enterprise Template'!G125</f>
        <v>0</v>
      </c>
    </row>
    <row r="76" spans="1:4" ht="12.6" customHeight="1">
      <c r="B76" s="51"/>
    </row>
    <row r="77" spans="1:4" ht="12.6" customHeight="1">
      <c r="B77" s="51"/>
    </row>
  </sheetData>
  <sheetProtection algorithmName="SHA-512" hashValue="mVkNKKNNfdVveaWGsydBySePAZkFDYnhPpMZYnLaw7LA3F8R6ZqauFmAySLfHWOBoQeKcSJZTlJW3uRt1PNieg==" saltValue="7oRt0fVsZkuSBDY2RUYCRQ==" spinCount="100000" sheet="1" objects="1" scenarios="1"/>
  <mergeCells count="16">
    <mergeCell ref="B5:F5"/>
    <mergeCell ref="B7:F7"/>
    <mergeCell ref="B6:F6"/>
    <mergeCell ref="B1:F1"/>
    <mergeCell ref="B2:F2"/>
    <mergeCell ref="B3:F3"/>
    <mergeCell ref="B4:F4"/>
    <mergeCell ref="B69:C69"/>
    <mergeCell ref="B70:C70"/>
    <mergeCell ref="B71:C71"/>
    <mergeCell ref="B72:C72"/>
    <mergeCell ref="B64:C64"/>
    <mergeCell ref="B65:C65"/>
    <mergeCell ref="B66:C66"/>
    <mergeCell ref="B67:C67"/>
    <mergeCell ref="B68:C68"/>
  </mergeCells>
  <phoneticPr fontId="46" type="noConversion"/>
  <dataValidations xWindow="149" yWindow="258" count="3">
    <dataValidation type="whole" allowBlank="1" showInputMessage="1" showErrorMessage="1" error="Enter a whole number" sqref="F17:F24 D35:D42 D50:D57 D65:D72" xr:uid="{00000000-0002-0000-0A00-000000000000}">
      <formula1>-9999999999999</formula1>
      <formula2>9999999999999</formula2>
    </dataValidation>
    <dataValidation type="whole" allowBlank="1" showInputMessage="1" showErrorMessage="1" error="Please enter a valid Fund; a whole number between 01000 and 99999." sqref="A50:A57 A35:A42 C17:C24" xr:uid="{00000000-0002-0000-0A00-000001000000}">
      <formula1>1000</formula1>
      <formula2>99999</formula2>
    </dataValidation>
    <dataValidation type="whole" allowBlank="1" showInputMessage="1" showErrorMessage="1" error="Enter a Cardinal Business Unit number between 10000 and 99900" sqref="B17:B24" xr:uid="{00000000-0002-0000-0A00-000002000000}">
      <formula1>10000</formula1>
      <formula2>99900</formula2>
    </dataValidation>
  </dataValidations>
  <pageMargins left="0.5" right="0.5" top="1.25" bottom="1" header="0.44" footer="0.5"/>
  <pageSetup scale="61"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N258"/>
  <sheetViews>
    <sheetView showGridLines="0" zoomScaleNormal="100" zoomScaleSheetLayoutView="100" workbookViewId="0">
      <selection activeCell="B15" sqref="B15"/>
    </sheetView>
  </sheetViews>
  <sheetFormatPr defaultColWidth="9.140625" defaultRowHeight="12.75"/>
  <cols>
    <col min="1" max="1" width="48.7109375" style="12" customWidth="1"/>
    <col min="2" max="2" width="16.42578125" style="12" customWidth="1"/>
    <col min="3" max="4" width="17.28515625" style="12" customWidth="1"/>
    <col min="5" max="5" width="18.85546875" style="12" customWidth="1"/>
    <col min="6" max="7" width="13.140625" style="12" customWidth="1"/>
    <col min="8" max="9" width="17.28515625" style="12" customWidth="1"/>
    <col min="10" max="10" width="0" style="12" hidden="1" customWidth="1"/>
    <col min="11" max="12" width="17.28515625" style="12" customWidth="1"/>
    <col min="13" max="16384" width="9.140625" style="12"/>
  </cols>
  <sheetData>
    <row r="1" spans="1:13" s="302" customFormat="1" ht="12.6" customHeight="1">
      <c r="A1" s="303" t="s">
        <v>272</v>
      </c>
      <c r="B1" s="1141" t="str">
        <f>'Enterprise Template'!E1</f>
        <v/>
      </c>
      <c r="C1" s="1142"/>
      <c r="D1" s="1142"/>
      <c r="E1" s="1142"/>
      <c r="F1" s="1143"/>
      <c r="G1" s="346"/>
      <c r="H1" s="103"/>
    </row>
    <row r="2" spans="1:13" s="302" customFormat="1" ht="12.75" customHeight="1">
      <c r="A2" s="303" t="s">
        <v>190</v>
      </c>
      <c r="B2" s="1141" t="str">
        <f>IF('Enterprise Template'!E2="","",'Enterprise Template'!E2)</f>
        <v/>
      </c>
      <c r="C2" s="1142"/>
      <c r="D2" s="1142"/>
      <c r="E2" s="1142"/>
      <c r="F2" s="1143"/>
      <c r="G2" s="346"/>
      <c r="H2" s="103"/>
    </row>
    <row r="3" spans="1:13" s="302" customFormat="1" ht="15" customHeight="1">
      <c r="A3" s="303" t="s">
        <v>447</v>
      </c>
      <c r="B3" s="1144" t="str">
        <f>IF('Enterprise Template'!E3="","",'Enterprise Template'!E3)</f>
        <v/>
      </c>
      <c r="C3" s="1145"/>
      <c r="D3" s="1145"/>
      <c r="E3" s="1145"/>
      <c r="F3" s="1146"/>
      <c r="G3" s="355"/>
      <c r="H3" s="103"/>
    </row>
    <row r="4" spans="1:13" s="302" customFormat="1" ht="12.75" customHeight="1">
      <c r="A4" s="303" t="s">
        <v>448</v>
      </c>
      <c r="B4" s="1147" t="str">
        <f>IF('Enterprise Template'!E4="","",'Enterprise Template'!E4)</f>
        <v/>
      </c>
      <c r="C4" s="1148"/>
      <c r="D4" s="1148"/>
      <c r="E4" s="1148"/>
      <c r="F4" s="1149"/>
      <c r="G4" s="356"/>
      <c r="H4" s="103"/>
    </row>
    <row r="5" spans="1:13" s="302" customFormat="1" ht="12.75" customHeight="1">
      <c r="A5" s="303" t="s">
        <v>2847</v>
      </c>
      <c r="B5" s="1135" t="str">
        <f>IF('Enterprise Template'!E5="","",'Enterprise Template'!E5)</f>
        <v/>
      </c>
      <c r="C5" s="1136"/>
      <c r="D5" s="1136"/>
      <c r="E5" s="1136"/>
      <c r="F5" s="1137"/>
      <c r="G5" s="357"/>
      <c r="H5" s="103"/>
      <c r="I5" s="12"/>
    </row>
    <row r="6" spans="1:13" s="302" customFormat="1">
      <c r="A6" s="303" t="s">
        <v>449</v>
      </c>
      <c r="B6" s="1138" t="str">
        <f>IF('Enterprise Template'!E6="","",'Enterprise Template'!E6)</f>
        <v/>
      </c>
      <c r="C6" s="1139"/>
      <c r="D6" s="1139"/>
      <c r="E6" s="1139"/>
      <c r="F6" s="1140"/>
      <c r="G6" s="358"/>
      <c r="H6" s="103"/>
    </row>
    <row r="7" spans="1:13" s="302" customFormat="1">
      <c r="A7" s="303" t="s">
        <v>224</v>
      </c>
      <c r="B7" s="1141" t="str">
        <f>'Enterprise Template'!E7</f>
        <v/>
      </c>
      <c r="C7" s="1142"/>
      <c r="D7" s="1142"/>
      <c r="E7" s="1142"/>
      <c r="F7" s="1143"/>
      <c r="G7" s="346"/>
      <c r="H7" s="103"/>
    </row>
    <row r="8" spans="1:13" s="302" customFormat="1">
      <c r="A8" s="312"/>
      <c r="B8" s="313"/>
      <c r="C8" s="313"/>
      <c r="D8" s="313"/>
      <c r="E8" s="313"/>
      <c r="F8" s="313"/>
      <c r="G8" s="313"/>
      <c r="H8" s="103"/>
    </row>
    <row r="9" spans="1:13" s="302" customFormat="1" ht="12.6" customHeight="1">
      <c r="A9" s="314" t="s">
        <v>116</v>
      </c>
      <c r="B9" s="12"/>
      <c r="C9" s="12"/>
      <c r="D9" s="12"/>
      <c r="H9" s="315"/>
    </row>
    <row r="10" spans="1:13" s="317" customFormat="1" ht="12.6" customHeight="1">
      <c r="A10" s="316" t="str">
        <f>'Enterprise Template'!$A$27:$D$27</f>
        <v>For the Year Ended June 30, 2024</v>
      </c>
      <c r="B10" s="12"/>
      <c r="C10" s="12"/>
      <c r="D10" s="12"/>
      <c r="F10" s="318"/>
      <c r="G10" s="318"/>
      <c r="H10" s="319"/>
    </row>
    <row r="11" spans="1:13" s="317" customFormat="1" ht="12.6" customHeight="1">
      <c r="A11" s="320"/>
      <c r="B11" s="12"/>
      <c r="C11" s="12"/>
      <c r="D11" s="12"/>
      <c r="F11" s="318"/>
      <c r="G11" s="318"/>
      <c r="H11" s="319"/>
    </row>
    <row r="12" spans="1:13" ht="15" customHeight="1">
      <c r="A12" s="13" t="s">
        <v>114</v>
      </c>
    </row>
    <row r="13" spans="1:13">
      <c r="A13" s="13"/>
      <c r="E13" s="109"/>
    </row>
    <row r="14" spans="1:13" ht="57" customHeight="1">
      <c r="A14" s="13"/>
      <c r="B14" s="110" t="s">
        <v>3622</v>
      </c>
      <c r="C14" s="110" t="s">
        <v>291</v>
      </c>
      <c r="D14" s="110" t="s">
        <v>293</v>
      </c>
      <c r="E14" s="110" t="s">
        <v>3611</v>
      </c>
      <c r="F14" s="110" t="s">
        <v>292</v>
      </c>
      <c r="G14" s="110" t="s">
        <v>630</v>
      </c>
      <c r="H14" s="110" t="s">
        <v>2986</v>
      </c>
      <c r="I14" s="110" t="s">
        <v>2987</v>
      </c>
      <c r="K14" s="110" t="s">
        <v>6</v>
      </c>
      <c r="L14" s="110" t="s">
        <v>3612</v>
      </c>
      <c r="M14" s="558" t="s">
        <v>34</v>
      </c>
    </row>
    <row r="15" spans="1:13">
      <c r="A15" s="12" t="s">
        <v>3195</v>
      </c>
      <c r="B15" s="204"/>
      <c r="C15" s="204"/>
      <c r="D15" s="204"/>
      <c r="E15" s="292">
        <f>IF(SUM(B15:D15)=SUM('Enterprise Template'!G136,'Enterprise Template'!G162),SUM(B15:D15),"ERROR")</f>
        <v>0</v>
      </c>
      <c r="F15" s="205">
        <f>'Enterprise Template'!G136</f>
        <v>0</v>
      </c>
      <c r="G15" s="205">
        <f>E15-F15</f>
        <v>0</v>
      </c>
      <c r="H15" s="283"/>
      <c r="M15" s="283">
        <f>SUM(B15:D15)-SUM('Enterprise Template'!G136,'Enterprise Template'!G162)</f>
        <v>0</v>
      </c>
    </row>
    <row r="16" spans="1:13">
      <c r="A16" s="12" t="s">
        <v>194</v>
      </c>
      <c r="B16" s="204"/>
      <c r="C16" s="204"/>
      <c r="D16" s="204"/>
      <c r="E16" s="292">
        <f>IF(SUM(B16:D16)=SUM('Enterprise Template'!G137,'Enterprise Template'!G163),SUM(B16:D16),"ERROR")</f>
        <v>0</v>
      </c>
      <c r="F16" s="205">
        <f>'Enterprise Template'!G137</f>
        <v>0</v>
      </c>
      <c r="G16" s="205">
        <f t="shared" ref="G16:G26" si="0">E16-F16</f>
        <v>0</v>
      </c>
      <c r="H16" s="283"/>
      <c r="I16" s="114"/>
      <c r="M16" s="283">
        <f>SUM(B16:D16)-SUM('Enterprise Template'!G137,'Enterprise Template'!G163)</f>
        <v>0</v>
      </c>
    </row>
    <row r="17" spans="1:13">
      <c r="A17" s="12" t="s">
        <v>742</v>
      </c>
      <c r="B17" s="204"/>
      <c r="C17" s="204"/>
      <c r="D17" s="204"/>
      <c r="E17" s="292">
        <f>IF(SUM(B17:D17)=SUM('Enterprise Template'!G138,'Enterprise Template'!G164),SUM(B17:D17),"ERROR")</f>
        <v>0</v>
      </c>
      <c r="F17" s="205">
        <f>'Enterprise Template'!G138</f>
        <v>0</v>
      </c>
      <c r="G17" s="205">
        <f t="shared" si="0"/>
        <v>0</v>
      </c>
      <c r="H17" s="283"/>
      <c r="I17" s="114"/>
      <c r="M17" s="283">
        <f>SUM(B17:D17)-SUM('Enterprise Template'!G138,'Enterprise Template'!G164)</f>
        <v>0</v>
      </c>
    </row>
    <row r="18" spans="1:13">
      <c r="A18" s="12" t="s">
        <v>3365</v>
      </c>
      <c r="B18" s="204"/>
      <c r="C18" s="204"/>
      <c r="D18" s="204"/>
      <c r="E18" s="292">
        <f>IF(SUM(B18:D18)=SUM('Enterprise Template'!G139,'Enterprise Template'!G165),SUM(B18:D18),"ERROR")</f>
        <v>0</v>
      </c>
      <c r="F18" s="205">
        <f>'Enterprise Template'!G139</f>
        <v>0</v>
      </c>
      <c r="G18" s="205">
        <f t="shared" si="0"/>
        <v>0</v>
      </c>
      <c r="H18" s="928"/>
      <c r="I18" s="928"/>
      <c r="J18" s="939"/>
      <c r="K18" s="928"/>
      <c r="L18" s="940"/>
      <c r="M18" s="283">
        <f>SUM(B18:D18)-SUM('Enterprise Template'!G139,'Enterprise Template'!G165)</f>
        <v>0</v>
      </c>
    </row>
    <row r="19" spans="1:13" ht="27" customHeight="1">
      <c r="A19" s="41" t="s">
        <v>3391</v>
      </c>
      <c r="B19" s="204"/>
      <c r="C19" s="204"/>
      <c r="D19" s="204"/>
      <c r="E19" s="292">
        <f>IF(SUM(B19:D19)=SUM('Enterprise Template'!G140,'Enterprise Template'!G166),SUM(B19:D19),"ERROR")</f>
        <v>0</v>
      </c>
      <c r="F19" s="205">
        <f>'Enterprise Template'!G140</f>
        <v>0</v>
      </c>
      <c r="G19" s="205">
        <f t="shared" si="0"/>
        <v>0</v>
      </c>
      <c r="H19" s="928"/>
      <c r="I19" s="928"/>
      <c r="J19" s="939"/>
      <c r="K19" s="928"/>
      <c r="L19" s="940"/>
      <c r="M19" s="283">
        <f>SUM(B19:D19)-SUM('Enterprise Template'!G140,'Enterprise Template'!G166)</f>
        <v>0</v>
      </c>
    </row>
    <row r="20" spans="1:13">
      <c r="A20" s="12" t="s">
        <v>747</v>
      </c>
      <c r="B20" s="204"/>
      <c r="C20" s="204"/>
      <c r="D20" s="204"/>
      <c r="E20" s="292">
        <f>IF(SUM(B20:D20)=SUM('Enterprise Template'!G141,'Enterprise Template'!G167),SUM(B20:D20),"ERROR")</f>
        <v>0</v>
      </c>
      <c r="F20" s="205">
        <f>'Enterprise Template'!G141</f>
        <v>0</v>
      </c>
      <c r="G20" s="205">
        <f t="shared" si="0"/>
        <v>0</v>
      </c>
      <c r="H20" s="928"/>
      <c r="I20" s="928"/>
      <c r="J20" s="939"/>
      <c r="K20" s="928"/>
      <c r="L20" s="940"/>
      <c r="M20" s="283">
        <f>SUM(B20:D20)-SUM('Enterprise Template'!G141,'Enterprise Template'!G167)</f>
        <v>0</v>
      </c>
    </row>
    <row r="21" spans="1:13">
      <c r="A21" s="12" t="s">
        <v>3366</v>
      </c>
      <c r="B21" s="204"/>
      <c r="C21" s="204"/>
      <c r="D21" s="204"/>
      <c r="E21" s="292">
        <f>IF(SUM(B21:D21)=SUM('Enterprise Template'!G142,'Enterprise Template'!G168),SUM(B21:D21),"ERROR")</f>
        <v>0</v>
      </c>
      <c r="F21" s="205">
        <f>'Enterprise Template'!G142</f>
        <v>0</v>
      </c>
      <c r="G21" s="205">
        <f t="shared" si="0"/>
        <v>0</v>
      </c>
      <c r="H21" s="928"/>
      <c r="I21" s="928"/>
      <c r="J21" s="939"/>
      <c r="K21" s="928"/>
      <c r="L21" s="940"/>
      <c r="M21" s="283">
        <f>SUM(B21:D21)-SUM('Enterprise Template'!G142,'Enterprise Template'!G168)</f>
        <v>0</v>
      </c>
    </row>
    <row r="22" spans="1:13">
      <c r="A22" s="12" t="s">
        <v>748</v>
      </c>
      <c r="B22" s="204"/>
      <c r="C22" s="204"/>
      <c r="D22" s="204"/>
      <c r="E22" s="292">
        <f>IF(SUM(B22:D22)=SUM('Enterprise Template'!G143,'Enterprise Template'!G169),SUM(B22:D22),"ERROR")</f>
        <v>0</v>
      </c>
      <c r="F22" s="205">
        <f>'Enterprise Template'!G143</f>
        <v>0</v>
      </c>
      <c r="G22" s="205">
        <f t="shared" si="0"/>
        <v>0</v>
      </c>
      <c r="H22" s="204"/>
      <c r="I22" s="204"/>
      <c r="J22" s="942"/>
      <c r="K22" s="204"/>
      <c r="L22" s="292">
        <f>IF(E22=SUM(H22,I22,K22),E22,"Error")</f>
        <v>0</v>
      </c>
      <c r="M22" s="283">
        <f>SUM(B22:D22)-SUM('Enterprise Template'!G143,'Enterprise Template'!G169)</f>
        <v>0</v>
      </c>
    </row>
    <row r="23" spans="1:13">
      <c r="A23" s="12" t="s">
        <v>115</v>
      </c>
      <c r="B23" s="204"/>
      <c r="C23" s="204"/>
      <c r="D23" s="204"/>
      <c r="E23" s="292">
        <f>IF(SUM(B23:D23)=SUM('Enterprise Template'!G144,'Enterprise Template'!G170),SUM(B23:D23),"ERROR")</f>
        <v>0</v>
      </c>
      <c r="F23" s="205">
        <f>'Enterprise Template'!G144</f>
        <v>0</v>
      </c>
      <c r="G23" s="205">
        <f t="shared" si="0"/>
        <v>0</v>
      </c>
      <c r="H23" s="937"/>
      <c r="I23" s="937"/>
      <c r="J23" s="802"/>
      <c r="K23" s="937"/>
      <c r="L23" s="938">
        <f>IF(E23=SUM(H23,I23,K23),E23,"Error")</f>
        <v>0</v>
      </c>
      <c r="M23" s="283">
        <f>SUM(B23:D23)-SUM('Enterprise Template'!G144,'Enterprise Template'!G170)</f>
        <v>0</v>
      </c>
    </row>
    <row r="24" spans="1:13">
      <c r="A24" s="12" t="s">
        <v>955</v>
      </c>
      <c r="B24" s="204"/>
      <c r="C24" s="204"/>
      <c r="D24" s="204"/>
      <c r="E24" s="292">
        <f>IF(SUM(B24:D24)=SUM('Enterprise Template'!G171),SUM(B24:D24),"ERROR")</f>
        <v>0</v>
      </c>
      <c r="F24" s="344">
        <v>0</v>
      </c>
      <c r="G24" s="205">
        <f t="shared" si="0"/>
        <v>0</v>
      </c>
      <c r="H24" s="283"/>
      <c r="M24" s="283">
        <f>SUM(B24:D24)-SUM('Enterprise Template'!G171)</f>
        <v>0</v>
      </c>
    </row>
    <row r="25" spans="1:13">
      <c r="A25" s="12" t="s">
        <v>2990</v>
      </c>
      <c r="B25" s="204"/>
      <c r="C25" s="204"/>
      <c r="D25" s="204"/>
      <c r="E25" s="292">
        <f>IF(SUM(B25:D25)=SUM('Enterprise Template'!G172,'Enterprise Template'!G145),SUM(B25:D25),"ERROR")</f>
        <v>0</v>
      </c>
      <c r="F25" s="205">
        <f>'Enterprise Template'!G145</f>
        <v>0</v>
      </c>
      <c r="G25" s="205">
        <f t="shared" si="0"/>
        <v>0</v>
      </c>
      <c r="H25" s="283"/>
      <c r="M25" s="283">
        <f>SUM(B25:D25)-SUM('Enterprise Template'!G172,'Enterprise Template'!G145)</f>
        <v>0</v>
      </c>
    </row>
    <row r="26" spans="1:13">
      <c r="A26" s="19" t="s">
        <v>2982</v>
      </c>
      <c r="B26" s="204"/>
      <c r="C26" s="204"/>
      <c r="D26" s="204"/>
      <c r="E26" s="292">
        <f>IF(SUM(B26:D26)=SUM('Enterprise Template'!G173,'Enterprise Template'!G146),SUM(B26:D26),"ERROR")</f>
        <v>0</v>
      </c>
      <c r="F26" s="344">
        <f>'Enterprise Template'!G146</f>
        <v>0</v>
      </c>
      <c r="G26" s="205">
        <f t="shared" si="0"/>
        <v>0</v>
      </c>
      <c r="H26" s="283"/>
      <c r="M26" s="283">
        <f>SUM(B26:D26)-SUM('Enterprise Template'!G173,'Enterprise Template'!G146)</f>
        <v>0</v>
      </c>
    </row>
    <row r="27" spans="1:13" ht="13.5" thickBot="1">
      <c r="A27" s="12" t="s">
        <v>294</v>
      </c>
      <c r="B27" s="206">
        <f>SUM(B15:B26)</f>
        <v>0</v>
      </c>
      <c r="C27" s="206">
        <f t="shared" ref="C27:G27" si="1">SUM(C15:C26)</f>
        <v>0</v>
      </c>
      <c r="D27" s="206">
        <f t="shared" si="1"/>
        <v>0</v>
      </c>
      <c r="E27" s="206">
        <f t="shared" si="1"/>
        <v>0</v>
      </c>
      <c r="F27" s="206">
        <f t="shared" si="1"/>
        <v>0</v>
      </c>
      <c r="G27" s="206">
        <f t="shared" si="1"/>
        <v>0</v>
      </c>
      <c r="H27" s="283"/>
    </row>
    <row r="28" spans="1:13" ht="13.5" thickTop="1">
      <c r="A28" s="13"/>
    </row>
    <row r="29" spans="1:13">
      <c r="A29" s="13"/>
    </row>
    <row r="30" spans="1:13">
      <c r="A30" s="13"/>
    </row>
    <row r="31" spans="1:13">
      <c r="A31" s="13"/>
    </row>
    <row r="32" spans="1:13" s="246" customFormat="1" ht="23.25" customHeight="1">
      <c r="A32" s="321" t="s">
        <v>429</v>
      </c>
      <c r="B32" s="245"/>
      <c r="C32" s="245"/>
      <c r="D32" s="245"/>
      <c r="E32" s="245"/>
      <c r="F32" s="1229"/>
      <c r="G32" s="1229"/>
      <c r="H32" s="1230"/>
      <c r="I32" s="282"/>
      <c r="J32" s="282"/>
      <c r="K32" s="282"/>
      <c r="L32" s="322"/>
    </row>
    <row r="33" spans="1:12" s="246" customFormat="1" ht="23.25" customHeight="1">
      <c r="A33" s="321"/>
      <c r="B33" s="245"/>
      <c r="C33" s="245"/>
      <c r="D33" s="245"/>
      <c r="E33" s="245"/>
      <c r="F33" s="931"/>
      <c r="G33" s="931"/>
      <c r="H33" s="126"/>
      <c r="I33" s="282"/>
      <c r="J33" s="282"/>
      <c r="K33" s="282"/>
      <c r="L33" s="322"/>
    </row>
    <row r="34" spans="1:12" s="246" customFormat="1">
      <c r="A34" s="323"/>
      <c r="E34" s="247"/>
    </row>
    <row r="35" spans="1:12" s="246" customFormat="1" ht="25.5">
      <c r="A35" s="323"/>
      <c r="B35" s="248" t="s">
        <v>3623</v>
      </c>
      <c r="C35" s="248" t="s">
        <v>73</v>
      </c>
      <c r="D35" s="248" t="s">
        <v>72</v>
      </c>
    </row>
    <row r="36" spans="1:12" s="243" customFormat="1">
      <c r="A36" s="12" t="s">
        <v>3195</v>
      </c>
      <c r="B36" s="205">
        <f t="shared" ref="B36:B42" si="2">B15</f>
        <v>0</v>
      </c>
      <c r="C36" s="205" t="str">
        <f>IF(ISERR('Enterprise Template'!H136+'Enterprise Template'!H162),"",('Enterprise Template'!H136+'Enterprise Template'!H162))</f>
        <v/>
      </c>
      <c r="D36" s="205" t="str">
        <f t="shared" ref="D36:D46" si="3">IF(ISERR(B36-C36),"",(B36-C36))</f>
        <v/>
      </c>
    </row>
    <row r="37" spans="1:12" s="243" customFormat="1">
      <c r="A37" s="12" t="s">
        <v>194</v>
      </c>
      <c r="B37" s="205">
        <f t="shared" si="2"/>
        <v>0</v>
      </c>
      <c r="C37" s="205" t="str">
        <f>IF(ISERR('Enterprise Template'!H137+'Enterprise Template'!H163),"",('Enterprise Template'!H137+'Enterprise Template'!H163))</f>
        <v/>
      </c>
      <c r="D37" s="205" t="str">
        <f t="shared" si="3"/>
        <v/>
      </c>
    </row>
    <row r="38" spans="1:12" s="243" customFormat="1">
      <c r="A38" s="12" t="s">
        <v>742</v>
      </c>
      <c r="B38" s="205">
        <f t="shared" si="2"/>
        <v>0</v>
      </c>
      <c r="C38" s="205" t="str">
        <f>IF(ISERR('Enterprise Template'!H138+'Enterprise Template'!H164),"",('Enterprise Template'!H138+'Enterprise Template'!H164))</f>
        <v/>
      </c>
      <c r="D38" s="205" t="str">
        <f t="shared" si="3"/>
        <v/>
      </c>
    </row>
    <row r="39" spans="1:12" s="243" customFormat="1">
      <c r="A39" s="12" t="s">
        <v>3365</v>
      </c>
      <c r="B39" s="205">
        <f t="shared" si="2"/>
        <v>0</v>
      </c>
      <c r="C39" s="205" t="str">
        <f>IF(ISERR('Enterprise Template'!H139+'Enterprise Template'!H165),"",('Enterprise Template'!H139+'Enterprise Template'!H165))</f>
        <v/>
      </c>
      <c r="D39" s="205" t="str">
        <f t="shared" si="3"/>
        <v/>
      </c>
    </row>
    <row r="40" spans="1:12" s="243" customFormat="1" ht="24">
      <c r="A40" s="41" t="s">
        <v>3391</v>
      </c>
      <c r="B40" s="205">
        <f t="shared" si="2"/>
        <v>0</v>
      </c>
      <c r="C40" s="205" t="str">
        <f>IF(ISERR('Enterprise Template'!H140+'Enterprise Template'!H166),"",('Enterprise Template'!H140+'Enterprise Template'!H166))</f>
        <v/>
      </c>
      <c r="D40" s="205" t="str">
        <f t="shared" si="3"/>
        <v/>
      </c>
    </row>
    <row r="41" spans="1:12" s="243" customFormat="1">
      <c r="A41" s="12" t="s">
        <v>747</v>
      </c>
      <c r="B41" s="205">
        <f t="shared" si="2"/>
        <v>0</v>
      </c>
      <c r="C41" s="205" t="str">
        <f>IF(ISERR('Enterprise Template'!H141+'Enterprise Template'!H167),"",('Enterprise Template'!H141+'Enterprise Template'!H167))</f>
        <v/>
      </c>
      <c r="D41" s="205" t="str">
        <f t="shared" si="3"/>
        <v/>
      </c>
    </row>
    <row r="42" spans="1:12" s="243" customFormat="1">
      <c r="A42" s="12" t="s">
        <v>3366</v>
      </c>
      <c r="B42" s="205">
        <f t="shared" si="2"/>
        <v>0</v>
      </c>
      <c r="C42" s="205" t="str">
        <f>IF(ISERR('Enterprise Template'!H142+'Enterprise Template'!H168),"",('Enterprise Template'!H142+'Enterprise Template'!H168))</f>
        <v/>
      </c>
      <c r="D42" s="205" t="str">
        <f t="shared" si="3"/>
        <v/>
      </c>
    </row>
    <row r="43" spans="1:12" s="243" customFormat="1">
      <c r="A43" s="12" t="s">
        <v>748</v>
      </c>
      <c r="B43" s="205">
        <f>B22</f>
        <v>0</v>
      </c>
      <c r="C43" s="205" t="str">
        <f>IF(ISERR('Enterprise Template'!H143+'Enterprise Template'!H169),"",('Enterprise Template'!H143+'Enterprise Template'!H169))</f>
        <v/>
      </c>
      <c r="D43" s="205" t="str">
        <f t="shared" si="3"/>
        <v/>
      </c>
    </row>
    <row r="44" spans="1:12" s="243" customFormat="1">
      <c r="A44" s="12" t="s">
        <v>115</v>
      </c>
      <c r="B44" s="205">
        <f>B23</f>
        <v>0</v>
      </c>
      <c r="C44" s="205" t="str">
        <f>IF(ISERR('Enterprise Template'!H144+'Enterprise Template'!H170),"",('Enterprise Template'!H144+'Enterprise Template'!H170))</f>
        <v/>
      </c>
      <c r="D44" s="205" t="str">
        <f t="shared" si="3"/>
        <v/>
      </c>
    </row>
    <row r="45" spans="1:12" s="243" customFormat="1">
      <c r="A45" s="12" t="s">
        <v>955</v>
      </c>
      <c r="B45" s="205">
        <f>B24</f>
        <v>0</v>
      </c>
      <c r="C45" s="205" t="str">
        <f>IF(ISERR('Enterprise Template'!H171),"",('Enterprise Template'!H171))</f>
        <v/>
      </c>
      <c r="D45" s="205" t="str">
        <f t="shared" si="3"/>
        <v/>
      </c>
    </row>
    <row r="46" spans="1:12" s="243" customFormat="1">
      <c r="A46" s="12" t="s">
        <v>2981</v>
      </c>
      <c r="B46" s="205">
        <f>B25</f>
        <v>0</v>
      </c>
      <c r="C46" s="205" t="str">
        <f>IF(ISERR('Enterprise Template'!H172+'Enterprise Template'!H145),"",('Enterprise Template'!H172+'Enterprise Template'!H145))</f>
        <v/>
      </c>
      <c r="D46" s="205" t="str">
        <f t="shared" si="3"/>
        <v/>
      </c>
    </row>
    <row r="47" spans="1:12">
      <c r="A47" s="19" t="s">
        <v>2982</v>
      </c>
      <c r="B47" s="205">
        <f>B26</f>
        <v>0</v>
      </c>
      <c r="C47" s="205" t="str">
        <f>IF(ISERR('Enterprise Template'!H173+'Enterprise Template'!H146),"",('Enterprise Template'!H173+'Enterprise Template'!H146))</f>
        <v/>
      </c>
      <c r="D47" s="205" t="str">
        <f t="shared" ref="D47" si="4">IF(ISERR(B47-C47),"",(B47-C47))</f>
        <v/>
      </c>
    </row>
    <row r="48" spans="1:12" s="243" customFormat="1" ht="13.5" thickBot="1">
      <c r="A48" s="12" t="s">
        <v>294</v>
      </c>
      <c r="B48" s="206">
        <f>SUM(B36:B47)</f>
        <v>0</v>
      </c>
      <c r="C48" s="206">
        <f>SUM(C36:C47)</f>
        <v>0</v>
      </c>
      <c r="D48" s="206">
        <f>SUM(D36:D47)</f>
        <v>0</v>
      </c>
    </row>
    <row r="49" spans="1:14" s="243" customFormat="1" ht="13.5" thickTop="1">
      <c r="A49" s="324"/>
      <c r="B49" s="244"/>
      <c r="C49" s="244"/>
      <c r="D49" s="244"/>
    </row>
    <row r="50" spans="1:14" s="243" customFormat="1">
      <c r="A50" s="325"/>
    </row>
    <row r="51" spans="1:14" s="326" customFormat="1" ht="12.6" customHeight="1">
      <c r="A51" s="12" t="s">
        <v>435</v>
      </c>
      <c r="D51" s="327"/>
      <c r="H51" s="327"/>
      <c r="K51" s="327"/>
      <c r="N51" s="327"/>
    </row>
    <row r="52" spans="1:14" s="326" customFormat="1" ht="99" customHeight="1">
      <c r="A52" s="1231" t="str">
        <f>IF(OR(D36="",D37="",D38="",D39="",D40="",D41="",D42="",D43="",D44="",D45="",D46="",D47=""),"N/A",IF(AND(D36=0,D37=0,D38=0,D39=0,D40=0,D41=0,D42=0,D43=0,D44=0,D45=0,D46=0,D47=0),"N/A","Answer Required"))</f>
        <v>N/A</v>
      </c>
      <c r="B52" s="1232"/>
      <c r="C52" s="1232"/>
      <c r="D52" s="1232"/>
      <c r="E52" s="1232"/>
      <c r="F52" s="1233"/>
      <c r="G52" s="359"/>
      <c r="H52" s="328"/>
      <c r="K52" s="328"/>
    </row>
    <row r="53" spans="1:14">
      <c r="A53" s="13"/>
    </row>
    <row r="54" spans="1:14">
      <c r="A54" s="13"/>
    </row>
    <row r="55" spans="1:14">
      <c r="A55" s="13"/>
    </row>
    <row r="56" spans="1:14">
      <c r="A56" s="329"/>
      <c r="B56" s="18"/>
      <c r="C56" s="18"/>
      <c r="D56" s="18"/>
      <c r="E56" s="18"/>
      <c r="F56" s="18"/>
      <c r="G56" s="18"/>
      <c r="H56" s="18"/>
    </row>
    <row r="57" spans="1:14">
      <c r="A57" s="13"/>
    </row>
    <row r="58" spans="1:14">
      <c r="A58" s="13" t="s">
        <v>297</v>
      </c>
    </row>
    <row r="59" spans="1:14">
      <c r="A59" s="168" t="s">
        <v>287</v>
      </c>
      <c r="B59" s="111" t="s">
        <v>286</v>
      </c>
      <c r="C59" s="111" t="s">
        <v>288</v>
      </c>
      <c r="D59" s="111" t="s">
        <v>285</v>
      </c>
      <c r="F59" s="818" t="s">
        <v>3190</v>
      </c>
    </row>
    <row r="60" spans="1:14">
      <c r="A60" s="330">
        <v>2025</v>
      </c>
      <c r="B60" s="204"/>
      <c r="C60" s="204"/>
      <c r="D60" s="207">
        <f>IF(B60='Enterprise Template'!G141,SUM(B60:C60),"ERROR")</f>
        <v>0</v>
      </c>
      <c r="E60" s="284"/>
      <c r="F60" s="819">
        <f>(B60)-(F20)</f>
        <v>0</v>
      </c>
    </row>
    <row r="61" spans="1:14">
      <c r="A61" s="330">
        <v>2026</v>
      </c>
      <c r="B61" s="204"/>
      <c r="C61" s="204"/>
      <c r="D61" s="207">
        <f t="shared" ref="D61:D73" si="5">SUM(B61:C61)</f>
        <v>0</v>
      </c>
    </row>
    <row r="62" spans="1:14">
      <c r="A62" s="330">
        <v>2027</v>
      </c>
      <c r="B62" s="204"/>
      <c r="C62" s="204"/>
      <c r="D62" s="207">
        <f t="shared" si="5"/>
        <v>0</v>
      </c>
    </row>
    <row r="63" spans="1:14">
      <c r="A63" s="330">
        <v>2028</v>
      </c>
      <c r="B63" s="204"/>
      <c r="C63" s="204"/>
      <c r="D63" s="207">
        <f t="shared" si="5"/>
        <v>0</v>
      </c>
    </row>
    <row r="64" spans="1:14">
      <c r="A64" s="330">
        <v>2029</v>
      </c>
      <c r="B64" s="204"/>
      <c r="C64" s="204"/>
      <c r="D64" s="207">
        <f t="shared" si="5"/>
        <v>0</v>
      </c>
    </row>
    <row r="65" spans="1:8">
      <c r="A65" s="837" t="s">
        <v>3624</v>
      </c>
      <c r="B65" s="204"/>
      <c r="C65" s="204"/>
      <c r="D65" s="207">
        <f t="shared" si="5"/>
        <v>0</v>
      </c>
    </row>
    <row r="66" spans="1:8">
      <c r="A66" s="837" t="s">
        <v>3626</v>
      </c>
      <c r="B66" s="204"/>
      <c r="C66" s="204"/>
      <c r="D66" s="207">
        <f t="shared" si="5"/>
        <v>0</v>
      </c>
    </row>
    <row r="67" spans="1:8">
      <c r="A67" s="837" t="s">
        <v>3625</v>
      </c>
      <c r="B67" s="204"/>
      <c r="C67" s="204"/>
      <c r="D67" s="207">
        <f t="shared" si="5"/>
        <v>0</v>
      </c>
    </row>
    <row r="68" spans="1:8">
      <c r="A68" s="837" t="s">
        <v>3627</v>
      </c>
      <c r="B68" s="204"/>
      <c r="C68" s="204"/>
      <c r="D68" s="207">
        <f t="shared" si="5"/>
        <v>0</v>
      </c>
    </row>
    <row r="69" spans="1:8">
      <c r="A69" s="837" t="s">
        <v>3628</v>
      </c>
      <c r="B69" s="204"/>
      <c r="C69" s="204"/>
      <c r="D69" s="207">
        <f t="shared" si="5"/>
        <v>0</v>
      </c>
    </row>
    <row r="70" spans="1:8">
      <c r="A70" s="837" t="s">
        <v>3629</v>
      </c>
      <c r="B70" s="204"/>
      <c r="C70" s="204"/>
      <c r="D70" s="207">
        <f t="shared" si="5"/>
        <v>0</v>
      </c>
    </row>
    <row r="71" spans="1:8">
      <c r="A71" s="837" t="s">
        <v>3630</v>
      </c>
      <c r="B71" s="204"/>
      <c r="C71" s="204"/>
      <c r="D71" s="207">
        <f t="shared" si="5"/>
        <v>0</v>
      </c>
    </row>
    <row r="72" spans="1:8">
      <c r="A72" s="837" t="s">
        <v>3631</v>
      </c>
      <c r="B72" s="204"/>
      <c r="C72" s="204"/>
      <c r="D72" s="207">
        <f t="shared" si="5"/>
        <v>0</v>
      </c>
    </row>
    <row r="73" spans="1:8">
      <c r="A73" s="837" t="s">
        <v>3632</v>
      </c>
      <c r="B73" s="204"/>
      <c r="C73" s="204"/>
      <c r="D73" s="207">
        <f t="shared" si="5"/>
        <v>0</v>
      </c>
    </row>
    <row r="74" spans="1:8" ht="13.5" thickBot="1">
      <c r="A74" s="168" t="s">
        <v>285</v>
      </c>
      <c r="B74" s="206">
        <f>IF(SUM(B60:B73)=SUM('Enterprise Template'!G141,'Enterprise Template'!G167),SUM(B60:B73),"ERROR")</f>
        <v>0</v>
      </c>
      <c r="C74" s="206">
        <f>SUM(C60:C73)</f>
        <v>0</v>
      </c>
      <c r="D74" s="206">
        <f>SUM(D60:D73)</f>
        <v>0</v>
      </c>
    </row>
    <row r="75" spans="1:8" ht="13.5" thickTop="1">
      <c r="A75" s="284" t="s">
        <v>440</v>
      </c>
      <c r="B75" s="331">
        <f>(SUM(B60:B73))-(SUM('Enterprise Template'!G141,'Enterprise Template'!G167))</f>
        <v>0</v>
      </c>
    </row>
    <row r="76" spans="1:8">
      <c r="A76" s="284"/>
      <c r="B76" s="331"/>
    </row>
    <row r="77" spans="1:8" ht="28.5" customHeight="1">
      <c r="A77" s="314" t="s">
        <v>903</v>
      </c>
      <c r="B77" s="331"/>
      <c r="H77" s="473" t="str">
        <f>IF($B$27&gt;0,"Answer Required",IF(E27&gt;0,"Answer Required","N/A"))</f>
        <v>N/A</v>
      </c>
    </row>
    <row r="78" spans="1:8">
      <c r="A78" s="166" t="s">
        <v>902</v>
      </c>
      <c r="B78" s="331"/>
    </row>
    <row r="79" spans="1:8" ht="30" customHeight="1">
      <c r="A79" s="13" t="s">
        <v>904</v>
      </c>
      <c r="B79" s="109"/>
      <c r="H79" s="473" t="str">
        <f>IF(H77="yes","Answer Required","N/A")</f>
        <v>N/A</v>
      </c>
    </row>
    <row r="80" spans="1:8">
      <c r="A80" s="12" t="s">
        <v>905</v>
      </c>
      <c r="B80" s="109"/>
    </row>
    <row r="81" spans="1:8" ht="85.5" customHeight="1">
      <c r="A81" s="1234" t="str">
        <f>IF(H79="No", "Answer Required","N/A")</f>
        <v>N/A</v>
      </c>
      <c r="B81" s="1235"/>
      <c r="C81" s="1235"/>
      <c r="D81" s="1235"/>
      <c r="E81" s="1236"/>
      <c r="F81" s="1236"/>
      <c r="G81" s="1236"/>
      <c r="H81" s="1237"/>
    </row>
    <row r="82" spans="1:8">
      <c r="A82" s="579"/>
      <c r="B82" s="117"/>
      <c r="C82" s="117"/>
      <c r="D82" s="117"/>
    </row>
    <row r="83" spans="1:8">
      <c r="A83" s="580" t="s">
        <v>983</v>
      </c>
      <c r="B83" s="581"/>
    </row>
    <row r="84" spans="1:8">
      <c r="A84" s="581"/>
      <c r="B84" s="581"/>
    </row>
    <row r="85" spans="1:8">
      <c r="A85" s="582" t="s">
        <v>984</v>
      </c>
      <c r="B85" s="583">
        <f>B74</f>
        <v>0</v>
      </c>
    </row>
    <row r="86" spans="1:8" ht="18.75" customHeight="1">
      <c r="A86" s="584" t="s">
        <v>985</v>
      </c>
      <c r="B86" s="585"/>
    </row>
    <row r="87" spans="1:8">
      <c r="A87" s="582" t="s">
        <v>986</v>
      </c>
      <c r="B87" s="586">
        <f>B85-B86</f>
        <v>0</v>
      </c>
    </row>
    <row r="88" spans="1:8" ht="25.5">
      <c r="A88" s="584" t="s">
        <v>987</v>
      </c>
      <c r="B88" s="587" t="str">
        <f>IF(B87&lt;0,"YES","NO")</f>
        <v>NO</v>
      </c>
    </row>
    <row r="89" spans="1:8">
      <c r="A89" s="13"/>
    </row>
    <row r="90" spans="1:8">
      <c r="A90" s="588" t="s">
        <v>988</v>
      </c>
    </row>
    <row r="91" spans="1:8">
      <c r="A91" s="1238" t="str">
        <f>IF(B88="Yes", "Answer Required","N/A")</f>
        <v>N/A</v>
      </c>
      <c r="B91" s="1239"/>
      <c r="C91" s="1239"/>
      <c r="D91" s="1239"/>
      <c r="E91" s="1239"/>
      <c r="F91" s="1240"/>
    </row>
    <row r="92" spans="1:8">
      <c r="A92" s="1241"/>
      <c r="B92" s="1242"/>
      <c r="C92" s="1242"/>
      <c r="D92" s="1242"/>
      <c r="E92" s="1242"/>
      <c r="F92" s="1243"/>
    </row>
    <row r="93" spans="1:8">
      <c r="A93" s="1241"/>
      <c r="B93" s="1242"/>
      <c r="C93" s="1242"/>
      <c r="D93" s="1242"/>
      <c r="E93" s="1242"/>
      <c r="F93" s="1243"/>
    </row>
    <row r="94" spans="1:8">
      <c r="A94" s="1241"/>
      <c r="B94" s="1242"/>
      <c r="C94" s="1242"/>
      <c r="D94" s="1242"/>
      <c r="E94" s="1242"/>
      <c r="F94" s="1243"/>
    </row>
    <row r="95" spans="1:8">
      <c r="A95" s="1241"/>
      <c r="B95" s="1242"/>
      <c r="C95" s="1242"/>
      <c r="D95" s="1242"/>
      <c r="E95" s="1242"/>
      <c r="F95" s="1243"/>
    </row>
    <row r="96" spans="1:8">
      <c r="A96" s="1241"/>
      <c r="B96" s="1242"/>
      <c r="C96" s="1242"/>
      <c r="D96" s="1242"/>
      <c r="E96" s="1242"/>
      <c r="F96" s="1243"/>
    </row>
    <row r="97" spans="1:9">
      <c r="A97" s="1244"/>
      <c r="B97" s="1245"/>
      <c r="C97" s="1245"/>
      <c r="D97" s="1245"/>
      <c r="E97" s="1245"/>
      <c r="F97" s="1246"/>
    </row>
    <row r="98" spans="1:9">
      <c r="A98" s="619"/>
      <c r="B98" s="619"/>
      <c r="C98" s="619"/>
      <c r="D98" s="619"/>
      <c r="E98" s="619"/>
      <c r="F98" s="619"/>
    </row>
    <row r="99" spans="1:9">
      <c r="A99" s="329"/>
      <c r="B99" s="18"/>
      <c r="C99" s="18"/>
      <c r="D99" s="18"/>
      <c r="E99" s="18"/>
      <c r="F99" s="18"/>
      <c r="G99" s="18"/>
      <c r="H99" s="18"/>
    </row>
    <row r="100" spans="1:9">
      <c r="A100" s="13" t="s">
        <v>3385</v>
      </c>
    </row>
    <row r="101" spans="1:9">
      <c r="A101" s="168" t="s">
        <v>287</v>
      </c>
      <c r="B101" s="111" t="s">
        <v>286</v>
      </c>
      <c r="C101" s="111" t="s">
        <v>288</v>
      </c>
      <c r="D101" s="111" t="s">
        <v>285</v>
      </c>
      <c r="F101" s="818" t="s">
        <v>3190</v>
      </c>
      <c r="G101" s="143"/>
      <c r="H101" s="143"/>
    </row>
    <row r="102" spans="1:9">
      <c r="A102" s="330">
        <v>2025</v>
      </c>
      <c r="B102" s="204"/>
      <c r="C102" s="204"/>
      <c r="D102" s="276">
        <f t="shared" ref="D102:D115" si="6">SUM(B102:C102)</f>
        <v>0</v>
      </c>
      <c r="E102" s="932"/>
      <c r="F102" s="941">
        <f>(B102)-(F18)</f>
        <v>0</v>
      </c>
      <c r="G102" s="143"/>
      <c r="H102" s="143"/>
      <c r="I102" s="143"/>
    </row>
    <row r="103" spans="1:9">
      <c r="A103" s="330">
        <v>2026</v>
      </c>
      <c r="B103" s="204"/>
      <c r="C103" s="204"/>
      <c r="D103" s="276">
        <f t="shared" si="6"/>
        <v>0</v>
      </c>
      <c r="E103" s="143"/>
      <c r="F103" s="143"/>
      <c r="G103" s="143"/>
      <c r="H103" s="143"/>
      <c r="I103" s="143"/>
    </row>
    <row r="104" spans="1:9" ht="12.75" customHeight="1">
      <c r="A104" s="330">
        <v>2027</v>
      </c>
      <c r="B104" s="204"/>
      <c r="C104" s="204"/>
      <c r="D104" s="276">
        <f t="shared" si="6"/>
        <v>0</v>
      </c>
    </row>
    <row r="105" spans="1:9">
      <c r="A105" s="330">
        <v>2028</v>
      </c>
      <c r="B105" s="204"/>
      <c r="C105" s="204"/>
      <c r="D105" s="276">
        <f t="shared" si="6"/>
        <v>0</v>
      </c>
    </row>
    <row r="106" spans="1:9">
      <c r="A106" s="330">
        <v>2029</v>
      </c>
      <c r="B106" s="204"/>
      <c r="C106" s="204"/>
      <c r="D106" s="276">
        <f t="shared" si="6"/>
        <v>0</v>
      </c>
    </row>
    <row r="107" spans="1:9">
      <c r="A107" s="837" t="s">
        <v>3624</v>
      </c>
      <c r="B107" s="204"/>
      <c r="C107" s="204"/>
      <c r="D107" s="276">
        <f t="shared" si="6"/>
        <v>0</v>
      </c>
      <c r="E107" s="1251" t="s">
        <v>3348</v>
      </c>
      <c r="F107" s="1252"/>
      <c r="G107" s="1252"/>
      <c r="H107" s="1252"/>
      <c r="I107" s="1252"/>
    </row>
    <row r="108" spans="1:9">
      <c r="A108" s="837" t="s">
        <v>3626</v>
      </c>
      <c r="B108" s="204"/>
      <c r="C108" s="204"/>
      <c r="D108" s="276">
        <f t="shared" si="6"/>
        <v>0</v>
      </c>
      <c r="E108" s="1252"/>
      <c r="F108" s="1252"/>
      <c r="G108" s="1252"/>
      <c r="H108" s="1252"/>
      <c r="I108" s="1252"/>
    </row>
    <row r="109" spans="1:9">
      <c r="A109" s="837" t="s">
        <v>3625</v>
      </c>
      <c r="B109" s="204"/>
      <c r="C109" s="204"/>
      <c r="D109" s="276">
        <f t="shared" si="6"/>
        <v>0</v>
      </c>
    </row>
    <row r="110" spans="1:9">
      <c r="A110" s="837" t="s">
        <v>3627</v>
      </c>
      <c r="B110" s="204"/>
      <c r="C110" s="204"/>
      <c r="D110" s="276">
        <f t="shared" si="6"/>
        <v>0</v>
      </c>
    </row>
    <row r="111" spans="1:9">
      <c r="A111" s="837" t="s">
        <v>3628</v>
      </c>
      <c r="B111" s="204"/>
      <c r="C111" s="204"/>
      <c r="D111" s="276">
        <f t="shared" si="6"/>
        <v>0</v>
      </c>
    </row>
    <row r="112" spans="1:9">
      <c r="A112" s="837" t="s">
        <v>3629</v>
      </c>
      <c r="B112" s="204"/>
      <c r="C112" s="204"/>
      <c r="D112" s="276">
        <f t="shared" si="6"/>
        <v>0</v>
      </c>
    </row>
    <row r="113" spans="1:8">
      <c r="A113" s="837" t="s">
        <v>3630</v>
      </c>
      <c r="B113" s="204"/>
      <c r="C113" s="204"/>
      <c r="D113" s="276">
        <f t="shared" si="6"/>
        <v>0</v>
      </c>
    </row>
    <row r="114" spans="1:8">
      <c r="A114" s="837" t="s">
        <v>3631</v>
      </c>
      <c r="B114" s="204"/>
      <c r="C114" s="204"/>
      <c r="D114" s="276">
        <f t="shared" si="6"/>
        <v>0</v>
      </c>
    </row>
    <row r="115" spans="1:8">
      <c r="A115" s="837" t="s">
        <v>3632</v>
      </c>
      <c r="B115" s="204"/>
      <c r="C115" s="204"/>
      <c r="D115" s="276">
        <f t="shared" si="6"/>
        <v>0</v>
      </c>
    </row>
    <row r="116" spans="1:8" ht="13.5" thickBot="1">
      <c r="A116" s="168" t="s">
        <v>285</v>
      </c>
      <c r="B116" s="206">
        <f>IF(SUM(B102:B115)=SUM('Enterprise Template'!G139,'Enterprise Template'!G165),SUM(B102:B115),"ERROR")</f>
        <v>0</v>
      </c>
      <c r="C116" s="206">
        <f>SUM(C102:C115)</f>
        <v>0</v>
      </c>
      <c r="D116" s="206">
        <f>SUM(D102:D115)</f>
        <v>0</v>
      </c>
    </row>
    <row r="117" spans="1:8" ht="13.5" thickTop="1">
      <c r="A117" s="289" t="s">
        <v>440</v>
      </c>
      <c r="B117" s="819">
        <f>(SUM(B102:B115))-(SUM('Enterprise Template'!G139,'Enterprise Template'!G165))</f>
        <v>0</v>
      </c>
      <c r="C117" s="838"/>
      <c r="D117" s="838"/>
    </row>
    <row r="118" spans="1:8">
      <c r="A118" s="168"/>
      <c r="B118" s="213"/>
    </row>
    <row r="119" spans="1:8">
      <c r="A119" s="168"/>
      <c r="B119" s="928"/>
    </row>
    <row r="120" spans="1:8" ht="15">
      <c r="A120" s="1247" t="s">
        <v>3367</v>
      </c>
      <c r="B120" s="1247"/>
      <c r="C120" s="1247"/>
      <c r="D120" s="1247"/>
      <c r="E120" s="1247"/>
      <c r="F120" s="1247"/>
      <c r="G120" s="120"/>
      <c r="H120" s="593" t="s">
        <v>851</v>
      </c>
    </row>
    <row r="121" spans="1:8">
      <c r="A121" s="166" t="s">
        <v>3368</v>
      </c>
      <c r="B121" s="109"/>
    </row>
    <row r="122" spans="1:8" ht="31.5" customHeight="1">
      <c r="A122" s="1248" t="str">
        <f>IF(H120= "yes","Answer Required","N/A")</f>
        <v>N/A</v>
      </c>
      <c r="B122" s="1249"/>
      <c r="C122" s="1249"/>
      <c r="D122" s="1249"/>
      <c r="E122" s="1249"/>
      <c r="F122" s="1249"/>
      <c r="G122" s="1249"/>
      <c r="H122" s="1250"/>
    </row>
    <row r="123" spans="1:8">
      <c r="A123" s="289"/>
      <c r="B123" s="819"/>
      <c r="C123" s="838"/>
      <c r="D123" s="838"/>
    </row>
    <row r="124" spans="1:8" ht="15">
      <c r="A124" s="1247" t="s">
        <v>3369</v>
      </c>
      <c r="B124" s="1247"/>
      <c r="C124" s="1247"/>
      <c r="D124" s="1247"/>
      <c r="E124" s="1247"/>
      <c r="F124" s="1247"/>
      <c r="G124" s="120"/>
      <c r="H124" s="593" t="s">
        <v>851</v>
      </c>
    </row>
    <row r="125" spans="1:8">
      <c r="A125" s="166" t="s">
        <v>3368</v>
      </c>
      <c r="B125" s="109"/>
    </row>
    <row r="126" spans="1:8" ht="26.25" customHeight="1">
      <c r="A126" s="1248" t="str">
        <f>IF(H124= "yes","Answer Required","N/A")</f>
        <v>N/A</v>
      </c>
      <c r="B126" s="1249"/>
      <c r="C126" s="1249"/>
      <c r="D126" s="1249"/>
      <c r="E126" s="1249"/>
      <c r="F126" s="1249"/>
      <c r="G126" s="1249"/>
      <c r="H126" s="1250"/>
    </row>
    <row r="127" spans="1:8">
      <c r="B127" s="840"/>
      <c r="C127" s="840"/>
      <c r="D127" s="840"/>
    </row>
    <row r="128" spans="1:8" hidden="1">
      <c r="B128" s="840"/>
      <c r="C128" s="840"/>
      <c r="D128" s="840"/>
    </row>
    <row r="129" spans="1:8" hidden="1">
      <c r="B129" s="840"/>
      <c r="C129" s="840"/>
      <c r="D129" s="840"/>
    </row>
    <row r="130" spans="1:8" hidden="1">
      <c r="B130" s="840"/>
      <c r="C130" s="840"/>
      <c r="D130" s="840"/>
    </row>
    <row r="131" spans="1:8" hidden="1">
      <c r="B131" s="840"/>
      <c r="C131" s="840"/>
      <c r="D131" s="840"/>
    </row>
    <row r="132" spans="1:8" hidden="1">
      <c r="B132" s="840"/>
      <c r="C132" s="840"/>
      <c r="D132" s="840"/>
    </row>
    <row r="133" spans="1:8" hidden="1">
      <c r="B133" s="840"/>
      <c r="C133" s="840"/>
      <c r="D133" s="840"/>
    </row>
    <row r="134" spans="1:8" hidden="1">
      <c r="B134" s="840"/>
      <c r="C134" s="840"/>
      <c r="D134" s="840"/>
    </row>
    <row r="135" spans="1:8">
      <c r="A135" s="168"/>
      <c r="B135" s="213"/>
    </row>
    <row r="136" spans="1:8">
      <c r="A136" s="579" t="s">
        <v>3346</v>
      </c>
      <c r="B136" s="117"/>
      <c r="C136" s="117"/>
      <c r="D136" s="117"/>
      <c r="E136" s="117"/>
      <c r="F136" s="117"/>
      <c r="G136" s="117"/>
      <c r="H136" s="117"/>
    </row>
    <row r="137" spans="1:8">
      <c r="A137" s="13"/>
    </row>
    <row r="138" spans="1:8">
      <c r="A138" s="168" t="s">
        <v>287</v>
      </c>
      <c r="B138" s="111" t="s">
        <v>286</v>
      </c>
      <c r="C138" s="111" t="s">
        <v>288</v>
      </c>
      <c r="D138" s="111" t="s">
        <v>285</v>
      </c>
      <c r="F138" s="818" t="s">
        <v>3190</v>
      </c>
    </row>
    <row r="139" spans="1:8">
      <c r="A139" s="330">
        <v>2025</v>
      </c>
      <c r="B139" s="204"/>
      <c r="C139" s="204"/>
      <c r="D139" s="276">
        <f t="shared" ref="D139:D152" si="7">SUM(B139:C139)</f>
        <v>0</v>
      </c>
      <c r="F139" s="941">
        <f>(B139)-(F21)</f>
        <v>0</v>
      </c>
    </row>
    <row r="140" spans="1:8">
      <c r="A140" s="330">
        <v>2026</v>
      </c>
      <c r="B140" s="204"/>
      <c r="C140" s="204"/>
      <c r="D140" s="276">
        <f t="shared" si="7"/>
        <v>0</v>
      </c>
    </row>
    <row r="141" spans="1:8">
      <c r="A141" s="330">
        <v>2027</v>
      </c>
      <c r="B141" s="204"/>
      <c r="C141" s="204"/>
      <c r="D141" s="276">
        <f t="shared" si="7"/>
        <v>0</v>
      </c>
    </row>
    <row r="142" spans="1:8">
      <c r="A142" s="330">
        <v>2028</v>
      </c>
      <c r="B142" s="204"/>
      <c r="C142" s="204"/>
      <c r="D142" s="276">
        <f t="shared" si="7"/>
        <v>0</v>
      </c>
    </row>
    <row r="143" spans="1:8">
      <c r="A143" s="330">
        <v>2029</v>
      </c>
      <c r="B143" s="204"/>
      <c r="C143" s="204"/>
      <c r="D143" s="276">
        <f t="shared" si="7"/>
        <v>0</v>
      </c>
    </row>
    <row r="144" spans="1:8">
      <c r="A144" s="837" t="s">
        <v>3624</v>
      </c>
      <c r="B144" s="204"/>
      <c r="C144" s="204"/>
      <c r="D144" s="276">
        <f t="shared" si="7"/>
        <v>0</v>
      </c>
    </row>
    <row r="145" spans="1:8">
      <c r="A145" s="837" t="s">
        <v>3626</v>
      </c>
      <c r="B145" s="204"/>
      <c r="C145" s="204"/>
      <c r="D145" s="276">
        <f t="shared" si="7"/>
        <v>0</v>
      </c>
    </row>
    <row r="146" spans="1:8">
      <c r="A146" s="837" t="s">
        <v>3625</v>
      </c>
      <c r="B146" s="204"/>
      <c r="C146" s="204"/>
      <c r="D146" s="276">
        <f t="shared" si="7"/>
        <v>0</v>
      </c>
    </row>
    <row r="147" spans="1:8">
      <c r="A147" s="837" t="s">
        <v>3627</v>
      </c>
      <c r="B147" s="204"/>
      <c r="C147" s="204"/>
      <c r="D147" s="276">
        <f t="shared" si="7"/>
        <v>0</v>
      </c>
    </row>
    <row r="148" spans="1:8">
      <c r="A148" s="837" t="s">
        <v>3628</v>
      </c>
      <c r="B148" s="204"/>
      <c r="C148" s="204"/>
      <c r="D148" s="276">
        <f t="shared" si="7"/>
        <v>0</v>
      </c>
    </row>
    <row r="149" spans="1:8">
      <c r="A149" s="837" t="s">
        <v>3629</v>
      </c>
      <c r="B149" s="204"/>
      <c r="C149" s="204"/>
      <c r="D149" s="276">
        <f t="shared" si="7"/>
        <v>0</v>
      </c>
    </row>
    <row r="150" spans="1:8">
      <c r="A150" s="837" t="s">
        <v>3630</v>
      </c>
      <c r="B150" s="204"/>
      <c r="C150" s="204"/>
      <c r="D150" s="276">
        <f t="shared" si="7"/>
        <v>0</v>
      </c>
    </row>
    <row r="151" spans="1:8">
      <c r="A151" s="837" t="s">
        <v>3631</v>
      </c>
      <c r="B151" s="204"/>
      <c r="C151" s="204"/>
      <c r="D151" s="276">
        <f t="shared" si="7"/>
        <v>0</v>
      </c>
    </row>
    <row r="152" spans="1:8">
      <c r="A152" s="837" t="s">
        <v>3632</v>
      </c>
      <c r="B152" s="204"/>
      <c r="C152" s="204"/>
      <c r="D152" s="276">
        <f t="shared" si="7"/>
        <v>0</v>
      </c>
    </row>
    <row r="153" spans="1:8" ht="13.5" thickBot="1">
      <c r="A153" s="168" t="s">
        <v>285</v>
      </c>
      <c r="B153" s="206">
        <f>IF(SUM(B139:B152)=SUM('Enterprise Template'!G142,'Enterprise Template'!G168),SUM(B139:B152),"ERROR")</f>
        <v>0</v>
      </c>
      <c r="C153" s="206">
        <f>SUM(C139:C152)</f>
        <v>0</v>
      </c>
      <c r="D153" s="206">
        <f>SUM(D139:D152)</f>
        <v>0</v>
      </c>
    </row>
    <row r="154" spans="1:8" ht="13.5" thickTop="1">
      <c r="A154" s="289" t="s">
        <v>440</v>
      </c>
      <c r="B154" s="819">
        <f>(SUM(B139:B152))-SUM('Enterprise Template'!G142,'Enterprise Template'!G168)</f>
        <v>0</v>
      </c>
      <c r="C154" s="838"/>
      <c r="D154" s="838"/>
    </row>
    <row r="155" spans="1:8">
      <c r="A155" s="539"/>
      <c r="B155" s="178"/>
      <c r="C155" s="178"/>
      <c r="D155" s="178"/>
    </row>
    <row r="156" spans="1:8" hidden="1">
      <c r="A156" s="539"/>
      <c r="B156" s="839"/>
      <c r="C156" s="839"/>
      <c r="D156" s="839"/>
    </row>
    <row r="157" spans="1:8" hidden="1">
      <c r="A157" s="539"/>
      <c r="B157" s="839"/>
      <c r="C157" s="839"/>
      <c r="D157" s="839"/>
    </row>
    <row r="158" spans="1:8">
      <c r="A158" s="944"/>
      <c r="B158" s="945"/>
      <c r="C158" s="945"/>
      <c r="D158" s="945"/>
      <c r="E158" s="18"/>
      <c r="F158" s="18"/>
      <c r="G158" s="18"/>
      <c r="H158" s="18"/>
    </row>
    <row r="159" spans="1:8">
      <c r="A159" s="13" t="s">
        <v>3403</v>
      </c>
    </row>
    <row r="160" spans="1:8">
      <c r="A160" s="168" t="s">
        <v>287</v>
      </c>
      <c r="B160" s="111" t="s">
        <v>286</v>
      </c>
      <c r="C160" s="111" t="s">
        <v>288</v>
      </c>
      <c r="D160" s="111" t="s">
        <v>285</v>
      </c>
      <c r="F160" s="818" t="s">
        <v>3190</v>
      </c>
      <c r="G160" s="143"/>
      <c r="H160" s="143"/>
    </row>
    <row r="161" spans="1:9">
      <c r="A161" s="330">
        <v>2025</v>
      </c>
      <c r="B161" s="204"/>
      <c r="C161" s="204"/>
      <c r="D161" s="276">
        <f t="shared" ref="D161:D174" si="8">SUM(B161:C161)</f>
        <v>0</v>
      </c>
      <c r="E161" s="932"/>
      <c r="F161" s="941">
        <f>(B161)-(F19)</f>
        <v>0</v>
      </c>
      <c r="G161" s="143"/>
      <c r="H161" s="143"/>
      <c r="I161" s="143"/>
    </row>
    <row r="162" spans="1:9">
      <c r="A162" s="330">
        <v>2026</v>
      </c>
      <c r="B162" s="204"/>
      <c r="C162" s="204"/>
      <c r="D162" s="276">
        <f t="shared" si="8"/>
        <v>0</v>
      </c>
      <c r="E162" s="143"/>
      <c r="F162" s="143"/>
      <c r="G162" s="143"/>
      <c r="H162" s="143"/>
      <c r="I162" s="143"/>
    </row>
    <row r="163" spans="1:9">
      <c r="A163" s="330">
        <v>2027</v>
      </c>
      <c r="B163" s="204"/>
      <c r="C163" s="204"/>
      <c r="D163" s="276">
        <f t="shared" si="8"/>
        <v>0</v>
      </c>
    </row>
    <row r="164" spans="1:9">
      <c r="A164" s="330">
        <v>2028</v>
      </c>
      <c r="B164" s="204"/>
      <c r="C164" s="204"/>
      <c r="D164" s="276">
        <f t="shared" si="8"/>
        <v>0</v>
      </c>
    </row>
    <row r="165" spans="1:9">
      <c r="A165" s="330">
        <v>2029</v>
      </c>
      <c r="B165" s="204"/>
      <c r="C165" s="204"/>
      <c r="D165" s="276">
        <f t="shared" si="8"/>
        <v>0</v>
      </c>
    </row>
    <row r="166" spans="1:9">
      <c r="A166" s="837" t="s">
        <v>3624</v>
      </c>
      <c r="B166" s="204"/>
      <c r="C166" s="204"/>
      <c r="D166" s="276">
        <f t="shared" si="8"/>
        <v>0</v>
      </c>
      <c r="E166" s="1251"/>
      <c r="F166" s="1252"/>
      <c r="G166" s="1252"/>
      <c r="H166" s="1252"/>
      <c r="I166" s="1252"/>
    </row>
    <row r="167" spans="1:9">
      <c r="A167" s="837" t="s">
        <v>3626</v>
      </c>
      <c r="B167" s="204"/>
      <c r="C167" s="204"/>
      <c r="D167" s="276">
        <f t="shared" si="8"/>
        <v>0</v>
      </c>
      <c r="E167" s="1252"/>
      <c r="F167" s="1252"/>
      <c r="G167" s="1252"/>
      <c r="H167" s="1252"/>
      <c r="I167" s="1252"/>
    </row>
    <row r="168" spans="1:9">
      <c r="A168" s="837" t="s">
        <v>3625</v>
      </c>
      <c r="B168" s="204"/>
      <c r="C168" s="204"/>
      <c r="D168" s="276">
        <f t="shared" si="8"/>
        <v>0</v>
      </c>
    </row>
    <row r="169" spans="1:9">
      <c r="A169" s="837" t="s">
        <v>3627</v>
      </c>
      <c r="B169" s="204"/>
      <c r="C169" s="204"/>
      <c r="D169" s="276">
        <f t="shared" si="8"/>
        <v>0</v>
      </c>
    </row>
    <row r="170" spans="1:9">
      <c r="A170" s="837" t="s">
        <v>3628</v>
      </c>
      <c r="B170" s="204"/>
      <c r="C170" s="204"/>
      <c r="D170" s="276">
        <f t="shared" si="8"/>
        <v>0</v>
      </c>
    </row>
    <row r="171" spans="1:9">
      <c r="A171" s="837" t="s">
        <v>3629</v>
      </c>
      <c r="B171" s="204"/>
      <c r="C171" s="204"/>
      <c r="D171" s="276">
        <f t="shared" si="8"/>
        <v>0</v>
      </c>
    </row>
    <row r="172" spans="1:9">
      <c r="A172" s="837" t="s">
        <v>3630</v>
      </c>
      <c r="B172" s="204"/>
      <c r="C172" s="204"/>
      <c r="D172" s="276">
        <f t="shared" si="8"/>
        <v>0</v>
      </c>
    </row>
    <row r="173" spans="1:9">
      <c r="A173" s="837" t="s">
        <v>3631</v>
      </c>
      <c r="B173" s="204"/>
      <c r="C173" s="204"/>
      <c r="D173" s="276">
        <f t="shared" si="8"/>
        <v>0</v>
      </c>
    </row>
    <row r="174" spans="1:9">
      <c r="A174" s="837" t="s">
        <v>3632</v>
      </c>
      <c r="B174" s="204"/>
      <c r="C174" s="204"/>
      <c r="D174" s="276">
        <f t="shared" si="8"/>
        <v>0</v>
      </c>
    </row>
    <row r="175" spans="1:9" ht="13.5" thickBot="1">
      <c r="A175" s="168" t="s">
        <v>285</v>
      </c>
      <c r="B175" s="206">
        <f>IF(SUM(B161:B174)=SUM('Enterprise Template'!G140,'Enterprise Template'!G166),SUM(B161:B174),"ERROR")</f>
        <v>0</v>
      </c>
      <c r="C175" s="206">
        <f>SUM(C161:C174)</f>
        <v>0</v>
      </c>
      <c r="D175" s="206">
        <f>SUM(D161:D174)</f>
        <v>0</v>
      </c>
    </row>
    <row r="176" spans="1:9" ht="13.5" thickTop="1">
      <c r="A176" s="289" t="s">
        <v>440</v>
      </c>
      <c r="B176" s="819">
        <f>(SUM(B161:B174))-(SUM('Enterprise Template'!G140,'Enterprise Template'!G166))</f>
        <v>0</v>
      </c>
      <c r="C176" s="838"/>
      <c r="D176" s="838"/>
    </row>
    <row r="177" spans="1:8">
      <c r="A177" s="168"/>
      <c r="B177" s="213"/>
    </row>
    <row r="178" spans="1:8">
      <c r="A178" s="168"/>
      <c r="B178" s="928"/>
    </row>
    <row r="179" spans="1:8" ht="15">
      <c r="A179" s="1247" t="s">
        <v>3412</v>
      </c>
      <c r="B179" s="1247"/>
      <c r="C179" s="1247"/>
      <c r="D179" s="1247"/>
      <c r="E179" s="1247"/>
      <c r="F179" s="1247"/>
      <c r="G179" s="120"/>
      <c r="H179" s="593" t="s">
        <v>851</v>
      </c>
    </row>
    <row r="180" spans="1:8">
      <c r="A180" s="166" t="s">
        <v>3368</v>
      </c>
      <c r="B180" s="109"/>
    </row>
    <row r="181" spans="1:8">
      <c r="A181" s="1248" t="str">
        <f>IF(H179= "yes","Answer Required","N/A")</f>
        <v>N/A</v>
      </c>
      <c r="B181" s="1249"/>
      <c r="C181" s="1249"/>
      <c r="D181" s="1249"/>
      <c r="E181" s="1249"/>
      <c r="F181" s="1249"/>
      <c r="G181" s="1249"/>
      <c r="H181" s="1250"/>
    </row>
    <row r="182" spans="1:8">
      <c r="A182" s="289"/>
      <c r="B182" s="819"/>
      <c r="C182" s="838"/>
      <c r="D182" s="838"/>
    </row>
    <row r="183" spans="1:8" ht="29.25" customHeight="1">
      <c r="A183" s="1247" t="s">
        <v>3413</v>
      </c>
      <c r="B183" s="1247"/>
      <c r="C183" s="1247"/>
      <c r="D183" s="1247"/>
      <c r="E183" s="1247"/>
      <c r="F183" s="1247"/>
      <c r="G183" s="120"/>
      <c r="H183" s="593" t="s">
        <v>851</v>
      </c>
    </row>
    <row r="184" spans="1:8">
      <c r="A184" s="166" t="s">
        <v>3368</v>
      </c>
      <c r="B184" s="109"/>
    </row>
    <row r="185" spans="1:8">
      <c r="A185" s="1248" t="str">
        <f>IF(H183= "yes","Answer Required","N/A")</f>
        <v>N/A</v>
      </c>
      <c r="B185" s="1249"/>
      <c r="C185" s="1249"/>
      <c r="D185" s="1249"/>
      <c r="E185" s="1249"/>
      <c r="F185" s="1249"/>
      <c r="G185" s="1249"/>
      <c r="H185" s="1250"/>
    </row>
    <row r="186" spans="1:8">
      <c r="A186" s="539"/>
      <c r="B186" s="839"/>
      <c r="C186" s="839"/>
      <c r="D186" s="839"/>
    </row>
    <row r="187" spans="1:8">
      <c r="A187" s="18"/>
      <c r="B187" s="18"/>
      <c r="C187" s="18"/>
      <c r="D187" s="18"/>
      <c r="E187" s="18"/>
      <c r="F187" s="18"/>
      <c r="G187" s="18"/>
      <c r="H187" s="18"/>
    </row>
    <row r="188" spans="1:8" hidden="1">
      <c r="A188" s="13"/>
    </row>
    <row r="189" spans="1:8">
      <c r="A189" s="13" t="s">
        <v>3400</v>
      </c>
    </row>
    <row r="192" spans="1:8">
      <c r="A192" s="168" t="s">
        <v>287</v>
      </c>
      <c r="B192" s="332" t="s">
        <v>286</v>
      </c>
      <c r="C192" s="332" t="s">
        <v>288</v>
      </c>
      <c r="D192" s="113" t="s">
        <v>285</v>
      </c>
    </row>
    <row r="193" spans="1:6">
      <c r="A193" s="333"/>
      <c r="B193" s="334"/>
      <c r="C193" s="334"/>
      <c r="F193" s="818" t="s">
        <v>3190</v>
      </c>
    </row>
    <row r="194" spans="1:6">
      <c r="A194" s="330">
        <v>2025</v>
      </c>
      <c r="B194" s="204"/>
      <c r="C194" s="204"/>
      <c r="D194" s="207">
        <f>IF(B194='Enterprise Template'!G143,SUM(B194:C194),"Error")</f>
        <v>0</v>
      </c>
      <c r="E194" s="284"/>
      <c r="F194" s="819">
        <f>(B194)-(F22)</f>
        <v>0</v>
      </c>
    </row>
    <row r="195" spans="1:6">
      <c r="A195" s="330">
        <v>2026</v>
      </c>
      <c r="B195" s="204"/>
      <c r="C195" s="204"/>
      <c r="D195" s="208">
        <f t="shared" ref="D195:D209" si="9">SUM(B195:C195)</f>
        <v>0</v>
      </c>
    </row>
    <row r="196" spans="1:6">
      <c r="A196" s="330">
        <v>2027</v>
      </c>
      <c r="B196" s="204"/>
      <c r="C196" s="204"/>
      <c r="D196" s="208">
        <f t="shared" si="9"/>
        <v>0</v>
      </c>
    </row>
    <row r="197" spans="1:6">
      <c r="A197" s="330">
        <v>2028</v>
      </c>
      <c r="B197" s="204"/>
      <c r="C197" s="204"/>
      <c r="D197" s="208">
        <f t="shared" si="9"/>
        <v>0</v>
      </c>
    </row>
    <row r="198" spans="1:6">
      <c r="A198" s="330">
        <v>2029</v>
      </c>
      <c r="B198" s="204"/>
      <c r="C198" s="204"/>
      <c r="D198" s="208">
        <f t="shared" si="9"/>
        <v>0</v>
      </c>
    </row>
    <row r="199" spans="1:6">
      <c r="A199" s="837" t="s">
        <v>3624</v>
      </c>
      <c r="B199" s="204"/>
      <c r="C199" s="204"/>
      <c r="D199" s="208">
        <f t="shared" si="9"/>
        <v>0</v>
      </c>
    </row>
    <row r="200" spans="1:6">
      <c r="A200" s="837" t="s">
        <v>3626</v>
      </c>
      <c r="B200" s="204"/>
      <c r="C200" s="204"/>
      <c r="D200" s="208">
        <f t="shared" si="9"/>
        <v>0</v>
      </c>
    </row>
    <row r="201" spans="1:6">
      <c r="A201" s="837" t="s">
        <v>3625</v>
      </c>
      <c r="B201" s="204"/>
      <c r="C201" s="204"/>
      <c r="D201" s="208">
        <f t="shared" si="9"/>
        <v>0</v>
      </c>
    </row>
    <row r="202" spans="1:6">
      <c r="A202" s="837" t="s">
        <v>3627</v>
      </c>
      <c r="B202" s="204"/>
      <c r="C202" s="204"/>
      <c r="D202" s="208">
        <f t="shared" si="9"/>
        <v>0</v>
      </c>
    </row>
    <row r="203" spans="1:6">
      <c r="A203" s="837" t="s">
        <v>3628</v>
      </c>
      <c r="B203" s="204"/>
      <c r="C203" s="204"/>
      <c r="D203" s="208">
        <f t="shared" si="9"/>
        <v>0</v>
      </c>
    </row>
    <row r="204" spans="1:6">
      <c r="A204" s="837" t="s">
        <v>3629</v>
      </c>
      <c r="B204" s="204"/>
      <c r="C204" s="204"/>
      <c r="D204" s="208">
        <f t="shared" si="9"/>
        <v>0</v>
      </c>
    </row>
    <row r="205" spans="1:6">
      <c r="A205" s="837" t="s">
        <v>3630</v>
      </c>
      <c r="B205" s="204"/>
      <c r="C205" s="204"/>
      <c r="D205" s="208">
        <f t="shared" si="9"/>
        <v>0</v>
      </c>
    </row>
    <row r="206" spans="1:6">
      <c r="A206" s="837" t="s">
        <v>3631</v>
      </c>
      <c r="B206" s="204"/>
      <c r="C206" s="204"/>
      <c r="D206" s="208">
        <f t="shared" si="9"/>
        <v>0</v>
      </c>
    </row>
    <row r="207" spans="1:6">
      <c r="A207" s="837" t="s">
        <v>3632</v>
      </c>
      <c r="B207" s="204"/>
      <c r="C207" s="204"/>
      <c r="D207" s="208">
        <f t="shared" si="9"/>
        <v>0</v>
      </c>
    </row>
    <row r="208" spans="1:6">
      <c r="A208" s="168" t="s">
        <v>289</v>
      </c>
      <c r="B208" s="204"/>
      <c r="C208" s="204"/>
      <c r="D208" s="208">
        <f t="shared" si="9"/>
        <v>0</v>
      </c>
    </row>
    <row r="209" spans="1:10" ht="25.5">
      <c r="A209" s="335" t="s">
        <v>290</v>
      </c>
      <c r="B209" s="204"/>
      <c r="C209" s="204"/>
      <c r="D209" s="208">
        <f t="shared" si="9"/>
        <v>0</v>
      </c>
    </row>
    <row r="210" spans="1:10" hidden="1">
      <c r="A210" s="168" t="s">
        <v>24</v>
      </c>
      <c r="B210" s="204"/>
      <c r="C210" s="204"/>
      <c r="D210" s="276">
        <f>SUM(B210:C210)</f>
        <v>0</v>
      </c>
    </row>
    <row r="211" spans="1:10">
      <c r="A211" s="168" t="s">
        <v>25</v>
      </c>
      <c r="B211" s="204"/>
      <c r="C211" s="204"/>
      <c r="D211" s="276">
        <f>SUM(B211:C211)</f>
        <v>0</v>
      </c>
    </row>
    <row r="212" spans="1:10">
      <c r="A212" s="335" t="s">
        <v>26</v>
      </c>
      <c r="B212" s="204"/>
      <c r="C212" s="204"/>
      <c r="D212" s="276">
        <f>SUM(B212:C212)</f>
        <v>0</v>
      </c>
    </row>
    <row r="213" spans="1:10">
      <c r="B213" s="209"/>
      <c r="C213" s="209"/>
      <c r="D213" s="114"/>
    </row>
    <row r="214" spans="1:10" ht="13.5" thickBot="1">
      <c r="A214" s="168" t="s">
        <v>285</v>
      </c>
      <c r="B214" s="210">
        <f>IF(SUM(B194:B212)=SUM('Enterprise Template'!G143,'Enterprise Template'!G169),SUM(B194:B212),"ERROR")</f>
        <v>0</v>
      </c>
      <c r="C214" s="210">
        <f>SUM(C194:C212)</f>
        <v>0</v>
      </c>
      <c r="D214" s="210">
        <f>SUM(D194:D212)</f>
        <v>0</v>
      </c>
    </row>
    <row r="215" spans="1:10" ht="13.5" thickTop="1">
      <c r="A215" s="284" t="s">
        <v>440</v>
      </c>
      <c r="B215" s="283">
        <f>(SUM(B194:B212))-(SUM('Enterprise Template'!G143,'Enterprise Template'!G169))</f>
        <v>0</v>
      </c>
    </row>
    <row r="216" spans="1:10">
      <c r="A216" s="1212" t="s">
        <v>3613</v>
      </c>
      <c r="B216" s="1054"/>
      <c r="C216" s="1054"/>
      <c r="D216" s="1055"/>
      <c r="E216" s="1213"/>
      <c r="F216" s="1214"/>
      <c r="G216" s="360"/>
      <c r="J216" s="12" t="s">
        <v>454</v>
      </c>
    </row>
    <row r="217" spans="1:10">
      <c r="A217" s="1212" t="s">
        <v>3614</v>
      </c>
      <c r="B217" s="1054"/>
      <c r="C217" s="1054"/>
      <c r="D217" s="1055"/>
      <c r="E217" s="1213"/>
      <c r="F217" s="1214"/>
      <c r="G217" s="360"/>
      <c r="J217" s="12" t="s">
        <v>455</v>
      </c>
    </row>
    <row r="218" spans="1:10">
      <c r="A218" s="1212" t="s">
        <v>3615</v>
      </c>
      <c r="B218" s="1054"/>
      <c r="C218" s="1054"/>
      <c r="D218" s="1055"/>
      <c r="E218" s="1215"/>
      <c r="F218" s="1216"/>
      <c r="G218" s="361"/>
      <c r="J218" s="12" t="s">
        <v>456</v>
      </c>
    </row>
    <row r="219" spans="1:10">
      <c r="A219" s="1212" t="s">
        <v>3616</v>
      </c>
      <c r="B219" s="1054"/>
      <c r="C219" s="1054"/>
      <c r="D219" s="1055"/>
      <c r="E219" s="1215"/>
      <c r="F219" s="1216"/>
      <c r="G219" s="361"/>
    </row>
    <row r="220" spans="1:10">
      <c r="E220" s="361"/>
      <c r="F220" s="361"/>
      <c r="G220" s="361"/>
    </row>
    <row r="221" spans="1:10" ht="15">
      <c r="A221" s="116" t="s">
        <v>3617</v>
      </c>
      <c r="B221" s="117"/>
      <c r="C221" s="117"/>
      <c r="D221" s="117"/>
      <c r="E221" s="593" t="str">
        <f>IF(D214&lt;&gt;0,"Answer Required","N/A")</f>
        <v>N/A</v>
      </c>
      <c r="F221" s="361"/>
      <c r="G221" s="361"/>
    </row>
    <row r="222" spans="1:10" ht="108.75" customHeight="1">
      <c r="A222" s="1222" t="s">
        <v>3755</v>
      </c>
      <c r="B222" s="1223"/>
      <c r="C222" s="1223"/>
      <c r="D222" s="1224"/>
      <c r="E222" s="361"/>
      <c r="F222" s="361"/>
      <c r="G222" s="361"/>
    </row>
    <row r="223" spans="1:10" ht="79.5" customHeight="1">
      <c r="A223" s="1218" t="str">
        <f>IF(E221="Yes","Answer Required","N/A")</f>
        <v>N/A</v>
      </c>
      <c r="B223" s="1219"/>
      <c r="C223" s="1219"/>
      <c r="D223" s="1219"/>
      <c r="E223" s="1220"/>
      <c r="F223" s="361"/>
      <c r="G223" s="361"/>
    </row>
    <row r="224" spans="1:10" ht="17.25" customHeight="1">
      <c r="A224" s="361"/>
      <c r="B224" s="361"/>
      <c r="C224" s="361"/>
      <c r="D224" s="361"/>
      <c r="E224" s="361"/>
      <c r="F224" s="361"/>
      <c r="G224" s="361"/>
      <c r="H224" s="361"/>
    </row>
    <row r="225" spans="1:8" ht="40.5" customHeight="1">
      <c r="A225" s="1225" t="s">
        <v>3633</v>
      </c>
      <c r="B225" s="1226"/>
      <c r="C225" s="1226"/>
      <c r="D225" s="1227"/>
      <c r="E225" s="593" t="str">
        <f>IF(D214&lt;&gt;0,"Answer Required","N/A")</f>
        <v>N/A</v>
      </c>
      <c r="F225" s="361"/>
      <c r="G225" s="361"/>
    </row>
    <row r="226" spans="1:8" ht="52.5" customHeight="1">
      <c r="A226" s="1228" t="s">
        <v>3793</v>
      </c>
      <c r="B226" s="1228"/>
      <c r="C226" s="1228"/>
      <c r="D226" s="1228"/>
      <c r="E226" s="361"/>
      <c r="F226" s="361"/>
    </row>
    <row r="227" spans="1:8" ht="63.75" customHeight="1">
      <c r="A227" s="1218" t="str">
        <f>IF(E225="Yes","Answer Required","N/A")</f>
        <v>N/A</v>
      </c>
      <c r="B227" s="1219"/>
      <c r="C227" s="1219"/>
      <c r="D227" s="1219"/>
      <c r="E227" s="1220"/>
      <c r="F227" s="361"/>
      <c r="G227" s="361"/>
    </row>
    <row r="228" spans="1:8">
      <c r="A228" s="18"/>
      <c r="B228" s="18"/>
      <c r="C228" s="18"/>
      <c r="D228" s="18"/>
      <c r="E228" s="18"/>
      <c r="F228" s="18"/>
      <c r="G228" s="18"/>
      <c r="H228" s="18"/>
    </row>
    <row r="230" spans="1:8">
      <c r="A230" s="13" t="s">
        <v>3401</v>
      </c>
    </row>
    <row r="232" spans="1:8">
      <c r="A232" s="168"/>
      <c r="B232" s="111" t="s">
        <v>443</v>
      </c>
      <c r="C232" s="111" t="s">
        <v>407</v>
      </c>
      <c r="D232" s="111" t="s">
        <v>285</v>
      </c>
    </row>
    <row r="233" spans="1:8">
      <c r="A233" s="168" t="s">
        <v>408</v>
      </c>
      <c r="B233" s="204"/>
      <c r="C233" s="204"/>
      <c r="D233" s="208">
        <f>IF(SUM(B233:C233)='Enterprise Template'!G137,SUM(B233:C233),"ERROR")</f>
        <v>0</v>
      </c>
      <c r="E233" s="284"/>
    </row>
    <row r="234" spans="1:8">
      <c r="A234" s="168" t="s">
        <v>409</v>
      </c>
      <c r="B234" s="204"/>
      <c r="C234" s="204"/>
      <c r="D234" s="207">
        <f>SUM(B234:C234)</f>
        <v>0</v>
      </c>
    </row>
    <row r="235" spans="1:8">
      <c r="A235" s="168" t="s">
        <v>410</v>
      </c>
      <c r="B235" s="205">
        <f>SUM(B233:B234)</f>
        <v>0</v>
      </c>
      <c r="C235" s="205">
        <f>SUM(C233:C234)</f>
        <v>0</v>
      </c>
      <c r="D235" s="208">
        <f>IF(SUM(B235:C235)=SUM('Enterprise Template'!G137,'Enterprise Template'!G163),SUM(B235:C235),"ERROR")</f>
        <v>0</v>
      </c>
      <c r="E235" s="284" t="s">
        <v>440</v>
      </c>
      <c r="F235" s="283">
        <f>(SUM(D233:D234)-(SUM('Enterprise Template'!G137,'Enterprise Template'!G163)))</f>
        <v>0</v>
      </c>
      <c r="G235" s="283"/>
    </row>
    <row r="236" spans="1:8">
      <c r="A236" s="168" t="s">
        <v>411</v>
      </c>
      <c r="B236" s="204"/>
      <c r="C236" s="204"/>
      <c r="D236" s="207">
        <f>SUM(B236:C236)</f>
        <v>0</v>
      </c>
    </row>
    <row r="237" spans="1:8" ht="13.5" thickBot="1">
      <c r="A237" s="168" t="s">
        <v>412</v>
      </c>
      <c r="B237" s="206">
        <f>SUM(B235:B236)</f>
        <v>0</v>
      </c>
      <c r="C237" s="206">
        <f>SUM(C235:C236)</f>
        <v>0</v>
      </c>
      <c r="D237" s="206">
        <f>SUM(D235:D236)</f>
        <v>0</v>
      </c>
    </row>
    <row r="238" spans="1:8" ht="13.5" thickTop="1"/>
    <row r="240" spans="1:8">
      <c r="A240" s="12" t="s">
        <v>3386</v>
      </c>
    </row>
    <row r="242" spans="1:7">
      <c r="A242" s="116" t="s">
        <v>437</v>
      </c>
      <c r="B242" s="117"/>
      <c r="C242" s="117"/>
      <c r="D242" s="117"/>
      <c r="E242" s="350"/>
    </row>
    <row r="243" spans="1:7">
      <c r="A243" s="118" t="s">
        <v>375</v>
      </c>
      <c r="E243" s="352"/>
    </row>
    <row r="244" spans="1:7">
      <c r="A244" s="118" t="s">
        <v>438</v>
      </c>
      <c r="E244" s="352"/>
    </row>
    <row r="245" spans="1:7">
      <c r="A245" s="118" t="s">
        <v>439</v>
      </c>
      <c r="E245" s="352"/>
    </row>
    <row r="246" spans="1:7">
      <c r="A246" s="118"/>
      <c r="E246" s="352"/>
    </row>
    <row r="247" spans="1:7">
      <c r="A247" s="118" t="s">
        <v>3791</v>
      </c>
      <c r="E247" s="352"/>
    </row>
    <row r="248" spans="1:7">
      <c r="A248" s="119" t="s">
        <v>3792</v>
      </c>
      <c r="B248" s="18"/>
      <c r="C248" s="18"/>
      <c r="D248" s="18"/>
      <c r="E248" s="638"/>
    </row>
    <row r="250" spans="1:7" ht="12.75" customHeight="1">
      <c r="A250" s="12" t="s">
        <v>3618</v>
      </c>
      <c r="E250" s="473" t="str">
        <f>IF($B$1=172,"Answer Required","N/A")</f>
        <v>N/A</v>
      </c>
    </row>
    <row r="251" spans="1:7" ht="18" customHeight="1">
      <c r="A251" s="1221" t="s">
        <v>181</v>
      </c>
      <c r="B251" s="1221"/>
      <c r="C251" s="1221"/>
      <c r="D251" s="1221"/>
      <c r="E251" s="1221"/>
    </row>
    <row r="252" spans="1:7" ht="74.25" customHeight="1">
      <c r="A252" s="1218" t="str">
        <f>IF(E250="Yes","Answer Required","N/A")</f>
        <v>N/A</v>
      </c>
      <c r="B252" s="1219"/>
      <c r="C252" s="1219"/>
      <c r="D252" s="1219"/>
      <c r="E252" s="1220"/>
      <c r="F252" s="126"/>
      <c r="G252" s="126"/>
    </row>
    <row r="253" spans="1:7" ht="15" customHeight="1">
      <c r="A253" s="1217"/>
      <c r="B253" s="1217"/>
      <c r="C253" s="1217"/>
      <c r="D253" s="1217"/>
      <c r="E253" s="1217"/>
    </row>
    <row r="256" spans="1:7" hidden="1">
      <c r="A256" s="12" t="s">
        <v>270</v>
      </c>
    </row>
    <row r="257" spans="1:1" hidden="1">
      <c r="A257" s="12" t="s">
        <v>271</v>
      </c>
    </row>
    <row r="258" spans="1:1" hidden="1">
      <c r="A258" s="12" t="s">
        <v>456</v>
      </c>
    </row>
  </sheetData>
  <sheetProtection algorithmName="SHA-512" hashValue="IbqUla9IqoYFhamzYVWpiUKOlkaEOtTJTlJobLg3wL3N/fCz16+/EBByskcBRCep6R1dXgJGf6RnV6Vx5z6kmw==" saltValue="o6o+D8/Ln5tgMCpS6VKoXQ==" spinCount="100000" sheet="1" objects="1" scenarios="1"/>
  <mergeCells count="37">
    <mergeCell ref="A185:H185"/>
    <mergeCell ref="B5:F5"/>
    <mergeCell ref="B7:F7"/>
    <mergeCell ref="B1:F1"/>
    <mergeCell ref="B2:F2"/>
    <mergeCell ref="B3:F3"/>
    <mergeCell ref="B4:F4"/>
    <mergeCell ref="A216:D216"/>
    <mergeCell ref="E216:F216"/>
    <mergeCell ref="B6:F6"/>
    <mergeCell ref="F32:H32"/>
    <mergeCell ref="A52:F52"/>
    <mergeCell ref="A81:H81"/>
    <mergeCell ref="A91:F97"/>
    <mergeCell ref="A120:F120"/>
    <mergeCell ref="A122:H122"/>
    <mergeCell ref="A124:F124"/>
    <mergeCell ref="A126:H126"/>
    <mergeCell ref="E107:I108"/>
    <mergeCell ref="E166:I167"/>
    <mergeCell ref="A179:F179"/>
    <mergeCell ref="A181:H181"/>
    <mergeCell ref="A183:F183"/>
    <mergeCell ref="A217:D217"/>
    <mergeCell ref="E217:F217"/>
    <mergeCell ref="A218:D218"/>
    <mergeCell ref="E218:F218"/>
    <mergeCell ref="A253:E253"/>
    <mergeCell ref="A219:D219"/>
    <mergeCell ref="E219:F219"/>
    <mergeCell ref="A252:E252"/>
    <mergeCell ref="A251:E251"/>
    <mergeCell ref="A222:D222"/>
    <mergeCell ref="A225:D225"/>
    <mergeCell ref="A226:D226"/>
    <mergeCell ref="A223:E223"/>
    <mergeCell ref="A227:E227"/>
  </mergeCells>
  <phoneticPr fontId="46" type="noConversion"/>
  <conditionalFormatting sqref="A223:E223">
    <cfRule type="cellIs" dxfId="147" priority="19" operator="equal">
      <formula>"Answer Required"</formula>
    </cfRule>
  </conditionalFormatting>
  <conditionalFormatting sqref="A227:E227">
    <cfRule type="cellIs" dxfId="146" priority="18" operator="equal">
      <formula>"Answer Required"</formula>
    </cfRule>
  </conditionalFormatting>
  <conditionalFormatting sqref="A252:E252">
    <cfRule type="cellIs" dxfId="145" priority="17" operator="equal">
      <formula>"Answer Required"</formula>
    </cfRule>
  </conditionalFormatting>
  <conditionalFormatting sqref="A52:F52">
    <cfRule type="cellIs" dxfId="144" priority="22" operator="equal">
      <formula>"Answer Required"</formula>
    </cfRule>
  </conditionalFormatting>
  <conditionalFormatting sqref="A91:F97">
    <cfRule type="cellIs" dxfId="143" priority="20" operator="equal">
      <formula>"Answer Required"</formula>
    </cfRule>
  </conditionalFormatting>
  <conditionalFormatting sqref="A81:H81">
    <cfRule type="cellIs" dxfId="142" priority="21" operator="equal">
      <formula>"Answer Required"</formula>
    </cfRule>
  </conditionalFormatting>
  <conditionalFormatting sqref="A122:H122">
    <cfRule type="cellIs" dxfId="141" priority="12" operator="equal">
      <formula>"Answer Required"</formula>
    </cfRule>
  </conditionalFormatting>
  <conditionalFormatting sqref="A126:H126">
    <cfRule type="cellIs" dxfId="140" priority="11" operator="equal">
      <formula>"Answer Required"</formula>
    </cfRule>
  </conditionalFormatting>
  <conditionalFormatting sqref="A181:H181">
    <cfRule type="cellIs" dxfId="139" priority="6" operator="equal">
      <formula>"Answer Required"</formula>
    </cfRule>
  </conditionalFormatting>
  <conditionalFormatting sqref="A185:H185">
    <cfRule type="cellIs" dxfId="138" priority="5" operator="equal">
      <formula>"Answer Required"</formula>
    </cfRule>
  </conditionalFormatting>
  <conditionalFormatting sqref="E221">
    <cfRule type="cellIs" dxfId="137" priority="23" operator="equal">
      <formula>"Answer Required"</formula>
    </cfRule>
    <cfRule type="cellIs" dxfId="136" priority="24" operator="equal">
      <formula>"Error"</formula>
    </cfRule>
  </conditionalFormatting>
  <conditionalFormatting sqref="E225">
    <cfRule type="cellIs" dxfId="135" priority="25" operator="equal">
      <formula>"Answer Required"</formula>
    </cfRule>
    <cfRule type="cellIs" dxfId="134" priority="26" operator="equal">
      <formula>"Error"</formula>
    </cfRule>
  </conditionalFormatting>
  <conditionalFormatting sqref="E250">
    <cfRule type="cellIs" dxfId="133" priority="34" operator="equal">
      <formula>"Answer Required"</formula>
    </cfRule>
  </conditionalFormatting>
  <conditionalFormatting sqref="H77">
    <cfRule type="cellIs" dxfId="132" priority="33" operator="equal">
      <formula>"Answer Required"</formula>
    </cfRule>
  </conditionalFormatting>
  <conditionalFormatting sqref="H79">
    <cfRule type="cellIs" dxfId="131" priority="35" operator="equal">
      <formula>"Answer Required"</formula>
    </cfRule>
  </conditionalFormatting>
  <conditionalFormatting sqref="H120">
    <cfRule type="cellIs" dxfId="130" priority="15" operator="equal">
      <formula>"Answer Required"</formula>
    </cfRule>
    <cfRule type="cellIs" dxfId="129" priority="16" operator="equal">
      <formula>"Error"</formula>
    </cfRule>
  </conditionalFormatting>
  <conditionalFormatting sqref="H124">
    <cfRule type="cellIs" dxfId="128" priority="13" operator="equal">
      <formula>"Answer Required"</formula>
    </cfRule>
    <cfRule type="cellIs" dxfId="127" priority="14" operator="equal">
      <formula>"Error"</formula>
    </cfRule>
  </conditionalFormatting>
  <conditionalFormatting sqref="H179">
    <cfRule type="cellIs" dxfId="126" priority="3" operator="equal">
      <formula>"Answer Required"</formula>
    </cfRule>
    <cfRule type="cellIs" dxfId="125" priority="4" operator="equal">
      <formula>"Error"</formula>
    </cfRule>
  </conditionalFormatting>
  <conditionalFormatting sqref="H183">
    <cfRule type="cellIs" dxfId="124" priority="1" operator="equal">
      <formula>"Answer Required"</formula>
    </cfRule>
    <cfRule type="cellIs" dxfId="123" priority="2" operator="equal">
      <formula>"Error"</formula>
    </cfRule>
  </conditionalFormatting>
  <dataValidations count="20">
    <dataValidation type="whole" allowBlank="1" showInputMessage="1" showErrorMessage="1" sqref="D236 D234 C74 D61:D74 C154:D154 C117:D117 C123:D123 C176:D176 C182:D182" xr:uid="{00000000-0002-0000-0B00-000000000000}">
      <formula1>0</formula1>
      <formula2>99999999999999900000</formula2>
    </dataValidation>
    <dataValidation type="whole" allowBlank="1" showErrorMessage="1" prompt="_x000a_" sqref="B237:D237 B74 D60 D194" xr:uid="{00000000-0002-0000-0B00-000001000000}">
      <formula1>0</formula1>
      <formula2>99999999999999900000</formula2>
    </dataValidation>
    <dataValidation allowBlank="1" showErrorMessage="1" sqref="B214 D235 D233" xr:uid="{00000000-0002-0000-0B00-000002000000}"/>
    <dataValidation type="whole" allowBlank="1" showErrorMessage="1" error="Amount must be rounded to the nearest dollar." sqref="B235:C235" xr:uid="{00000000-0002-0000-0B00-000003000000}">
      <formula1>-1000000000000</formula1>
      <formula2>1000000000000</formula2>
    </dataValidation>
    <dataValidation type="whole" allowBlank="1" showInputMessage="1" showErrorMessage="1" sqref="B127:D134 B155:D158 B186:D186" xr:uid="{00000000-0002-0000-0B00-000004000000}">
      <formula1>0</formula1>
      <formula2>9999999999999990</formula2>
    </dataValidation>
    <dataValidation allowBlank="1" sqref="D210:D212" xr:uid="{00000000-0002-0000-0B00-000005000000}"/>
    <dataValidation type="whole" allowBlank="1" showInputMessage="1" showErrorMessage="1" sqref="B48:C48 B27:G27" xr:uid="{00000000-0002-0000-0B00-000006000000}">
      <formula1>0</formula1>
      <formula2>9.99999999999999E+23</formula2>
    </dataValidation>
    <dataValidation type="whole" allowBlank="1" showInputMessage="1" showErrorMessage="1" sqref="D48" xr:uid="{00000000-0002-0000-0B00-000007000000}">
      <formula1>-99999999999999900000</formula1>
      <formula2>9.99999999999999E+23</formula2>
    </dataValidation>
    <dataValidation type="whole" allowBlank="1" showInputMessage="1" showErrorMessage="1" error="Please enter a whole number." sqref="C24:C26 B15:B26 B60:C73 B236:C236 B233:C234 B194:C207 B211:C212 B36:B47" xr:uid="{00000000-0002-0000-0B00-000008000000}">
      <formula1>-99999999999999</formula1>
      <formula2>999999999999999</formula2>
    </dataValidation>
    <dataValidation type="whole" allowBlank="1" showInputMessage="1" showErrorMessage="1" sqref="B75:B78 B87 B85 F24 F26 F60 B154 F194 D139:D152 B153:D153 B116:D116 D102:D115 B123 B175:D175 D161:D174 B182" xr:uid="{00000000-0002-0000-0B00-000009000000}">
      <formula1>-9999999999999</formula1>
      <formula2>9999999999999</formula2>
    </dataValidation>
    <dataValidation type="whole" allowBlank="1" showInputMessage="1" showErrorMessage="1" error="Enter a whole number" sqref="C15:C23 H18:I23 K18:K23" xr:uid="{00000000-0002-0000-0B00-00000A000000}">
      <formula1>-99999999999999</formula1>
      <formula2>999999999999999</formula2>
    </dataValidation>
    <dataValidation type="whole" allowBlank="1" showInputMessage="1" showErrorMessage="1" error="Please enter a negative whole number." sqref="D15:D26 B208:C210" xr:uid="{00000000-0002-0000-0B00-00000B000000}">
      <formula1>-99999999999999900</formula1>
      <formula2>0</formula2>
    </dataValidation>
    <dataValidation type="list" allowBlank="1" showInputMessage="1" showErrorMessage="1" error="Please use the drop-down to select Yes, No, or N/A." sqref="E250" xr:uid="{00000000-0002-0000-0B00-00000C000000}">
      <formula1>$A$256:$A$258</formula1>
    </dataValidation>
    <dataValidation type="list" allowBlank="1" showInputMessage="1" showErrorMessage="1" error="Please use the drop-down list to select Yes, No, or N/A." sqref="H79 H77" xr:uid="{00000000-0002-0000-0B00-00000D000000}">
      <formula1>$A$256:$A$258</formula1>
    </dataValidation>
    <dataValidation type="whole" allowBlank="1" showInputMessage="1" showErrorMessage="1" error="Please enter a whole number." sqref="B86" xr:uid="{00000000-0002-0000-0B00-00000E000000}">
      <formula1>-9999999999999</formula1>
      <formula2>9999999999999</formula2>
    </dataValidation>
    <dataValidation type="list" allowBlank="1" showInputMessage="1" showErrorMessage="1" error="Please use the drop-down to select Yes or No." sqref="E221" xr:uid="{00000000-0002-0000-0B00-00000F000000}">
      <formula1>$J$216:$J$217</formula1>
    </dataValidation>
    <dataValidation type="list" allowBlank="1" showInputMessage="1" showErrorMessage="1" error="Please use the drop-down to select Yes, No, or N/A." sqref="E225" xr:uid="{00000000-0002-0000-0B00-000010000000}">
      <formula1>$J$216:$J$218</formula1>
    </dataValidation>
    <dataValidation type="whole" allowBlank="1" showErrorMessage="1" error="Please enter a whole number." sqref="B139:C152 B102:C115 B161:C174" xr:uid="{00000000-0002-0000-0B00-000011000000}">
      <formula1>-9999999999999</formula1>
      <formula2>9999999999999</formula2>
    </dataValidation>
    <dataValidation type="list" allowBlank="1" showInputMessage="1" showErrorMessage="1" error="Please use the drop-down to select Yes or No." sqref="H124 H183 H179 H120" xr:uid="{00000000-0002-0000-0B00-000012000000}">
      <formula1>A$256:A$257</formula1>
    </dataValidation>
    <dataValidation type="whole" allowBlank="1" showErrorMessage="1" error="Please enter a negative whole number." sqref="B119 B178" xr:uid="{00000000-0002-0000-0B00-000014000000}">
      <formula1>-9999999999999</formula1>
      <formula2>0</formula2>
    </dataValidation>
  </dataValidations>
  <pageMargins left="0.5" right="0.5" top="1.25" bottom="0.25" header="0.44" footer="0.25"/>
  <pageSetup scale="55" orientation="landscape"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4" manualBreakCount="4">
    <brk id="54" max="16383" man="1"/>
    <brk id="98" max="12" man="1"/>
    <brk id="177" max="12" man="1"/>
    <brk id="227" max="12"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L36"/>
  <sheetViews>
    <sheetView showGridLines="0" zoomScale="85" zoomScaleNormal="85" workbookViewId="0">
      <selection activeCell="R31" sqref="R31"/>
    </sheetView>
  </sheetViews>
  <sheetFormatPr defaultColWidth="9.140625" defaultRowHeight="12.75"/>
  <cols>
    <col min="1" max="1" width="43" style="12" customWidth="1"/>
    <col min="2" max="2" width="19" style="12" customWidth="1"/>
    <col min="3" max="3" width="9.140625" style="12"/>
    <col min="4" max="4" width="16" style="12" customWidth="1"/>
    <col min="5" max="5" width="18.7109375" style="12" customWidth="1"/>
    <col min="6" max="11" width="9.140625" style="12"/>
    <col min="12" max="12" width="9.140625" style="12" hidden="1" customWidth="1"/>
    <col min="13" max="16384" width="9.140625" style="12"/>
  </cols>
  <sheetData>
    <row r="1" spans="1:8" ht="12.6" customHeight="1">
      <c r="A1" s="303" t="s">
        <v>272</v>
      </c>
      <c r="B1" s="1141" t="str">
        <f>'Enterprise Template'!E1</f>
        <v/>
      </c>
      <c r="C1" s="1142"/>
      <c r="D1" s="1142"/>
      <c r="E1" s="1142"/>
      <c r="F1" s="1143"/>
    </row>
    <row r="2" spans="1:8" ht="12.75" customHeight="1">
      <c r="A2" s="303" t="s">
        <v>190</v>
      </c>
      <c r="B2" s="1141" t="str">
        <f>IF('Enterprise Template'!E2="","",'Enterprise Template'!E2)</f>
        <v/>
      </c>
      <c r="C2" s="1142"/>
      <c r="D2" s="1142"/>
      <c r="E2" s="1142"/>
      <c r="F2" s="1143"/>
    </row>
    <row r="3" spans="1:8" ht="15" customHeight="1">
      <c r="A3" s="303" t="s">
        <v>447</v>
      </c>
      <c r="B3" s="1144" t="str">
        <f>IF('Enterprise Template'!E3="","",'Enterprise Template'!E3)</f>
        <v/>
      </c>
      <c r="C3" s="1145"/>
      <c r="D3" s="1145"/>
      <c r="E3" s="1145"/>
      <c r="F3" s="1146"/>
    </row>
    <row r="4" spans="1:8">
      <c r="A4" s="303" t="s">
        <v>448</v>
      </c>
      <c r="B4" s="1147" t="str">
        <f>IF('Enterprise Template'!E4="","",'Enterprise Template'!E4)</f>
        <v/>
      </c>
      <c r="C4" s="1148"/>
      <c r="D4" s="1148"/>
      <c r="E4" s="1148"/>
      <c r="F4" s="1149"/>
    </row>
    <row r="5" spans="1:8">
      <c r="A5" s="303" t="s">
        <v>2847</v>
      </c>
      <c r="B5" s="1135" t="str">
        <f>IF('Enterprise Template'!E5="","",'Enterprise Template'!E5)</f>
        <v/>
      </c>
      <c r="C5" s="1136"/>
      <c r="D5" s="1136"/>
      <c r="E5" s="1136"/>
      <c r="F5" s="1137"/>
    </row>
    <row r="6" spans="1:8">
      <c r="A6" s="303" t="s">
        <v>449</v>
      </c>
      <c r="B6" s="1138" t="str">
        <f>IF('Enterprise Template'!E6="","",'Enterprise Template'!E6)</f>
        <v/>
      </c>
      <c r="C6" s="1139"/>
      <c r="D6" s="1139"/>
      <c r="E6" s="1139"/>
      <c r="F6" s="1140"/>
    </row>
    <row r="7" spans="1:8">
      <c r="A7" s="303" t="s">
        <v>224</v>
      </c>
      <c r="B7" s="1141" t="str">
        <f>'Enterprise Template'!E7</f>
        <v/>
      </c>
      <c r="C7" s="1142"/>
      <c r="D7" s="1142"/>
      <c r="E7" s="1142"/>
      <c r="F7" s="1143"/>
    </row>
    <row r="8" spans="1:8">
      <c r="A8" s="312"/>
      <c r="B8" s="313"/>
      <c r="C8" s="313"/>
      <c r="D8" s="313"/>
      <c r="E8" s="313"/>
    </row>
    <row r="9" spans="1:8" ht="12.6" customHeight="1">
      <c r="A9" s="314" t="s">
        <v>139</v>
      </c>
      <c r="B9" s="13"/>
      <c r="C9" s="13"/>
      <c r="D9" s="13"/>
      <c r="E9" s="336"/>
    </row>
    <row r="10" spans="1:8" ht="12.6" customHeight="1">
      <c r="A10" s="316" t="str">
        <f>'Enterprise Template'!$A$27:$D$27</f>
        <v>For the Year Ended June 30, 2024</v>
      </c>
      <c r="B10" s="13"/>
      <c r="C10" s="13"/>
      <c r="D10" s="13"/>
      <c r="E10" s="337"/>
    </row>
    <row r="11" spans="1:8" ht="12.6" customHeight="1">
      <c r="A11" s="320"/>
      <c r="E11" s="317"/>
    </row>
    <row r="14" spans="1:8" ht="111" customHeight="1">
      <c r="A14" s="593" t="s">
        <v>851</v>
      </c>
      <c r="B14" s="789">
        <v>1</v>
      </c>
      <c r="C14" s="1254" t="s">
        <v>3634</v>
      </c>
      <c r="D14" s="1254"/>
      <c r="E14" s="1254"/>
      <c r="F14" s="1254"/>
      <c r="G14" s="1254"/>
      <c r="H14" s="1254"/>
    </row>
    <row r="15" spans="1:8" ht="54" customHeight="1">
      <c r="A15" s="591"/>
      <c r="B15" s="591"/>
      <c r="C15" s="1255" t="str">
        <f>IF(A14="Yes","Answer Required","N/A")</f>
        <v>N/A</v>
      </c>
      <c r="D15" s="1255"/>
      <c r="E15" s="1255"/>
      <c r="F15" s="1255"/>
      <c r="G15" s="1255"/>
      <c r="H15" s="1255"/>
    </row>
    <row r="17" spans="1:8">
      <c r="A17" s="13"/>
    </row>
    <row r="18" spans="1:8" ht="110.25" customHeight="1">
      <c r="A18" s="593" t="s">
        <v>851</v>
      </c>
      <c r="B18" s="789">
        <v>2</v>
      </c>
      <c r="C18" s="1254" t="s">
        <v>3635</v>
      </c>
      <c r="D18" s="1254"/>
      <c r="E18" s="1254"/>
      <c r="F18" s="1254"/>
      <c r="G18" s="1254"/>
      <c r="H18" s="1254"/>
    </row>
    <row r="19" spans="1:8" ht="41.25" customHeight="1">
      <c r="A19" s="591"/>
      <c r="B19" s="591"/>
      <c r="C19" s="1255" t="str">
        <f>IF(A18="Yes","Answer Required","N/A")</f>
        <v>N/A</v>
      </c>
      <c r="D19" s="1255"/>
      <c r="E19" s="1255"/>
      <c r="F19" s="1255"/>
      <c r="G19" s="1255"/>
      <c r="H19" s="1255"/>
    </row>
    <row r="21" spans="1:8" ht="24.75" customHeight="1">
      <c r="A21" s="1253"/>
      <c r="B21" s="1253"/>
      <c r="C21" s="1253"/>
      <c r="D21" s="1253"/>
      <c r="E21" s="1253"/>
    </row>
    <row r="22" spans="1:8" ht="99" customHeight="1">
      <c r="A22" s="593" t="s">
        <v>851</v>
      </c>
      <c r="B22" s="789">
        <v>3</v>
      </c>
      <c r="C22" s="1254" t="s">
        <v>3636</v>
      </c>
      <c r="D22" s="1254"/>
      <c r="E22" s="1254"/>
      <c r="F22" s="1254"/>
      <c r="G22" s="1254"/>
      <c r="H22" s="1254"/>
    </row>
    <row r="23" spans="1:8" ht="52.5" customHeight="1">
      <c r="A23" s="836"/>
      <c r="B23" s="935"/>
      <c r="C23" s="1255" t="str">
        <f>IF(A22="Yes","Answer Required","N/A")</f>
        <v>N/A</v>
      </c>
      <c r="D23" s="1255"/>
      <c r="E23" s="1255"/>
      <c r="F23" s="1255"/>
      <c r="G23" s="1255"/>
      <c r="H23" s="1255"/>
    </row>
    <row r="27" spans="1:8" hidden="1">
      <c r="E27" s="12" t="s">
        <v>454</v>
      </c>
    </row>
    <row r="28" spans="1:8" hidden="1">
      <c r="E28" s="12" t="s">
        <v>455</v>
      </c>
    </row>
    <row r="31" spans="1:8" ht="127.15" customHeight="1">
      <c r="A31" s="593" t="s">
        <v>851</v>
      </c>
      <c r="B31" s="789">
        <v>4</v>
      </c>
      <c r="C31" s="1254" t="s">
        <v>3637</v>
      </c>
      <c r="D31" s="1254"/>
      <c r="E31" s="1254"/>
      <c r="F31" s="1254"/>
      <c r="G31" s="1254"/>
      <c r="H31" s="1254"/>
    </row>
    <row r="32" spans="1:8" ht="49.5" customHeight="1">
      <c r="A32" s="591"/>
      <c r="B32" s="591"/>
      <c r="C32" s="1255" t="str">
        <f>IF(A31="Yes","Answer Required","N/A")</f>
        <v>N/A</v>
      </c>
      <c r="D32" s="1255"/>
      <c r="E32" s="1255"/>
      <c r="F32" s="1255"/>
      <c r="G32" s="1255"/>
      <c r="H32" s="1255"/>
    </row>
    <row r="34" spans="1:12">
      <c r="A34" s="1253"/>
      <c r="B34" s="1253"/>
      <c r="C34" s="1253"/>
      <c r="D34" s="1253"/>
      <c r="E34" s="1253"/>
    </row>
    <row r="35" spans="1:12" ht="119.25" customHeight="1">
      <c r="A35" s="593" t="s">
        <v>851</v>
      </c>
      <c r="B35" s="789">
        <v>5</v>
      </c>
      <c r="C35" s="1254" t="s">
        <v>3638</v>
      </c>
      <c r="D35" s="1254"/>
      <c r="E35" s="1254"/>
      <c r="F35" s="1254"/>
      <c r="G35" s="1254"/>
      <c r="H35" s="1254"/>
      <c r="L35" s="12" t="s">
        <v>454</v>
      </c>
    </row>
    <row r="36" spans="1:12" ht="47.25" customHeight="1">
      <c r="A36" s="836"/>
      <c r="B36" s="935"/>
      <c r="C36" s="1255" t="str">
        <f>IF(A35="Yes","Answer Required","N/A")</f>
        <v>N/A</v>
      </c>
      <c r="D36" s="1255"/>
      <c r="E36" s="1255"/>
      <c r="F36" s="1255"/>
      <c r="G36" s="1255"/>
      <c r="H36" s="1255"/>
      <c r="L36" s="12" t="s">
        <v>455</v>
      </c>
    </row>
  </sheetData>
  <sheetProtection algorithmName="SHA-512" hashValue="AdvrKG7vXSclAanvjz+KMohOqvMwoL/jl0f7MJukZ78RiNh75sIXSg3wu2SYW36gou+6/7jdmDXt3K7oCeTQtQ==" saltValue="mVXvHFGgIhgrIazkvYyn1Q==" spinCount="100000" sheet="1" objects="1" scenarios="1"/>
  <mergeCells count="19">
    <mergeCell ref="C31:H31"/>
    <mergeCell ref="C32:H32"/>
    <mergeCell ref="A34:E34"/>
    <mergeCell ref="C35:H35"/>
    <mergeCell ref="C36:H36"/>
    <mergeCell ref="C14:H14"/>
    <mergeCell ref="C15:H15"/>
    <mergeCell ref="B1:F1"/>
    <mergeCell ref="B2:F2"/>
    <mergeCell ref="B7:F7"/>
    <mergeCell ref="B3:F3"/>
    <mergeCell ref="B4:F4"/>
    <mergeCell ref="B5:F5"/>
    <mergeCell ref="B6:F6"/>
    <mergeCell ref="A21:E21"/>
    <mergeCell ref="C22:H22"/>
    <mergeCell ref="C23:H23"/>
    <mergeCell ref="C18:H18"/>
    <mergeCell ref="C19:H19"/>
  </mergeCells>
  <phoneticPr fontId="46" type="noConversion"/>
  <conditionalFormatting sqref="A14">
    <cfRule type="cellIs" dxfId="122" priority="13" operator="equal">
      <formula>"Error"</formula>
    </cfRule>
  </conditionalFormatting>
  <conditionalFormatting sqref="A14:A15">
    <cfRule type="cellIs" dxfId="121" priority="12" operator="equal">
      <formula>"Answer Required"</formula>
    </cfRule>
  </conditionalFormatting>
  <conditionalFormatting sqref="A18">
    <cfRule type="cellIs" dxfId="120" priority="11" operator="equal">
      <formula>"Error"</formula>
    </cfRule>
  </conditionalFormatting>
  <conditionalFormatting sqref="A18:A19">
    <cfRule type="cellIs" dxfId="119" priority="10" operator="equal">
      <formula>"Answer Required"</formula>
    </cfRule>
  </conditionalFormatting>
  <conditionalFormatting sqref="A22">
    <cfRule type="cellIs" dxfId="118" priority="8" operator="equal">
      <formula>"Answer Required"</formula>
    </cfRule>
    <cfRule type="cellIs" dxfId="117" priority="9" operator="equal">
      <formula>"Error"</formula>
    </cfRule>
  </conditionalFormatting>
  <conditionalFormatting sqref="A31">
    <cfRule type="cellIs" dxfId="116" priority="4" operator="equal">
      <formula>"Error"</formula>
    </cfRule>
  </conditionalFormatting>
  <conditionalFormatting sqref="A31:A32">
    <cfRule type="cellIs" dxfId="115" priority="3" operator="equal">
      <formula>"Answer Required"</formula>
    </cfRule>
  </conditionalFormatting>
  <conditionalFormatting sqref="A35">
    <cfRule type="cellIs" dxfId="114" priority="1" operator="equal">
      <formula>"Answer Required"</formula>
    </cfRule>
    <cfRule type="cellIs" dxfId="113" priority="2" operator="equal">
      <formula>"Error"</formula>
    </cfRule>
  </conditionalFormatting>
  <conditionalFormatting sqref="C15">
    <cfRule type="cellIs" dxfId="112" priority="14" operator="equal">
      <formula>"Answer Required"</formula>
    </cfRule>
  </conditionalFormatting>
  <conditionalFormatting sqref="C19">
    <cfRule type="cellIs" dxfId="111" priority="18" operator="equal">
      <formula>"Answer Required"</formula>
    </cfRule>
  </conditionalFormatting>
  <conditionalFormatting sqref="C23">
    <cfRule type="cellIs" dxfId="110" priority="20" operator="equal">
      <formula>"Answer Required"</formula>
    </cfRule>
  </conditionalFormatting>
  <conditionalFormatting sqref="C32">
    <cfRule type="cellIs" dxfId="109" priority="5" operator="equal">
      <formula>"Answer Required"</formula>
    </cfRule>
  </conditionalFormatting>
  <conditionalFormatting sqref="C36">
    <cfRule type="cellIs" dxfId="108" priority="7" operator="equal">
      <formula>"Answer Required"</formula>
    </cfRule>
  </conditionalFormatting>
  <dataValidations xWindow="312" yWindow="303" count="2">
    <dataValidation type="whole" allowBlank="1" showInputMessage="1" showErrorMessage="1" error="Enter a positive whole number" sqref="B23 B36" xr:uid="{00000000-0002-0000-0C00-000000000000}">
      <formula1>0</formula1>
      <formula2>9999999999999</formula2>
    </dataValidation>
    <dataValidation type="list" allowBlank="1" showInputMessage="1" showErrorMessage="1" error="Please use the drop-down to select Yes or No." sqref="A14 A22 A18 A35 A31" xr:uid="{00000000-0002-0000-0C00-000001000000}">
      <formula1>$L$35:$L$36</formula1>
    </dataValidation>
  </dataValidations>
  <pageMargins left="0.5" right="0.5" top="1.25" bottom="1" header="0.44" footer="0.5"/>
  <pageSetup scale="58" fitToWidth="0"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72"/>
  <sheetViews>
    <sheetView showGridLines="0" zoomScale="85" zoomScaleNormal="85" zoomScaleSheetLayoutView="90" workbookViewId="0">
      <selection activeCell="B15" sqref="B15:C15"/>
    </sheetView>
  </sheetViews>
  <sheetFormatPr defaultColWidth="9.140625" defaultRowHeight="41.25" customHeight="1"/>
  <cols>
    <col min="1" max="1" width="21.7109375" style="125" customWidth="1"/>
    <col min="2" max="2" width="17.85546875" style="127" customWidth="1"/>
    <col min="3" max="3" width="110.28515625" style="124" customWidth="1"/>
    <col min="4" max="4" width="2.28515625" style="12" customWidth="1"/>
    <col min="5" max="5" width="6.28515625" style="12" customWidth="1"/>
    <col min="6" max="9" width="9.140625" style="12" hidden="1" customWidth="1"/>
    <col min="10" max="10" width="1.85546875" style="12" customWidth="1"/>
    <col min="11" max="13" width="9.140625" style="12" customWidth="1"/>
    <col min="14" max="16384" width="9.140625" style="12"/>
  </cols>
  <sheetData>
    <row r="1" spans="1:9" ht="15.75">
      <c r="A1" s="848" t="s">
        <v>272</v>
      </c>
      <c r="B1" s="49"/>
      <c r="C1" s="847" t="str">
        <f>'Enterprise Template'!E1</f>
        <v/>
      </c>
      <c r="D1" s="50"/>
      <c r="E1" s="50"/>
      <c r="F1" s="241"/>
      <c r="G1" s="240" t="s">
        <v>470</v>
      </c>
      <c r="H1" s="10" t="s">
        <v>402</v>
      </c>
      <c r="I1" s="125" t="s">
        <v>270</v>
      </c>
    </row>
    <row r="2" spans="1:9" ht="15.75">
      <c r="A2" s="848" t="s">
        <v>190</v>
      </c>
      <c r="B2" s="49"/>
      <c r="C2" s="847" t="str">
        <f>IF('Enterprise Template'!E2="","",'Enterprise Template'!E2)</f>
        <v/>
      </c>
      <c r="D2" s="50"/>
      <c r="E2" s="50"/>
      <c r="F2" s="241"/>
      <c r="G2" s="240" t="s">
        <v>471</v>
      </c>
      <c r="H2" s="10" t="s">
        <v>395</v>
      </c>
      <c r="I2" s="125" t="s">
        <v>271</v>
      </c>
    </row>
    <row r="3" spans="1:9" ht="15.75">
      <c r="A3" s="848" t="s">
        <v>447</v>
      </c>
      <c r="B3" s="49"/>
      <c r="C3" s="849" t="str">
        <f>IF('Enterprise Template'!E3="","",'Enterprise Template'!E3)</f>
        <v/>
      </c>
      <c r="D3" s="50"/>
      <c r="E3" s="50"/>
      <c r="F3" s="241"/>
      <c r="G3" s="240" t="s">
        <v>395</v>
      </c>
      <c r="H3" s="10" t="s">
        <v>396</v>
      </c>
      <c r="I3" s="125" t="s">
        <v>456</v>
      </c>
    </row>
    <row r="4" spans="1:9" ht="15.75">
      <c r="A4" s="848" t="s">
        <v>448</v>
      </c>
      <c r="B4" s="49"/>
      <c r="C4" s="850" t="str">
        <f>IF('Enterprise Template'!E4="","",'Enterprise Template'!E4)</f>
        <v/>
      </c>
      <c r="D4" s="50"/>
      <c r="E4" s="50"/>
      <c r="F4" s="241"/>
      <c r="G4" s="240" t="s">
        <v>472</v>
      </c>
      <c r="H4" s="10" t="s">
        <v>397</v>
      </c>
      <c r="I4" s="122"/>
    </row>
    <row r="5" spans="1:9" ht="12.75">
      <c r="A5" s="848" t="s">
        <v>2847</v>
      </c>
      <c r="B5" s="49"/>
      <c r="C5" s="845" t="str">
        <f>IF('Enterprise Template'!E5="","",'Enterprise Template'!E5)</f>
        <v/>
      </c>
      <c r="D5" s="50"/>
      <c r="E5" s="50"/>
      <c r="F5" s="49"/>
      <c r="G5" s="538" t="s">
        <v>456</v>
      </c>
      <c r="H5" s="539" t="s">
        <v>456</v>
      </c>
    </row>
    <row r="6" spans="1:9" ht="12.75">
      <c r="A6" s="848" t="s">
        <v>449</v>
      </c>
      <c r="B6" s="123"/>
      <c r="C6" s="846" t="str">
        <f>IF('Enterprise Template'!E6="","",'Enterprise Template'!E6)</f>
        <v/>
      </c>
      <c r="D6" s="242"/>
      <c r="E6" s="242"/>
      <c r="F6" s="123"/>
      <c r="G6" s="234"/>
      <c r="H6" s="10"/>
    </row>
    <row r="7" spans="1:9" ht="12.75">
      <c r="A7" s="848" t="s">
        <v>224</v>
      </c>
      <c r="B7" s="49"/>
      <c r="C7" s="847" t="str">
        <f>'Enterprise Template'!E7</f>
        <v/>
      </c>
      <c r="D7" s="50"/>
      <c r="E7" s="50"/>
      <c r="F7" s="49"/>
      <c r="G7" s="233"/>
      <c r="H7" s="10"/>
    </row>
    <row r="8" spans="1:9" ht="12.75">
      <c r="A8" s="73"/>
      <c r="B8" s="107"/>
      <c r="C8" s="107"/>
      <c r="D8" s="103"/>
      <c r="E8" s="103"/>
      <c r="G8" s="10"/>
      <c r="H8" s="10"/>
    </row>
    <row r="9" spans="1:9" ht="12.75">
      <c r="A9" s="20" t="s">
        <v>275</v>
      </c>
      <c r="B9" s="34"/>
      <c r="C9" s="34"/>
      <c r="D9" s="19"/>
      <c r="E9" s="72"/>
    </row>
    <row r="10" spans="1:9" ht="12.75">
      <c r="A10" s="24" t="str">
        <f>'Enterprise Template'!$A$27:$D$27</f>
        <v>For the Year Ended June 30, 2024</v>
      </c>
      <c r="B10" s="34"/>
      <c r="C10" s="34"/>
      <c r="D10" s="19"/>
      <c r="E10" s="78"/>
    </row>
    <row r="11" spans="1:9" ht="15.75"/>
    <row r="12" spans="1:9" ht="15.75">
      <c r="A12" s="124"/>
      <c r="B12" s="124"/>
      <c r="C12" s="477" t="s">
        <v>2709</v>
      </c>
    </row>
    <row r="13" spans="1:9" ht="15.75">
      <c r="B13" s="126"/>
      <c r="C13" s="615" t="s">
        <v>851</v>
      </c>
    </row>
    <row r="14" spans="1:9" ht="15.75">
      <c r="A14" s="478" t="s">
        <v>403</v>
      </c>
    </row>
    <row r="15" spans="1:9" ht="25.5">
      <c r="A15" s="564" t="s">
        <v>398</v>
      </c>
      <c r="B15" s="1276" t="str">
        <f>IF('Enterprise Template'!G62&lt;&gt;0,"Answer Required","N/A")</f>
        <v>N/A</v>
      </c>
      <c r="C15" s="1277"/>
    </row>
    <row r="16" spans="1:9" ht="25.5">
      <c r="A16" s="565" t="s">
        <v>401</v>
      </c>
      <c r="B16" s="1276" t="str">
        <f>IF('Enterprise Template'!G62&lt;&gt;0,"Answer Required","N/A")</f>
        <v>N/A</v>
      </c>
      <c r="C16" s="1277"/>
      <c r="G16" s="10"/>
      <c r="H16" s="10"/>
    </row>
    <row r="17" spans="1:10" ht="39" customHeight="1">
      <c r="A17" s="566" t="s">
        <v>400</v>
      </c>
      <c r="B17" s="1278" t="str">
        <f>IF('Enterprise Template'!G62&lt;&gt;0,"Answer Required","N/A")</f>
        <v>N/A</v>
      </c>
      <c r="C17" s="1279"/>
      <c r="G17" s="10"/>
      <c r="H17" s="10"/>
    </row>
    <row r="18" spans="1:10" ht="53.25" customHeight="1">
      <c r="A18" s="566" t="s">
        <v>653</v>
      </c>
      <c r="B18" s="1278" t="str">
        <f>IF('Enterprise Template'!G62&lt;&gt;0,"Answer Required","N/A")</f>
        <v>N/A</v>
      </c>
      <c r="C18" s="1279"/>
      <c r="G18" s="10"/>
      <c r="H18" s="10"/>
    </row>
    <row r="19" spans="1:10" ht="94.5" customHeight="1">
      <c r="A19" s="567" t="s">
        <v>496</v>
      </c>
      <c r="B19" s="1278" t="str">
        <f>IF('Enterprise Template'!G62&lt;&gt;0,"Answer Required","N/A")</f>
        <v>N/A</v>
      </c>
      <c r="C19" s="1279"/>
      <c r="G19" s="10"/>
      <c r="H19" s="10"/>
    </row>
    <row r="20" spans="1:10" ht="66.75" customHeight="1">
      <c r="A20" s="568" t="s">
        <v>506</v>
      </c>
      <c r="B20" s="1278" t="str">
        <f>IF('Enterprise Template'!G62&lt;&gt;0,"Answer Required","N/A")</f>
        <v>N/A</v>
      </c>
      <c r="C20" s="1279"/>
      <c r="G20" s="10"/>
      <c r="H20" s="10"/>
    </row>
    <row r="21" spans="1:10" ht="15.75">
      <c r="A21" s="122"/>
      <c r="B21" s="128"/>
      <c r="C21" s="128"/>
      <c r="G21" s="10"/>
      <c r="H21" s="10"/>
    </row>
    <row r="22" spans="1:10" ht="34.5" hidden="1" customHeight="1">
      <c r="A22" s="1288" t="s">
        <v>316</v>
      </c>
      <c r="B22" s="1289"/>
      <c r="C22" s="1289"/>
      <c r="G22" s="10"/>
      <c r="H22" s="10"/>
    </row>
    <row r="23" spans="1:10" ht="158.25" hidden="1" customHeight="1">
      <c r="A23" s="1285" t="s">
        <v>2778</v>
      </c>
      <c r="B23" s="1286"/>
      <c r="C23" s="1287"/>
      <c r="D23" s="1300" t="s">
        <v>317</v>
      </c>
      <c r="E23" s="1301"/>
      <c r="J23" s="435" t="s">
        <v>317</v>
      </c>
    </row>
    <row r="24" spans="1:10" ht="15.75" hidden="1">
      <c r="A24" s="129"/>
      <c r="B24" s="843"/>
      <c r="C24" s="844"/>
      <c r="D24" s="130">
        <v>1</v>
      </c>
      <c r="E24" s="130">
        <v>2</v>
      </c>
      <c r="J24" s="130">
        <v>2</v>
      </c>
    </row>
    <row r="25" spans="1:10" ht="15.75" hidden="1">
      <c r="A25" s="122"/>
      <c r="B25" s="131" t="s">
        <v>497</v>
      </c>
      <c r="C25" s="132" t="s">
        <v>167</v>
      </c>
      <c r="D25" s="563"/>
      <c r="E25" s="563"/>
      <c r="J25" s="563"/>
    </row>
    <row r="26" spans="1:10" ht="9.75" hidden="1" customHeight="1">
      <c r="A26" s="122"/>
      <c r="B26" s="128"/>
      <c r="C26" s="1290" t="str">
        <f>IF(D25=E25,"Please mark one Option"," ")</f>
        <v>Please mark one Option</v>
      </c>
    </row>
    <row r="27" spans="1:10" ht="15.75" hidden="1">
      <c r="A27" s="122"/>
      <c r="B27" s="128"/>
      <c r="C27" s="1291"/>
    </row>
    <row r="28" spans="1:10" ht="31.5" hidden="1">
      <c r="A28" s="133"/>
      <c r="B28" s="135" t="s">
        <v>498</v>
      </c>
      <c r="C28" s="137" t="s">
        <v>499</v>
      </c>
    </row>
    <row r="29" spans="1:10" ht="15.75" hidden="1">
      <c r="A29" s="133"/>
      <c r="B29" s="136"/>
      <c r="C29" s="569"/>
    </row>
    <row r="30" spans="1:10" ht="15.75" hidden="1">
      <c r="A30" s="122"/>
      <c r="C30" s="134"/>
    </row>
    <row r="31" spans="1:10" ht="57.75" customHeight="1">
      <c r="A31" s="1295" t="s">
        <v>2835</v>
      </c>
      <c r="B31" s="1296"/>
      <c r="C31" s="1296"/>
    </row>
    <row r="32" spans="1:10" ht="15.75">
      <c r="A32" s="122"/>
      <c r="C32" s="134"/>
    </row>
    <row r="33" spans="1:3" ht="15">
      <c r="A33" s="479" t="s">
        <v>873</v>
      </c>
      <c r="B33" s="480"/>
      <c r="C33" s="481"/>
    </row>
    <row r="34" spans="1:3" ht="36" customHeight="1">
      <c r="A34" s="1292" t="s">
        <v>898</v>
      </c>
      <c r="B34" s="1293"/>
      <c r="C34" s="1294"/>
    </row>
    <row r="35" spans="1:3" ht="33" customHeight="1">
      <c r="A35" s="593" t="s">
        <v>851</v>
      </c>
      <c r="B35" s="789" t="s">
        <v>497</v>
      </c>
      <c r="C35" s="482" t="s">
        <v>170</v>
      </c>
    </row>
    <row r="36" spans="1:3" ht="15">
      <c r="A36" s="478"/>
      <c r="B36" s="483"/>
      <c r="C36" s="484" t="s">
        <v>874</v>
      </c>
    </row>
    <row r="37" spans="1:3" ht="15">
      <c r="A37" s="478"/>
      <c r="B37" s="481"/>
      <c r="C37" s="633" t="str">
        <f>IF(A35="YES","Answer Required","N/A")</f>
        <v>N/A</v>
      </c>
    </row>
    <row r="38" spans="1:3" ht="30">
      <c r="A38" s="593" t="s">
        <v>851</v>
      </c>
      <c r="B38" s="789" t="s">
        <v>498</v>
      </c>
      <c r="C38" s="482" t="s">
        <v>3639</v>
      </c>
    </row>
    <row r="39" spans="1:3" ht="36" customHeight="1">
      <c r="A39" s="478"/>
      <c r="B39" s="483"/>
      <c r="C39" s="484" t="s">
        <v>875</v>
      </c>
    </row>
    <row r="40" spans="1:3" ht="15">
      <c r="A40" s="478"/>
      <c r="B40" s="481"/>
      <c r="C40" s="633" t="str">
        <f>IF(A38="YES","Answer Required","N/A")</f>
        <v>N/A</v>
      </c>
    </row>
    <row r="41" spans="1:3" ht="15">
      <c r="A41" s="478"/>
      <c r="B41" s="480"/>
      <c r="C41" s="485"/>
    </row>
    <row r="42" spans="1:3" ht="15">
      <c r="A42" s="479" t="s">
        <v>876</v>
      </c>
      <c r="B42" s="480"/>
      <c r="C42" s="481"/>
    </row>
    <row r="43" spans="1:3" ht="45">
      <c r="A43" s="593" t="s">
        <v>851</v>
      </c>
      <c r="B43" s="789">
        <v>2</v>
      </c>
      <c r="C43" s="487" t="s">
        <v>877</v>
      </c>
    </row>
    <row r="44" spans="1:3" ht="15">
      <c r="A44" s="478"/>
      <c r="B44" s="480"/>
      <c r="C44" s="484" t="s">
        <v>874</v>
      </c>
    </row>
    <row r="45" spans="1:3" ht="15">
      <c r="A45" s="478"/>
      <c r="B45" s="481"/>
      <c r="C45" s="633" t="str">
        <f>IF(A43="YES","Answer Required","N/A")</f>
        <v>N/A</v>
      </c>
    </row>
    <row r="46" spans="1:3" ht="15">
      <c r="A46" s="478"/>
      <c r="B46" s="480"/>
      <c r="C46" s="481"/>
    </row>
    <row r="47" spans="1:3" ht="15">
      <c r="A47" s="478" t="s">
        <v>563</v>
      </c>
      <c r="B47" s="480"/>
      <c r="C47" s="481"/>
    </row>
    <row r="48" spans="1:3" ht="15">
      <c r="A48" s="593" t="s">
        <v>851</v>
      </c>
      <c r="B48" s="486">
        <v>3</v>
      </c>
      <c r="C48" s="484" t="s">
        <v>562</v>
      </c>
    </row>
    <row r="49" spans="1:3" ht="15">
      <c r="A49" s="478"/>
      <c r="B49" s="480"/>
      <c r="C49" s="484" t="s">
        <v>874</v>
      </c>
    </row>
    <row r="50" spans="1:3" ht="15">
      <c r="A50" s="478"/>
      <c r="B50" s="481"/>
      <c r="C50" s="633" t="str">
        <f>IF(A48="YES","Answer Required","N/A")</f>
        <v>N/A</v>
      </c>
    </row>
    <row r="51" spans="1:3" ht="8.25" customHeight="1">
      <c r="A51" s="478"/>
      <c r="B51" s="480"/>
      <c r="C51" s="481"/>
    </row>
    <row r="52" spans="1:3" ht="15">
      <c r="A52" s="478" t="s">
        <v>567</v>
      </c>
      <c r="B52" s="480"/>
      <c r="C52" s="481"/>
    </row>
    <row r="53" spans="1:3" ht="95.25" customHeight="1">
      <c r="A53" s="1282" t="s">
        <v>3640</v>
      </c>
      <c r="B53" s="1283"/>
      <c r="C53" s="1284"/>
    </row>
    <row r="54" spans="1:3" ht="15">
      <c r="A54" s="593" t="s">
        <v>851</v>
      </c>
      <c r="B54" s="486">
        <v>4</v>
      </c>
      <c r="C54" s="484" t="s">
        <v>952</v>
      </c>
    </row>
    <row r="55" spans="1:3" ht="15">
      <c r="A55" s="478"/>
      <c r="B55" s="480"/>
      <c r="C55" s="484" t="s">
        <v>874</v>
      </c>
    </row>
    <row r="56" spans="1:3" ht="15">
      <c r="A56" s="478"/>
      <c r="B56" s="481"/>
      <c r="C56" s="633" t="str">
        <f>IF(A54="YES","Answer Required","N/A")</f>
        <v>N/A</v>
      </c>
    </row>
    <row r="57" spans="1:3" ht="15">
      <c r="A57" s="478"/>
      <c r="B57" s="480"/>
      <c r="C57" s="481"/>
    </row>
    <row r="58" spans="1:3" ht="15" hidden="1">
      <c r="A58" s="478"/>
      <c r="B58" s="480"/>
      <c r="C58" s="481"/>
    </row>
    <row r="59" spans="1:3" ht="15">
      <c r="A59" s="479" t="s">
        <v>878</v>
      </c>
      <c r="B59" s="480"/>
      <c r="C59" s="481"/>
    </row>
    <row r="60" spans="1:3" ht="147.75" customHeight="1">
      <c r="A60" s="593" t="s">
        <v>851</v>
      </c>
      <c r="B60" s="789">
        <v>5</v>
      </c>
      <c r="C60" s="484" t="s">
        <v>2711</v>
      </c>
    </row>
    <row r="61" spans="1:3" ht="61.5" customHeight="1">
      <c r="A61" s="478"/>
      <c r="B61" s="483"/>
      <c r="C61" s="484" t="s">
        <v>879</v>
      </c>
    </row>
    <row r="62" spans="1:3" ht="15">
      <c r="A62" s="478"/>
      <c r="B62" s="480"/>
      <c r="C62" s="484" t="s">
        <v>543</v>
      </c>
    </row>
    <row r="63" spans="1:3" ht="15">
      <c r="A63" s="478"/>
      <c r="B63" s="480"/>
      <c r="C63" s="633" t="str">
        <f>IF(A60="YES","Answer Required","N/A")</f>
        <v>N/A</v>
      </c>
    </row>
    <row r="64" spans="1:3" ht="15">
      <c r="A64" s="1280" t="s">
        <v>544</v>
      </c>
      <c r="B64" s="1281"/>
      <c r="C64" s="489" t="s">
        <v>545</v>
      </c>
    </row>
    <row r="65" spans="1:3" ht="30.75" customHeight="1">
      <c r="A65" s="1280" t="s">
        <v>500</v>
      </c>
      <c r="B65" s="1281"/>
      <c r="C65" s="490"/>
    </row>
    <row r="66" spans="1:3" ht="15">
      <c r="A66" s="1280" t="s">
        <v>314</v>
      </c>
      <c r="B66" s="1281"/>
      <c r="C66" s="490"/>
    </row>
    <row r="67" spans="1:3" ht="15">
      <c r="A67" s="478"/>
      <c r="B67" s="480"/>
      <c r="C67" s="481"/>
    </row>
    <row r="68" spans="1:3" ht="33" customHeight="1">
      <c r="A68" s="1280" t="s">
        <v>546</v>
      </c>
      <c r="B68" s="1281"/>
      <c r="C68" s="489" t="s">
        <v>545</v>
      </c>
    </row>
    <row r="69" spans="1:3" ht="33.75" customHeight="1">
      <c r="A69" s="1280" t="s">
        <v>540</v>
      </c>
      <c r="B69" s="1281"/>
      <c r="C69" s="490"/>
    </row>
    <row r="70" spans="1:3" ht="31.5" customHeight="1">
      <c r="A70" s="1280" t="s">
        <v>541</v>
      </c>
      <c r="B70" s="1281"/>
      <c r="C70" s="490"/>
    </row>
    <row r="71" spans="1:3" ht="15">
      <c r="A71" s="1259" t="s">
        <v>314</v>
      </c>
      <c r="B71" s="1259"/>
      <c r="C71" s="490"/>
    </row>
    <row r="72" spans="1:3" ht="15">
      <c r="A72" s="478"/>
      <c r="B72" s="480"/>
      <c r="C72" s="481"/>
    </row>
    <row r="73" spans="1:3" ht="15" hidden="1">
      <c r="A73" s="478"/>
      <c r="B73" s="480"/>
      <c r="C73" s="481"/>
    </row>
    <row r="74" spans="1:3" ht="15">
      <c r="A74" s="479" t="s">
        <v>880</v>
      </c>
      <c r="B74" s="480"/>
      <c r="C74" s="481"/>
    </row>
    <row r="75" spans="1:3" ht="63.75" customHeight="1">
      <c r="A75" s="593" t="s">
        <v>851</v>
      </c>
      <c r="B75" s="789" t="s">
        <v>990</v>
      </c>
      <c r="C75" s="491" t="s">
        <v>3641</v>
      </c>
    </row>
    <row r="76" spans="1:3" ht="15">
      <c r="A76" s="478"/>
      <c r="B76" s="480"/>
      <c r="C76" s="491" t="s">
        <v>916</v>
      </c>
    </row>
    <row r="77" spans="1:3" ht="15">
      <c r="A77" s="1260" t="s">
        <v>917</v>
      </c>
      <c r="B77" s="1261"/>
      <c r="C77" s="536" t="str">
        <f t="shared" ref="C77:C82" si="0">IF($A$75="Yes","Answer Required","N/A")</f>
        <v>N/A</v>
      </c>
    </row>
    <row r="78" spans="1:3" ht="15">
      <c r="A78" s="534"/>
      <c r="B78" s="856" t="s">
        <v>3642</v>
      </c>
      <c r="C78" s="537" t="str">
        <f t="shared" si="0"/>
        <v>N/A</v>
      </c>
    </row>
    <row r="79" spans="1:3" ht="15">
      <c r="A79" s="534"/>
      <c r="B79" s="535" t="s">
        <v>918</v>
      </c>
      <c r="C79" s="537" t="str">
        <f t="shared" si="0"/>
        <v>N/A</v>
      </c>
    </row>
    <row r="80" spans="1:3" ht="15">
      <c r="A80" s="534"/>
      <c r="B80" s="535" t="s">
        <v>919</v>
      </c>
      <c r="C80" s="536" t="str">
        <f t="shared" si="0"/>
        <v>N/A</v>
      </c>
    </row>
    <row r="81" spans="1:6" ht="35.25" customHeight="1">
      <c r="A81" s="1262" t="s">
        <v>920</v>
      </c>
      <c r="B81" s="1263"/>
      <c r="C81" s="536" t="str">
        <f t="shared" si="0"/>
        <v>N/A</v>
      </c>
    </row>
    <row r="82" spans="1:6" ht="38.25" customHeight="1">
      <c r="A82" s="1264" t="s">
        <v>921</v>
      </c>
      <c r="B82" s="1264"/>
      <c r="C82" s="536" t="str">
        <f t="shared" si="0"/>
        <v>N/A</v>
      </c>
    </row>
    <row r="83" spans="1:6" ht="21.75" customHeight="1">
      <c r="A83" s="589"/>
      <c r="B83" s="589"/>
      <c r="C83" s="645"/>
    </row>
    <row r="84" spans="1:6" ht="171" customHeight="1">
      <c r="A84" s="593" t="s">
        <v>851</v>
      </c>
      <c r="B84" s="789" t="s">
        <v>2717</v>
      </c>
      <c r="C84" s="590" t="s">
        <v>991</v>
      </c>
    </row>
    <row r="85" spans="1:6" ht="12.75">
      <c r="A85" s="591"/>
      <c r="B85" s="591"/>
      <c r="C85" s="473" t="str">
        <f>IF(A84="Yes","Answer Required","N/A")</f>
        <v>N/A</v>
      </c>
    </row>
    <row r="86" spans="1:6" ht="11.25" customHeight="1">
      <c r="A86" s="478"/>
      <c r="B86" s="480"/>
      <c r="C86" s="481"/>
    </row>
    <row r="87" spans="1:6" ht="15">
      <c r="A87" s="478" t="s">
        <v>27</v>
      </c>
      <c r="B87" s="480"/>
      <c r="C87" s="481"/>
    </row>
    <row r="88" spans="1:6" ht="24" customHeight="1">
      <c r="A88" s="593" t="s">
        <v>851</v>
      </c>
      <c r="B88" s="789">
        <v>7</v>
      </c>
      <c r="C88" s="484" t="s">
        <v>684</v>
      </c>
    </row>
    <row r="89" spans="1:6" ht="81" customHeight="1">
      <c r="A89" s="492"/>
      <c r="B89" s="593" t="str">
        <f>IF(A88="Yes","Answer Required","N/A")</f>
        <v>N/A</v>
      </c>
      <c r="C89" s="484" t="s">
        <v>881</v>
      </c>
    </row>
    <row r="90" spans="1:6" ht="15">
      <c r="A90" s="492"/>
      <c r="B90" s="492"/>
      <c r="C90" s="473" t="str">
        <f>IF(B89="No","Answer Required","N/A")</f>
        <v>N/A</v>
      </c>
    </row>
    <row r="91" spans="1:6" ht="15">
      <c r="A91" s="478"/>
      <c r="B91" s="480"/>
      <c r="C91" s="481"/>
    </row>
    <row r="92" spans="1:6" ht="15">
      <c r="A92" s="478" t="s">
        <v>588</v>
      </c>
      <c r="B92" s="480"/>
      <c r="C92" s="481"/>
    </row>
    <row r="93" spans="1:6" ht="15">
      <c r="A93" s="470" t="str">
        <f>IF((SUM('Enterprise Template'!G63))&gt;0,"Yes","No")</f>
        <v>No</v>
      </c>
      <c r="B93" s="488">
        <v>8</v>
      </c>
      <c r="C93" s="484" t="s">
        <v>783</v>
      </c>
    </row>
    <row r="94" spans="1:6" ht="30">
      <c r="A94" s="493"/>
      <c r="B94" s="483"/>
      <c r="C94" s="484" t="s">
        <v>882</v>
      </c>
    </row>
    <row r="95" spans="1:6" ht="15">
      <c r="A95" s="478"/>
      <c r="B95" s="494" t="s">
        <v>545</v>
      </c>
      <c r="C95" s="494" t="s">
        <v>944</v>
      </c>
      <c r="F95" s="12" t="s">
        <v>945</v>
      </c>
    </row>
    <row r="96" spans="1:6" ht="15">
      <c r="A96" s="495"/>
      <c r="B96" s="496"/>
      <c r="C96" s="497"/>
      <c r="F96" s="12" t="s">
        <v>946</v>
      </c>
    </row>
    <row r="97" spans="1:6" ht="15">
      <c r="A97" s="495"/>
      <c r="B97" s="496"/>
      <c r="C97" s="497"/>
      <c r="F97" s="12" t="s">
        <v>377</v>
      </c>
    </row>
    <row r="98" spans="1:6" ht="15">
      <c r="A98" s="495"/>
      <c r="B98" s="496"/>
      <c r="C98" s="497"/>
      <c r="F98" s="12" t="s">
        <v>2976</v>
      </c>
    </row>
    <row r="99" spans="1:6" ht="15">
      <c r="A99" s="495"/>
      <c r="B99" s="496"/>
      <c r="C99" s="497"/>
      <c r="F99" s="12" t="s">
        <v>947</v>
      </c>
    </row>
    <row r="100" spans="1:6" ht="15">
      <c r="A100" s="495"/>
      <c r="B100" s="496"/>
      <c r="C100" s="497"/>
      <c r="F100" s="12" t="s">
        <v>948</v>
      </c>
    </row>
    <row r="101" spans="1:6" ht="15">
      <c r="A101" s="495"/>
      <c r="B101" s="496"/>
      <c r="C101" s="497"/>
      <c r="F101" s="12" t="s">
        <v>949</v>
      </c>
    </row>
    <row r="102" spans="1:6" ht="15">
      <c r="A102" s="495"/>
      <c r="B102" s="496"/>
      <c r="C102" s="497"/>
      <c r="F102" s="12" t="s">
        <v>382</v>
      </c>
    </row>
    <row r="103" spans="1:6" ht="15">
      <c r="A103" s="495"/>
      <c r="B103" s="496"/>
      <c r="C103" s="497"/>
      <c r="F103" s="12" t="s">
        <v>383</v>
      </c>
    </row>
    <row r="104" spans="1:6" ht="15">
      <c r="A104" s="495"/>
      <c r="B104" s="557"/>
      <c r="C104" s="494" t="s">
        <v>943</v>
      </c>
      <c r="F104" s="12" t="s">
        <v>384</v>
      </c>
    </row>
    <row r="105" spans="1:6" ht="15">
      <c r="A105" s="495"/>
      <c r="B105" s="496"/>
      <c r="C105" s="497"/>
      <c r="F105" s="12" t="s">
        <v>381</v>
      </c>
    </row>
    <row r="106" spans="1:6" ht="15">
      <c r="A106" s="495"/>
      <c r="B106" s="496"/>
      <c r="C106" s="497"/>
    </row>
    <row r="107" spans="1:6" ht="15">
      <c r="A107" s="495"/>
      <c r="B107" s="496"/>
      <c r="C107" s="497"/>
    </row>
    <row r="108" spans="1:6" ht="15.75" thickBot="1">
      <c r="A108" s="498" t="s">
        <v>285</v>
      </c>
      <c r="B108" s="499">
        <f>IF(SUM(B96:B107)=SUM('Enterprise Template'!G63),SUM(B96:B107),"ERROR")</f>
        <v>0</v>
      </c>
      <c r="C108" s="481"/>
    </row>
    <row r="109" spans="1:6" ht="15.75" thickTop="1">
      <c r="A109" s="500" t="s">
        <v>440</v>
      </c>
      <c r="B109" s="501">
        <f>SUM(B96:B107)-'Enterprise Template'!G63</f>
        <v>0</v>
      </c>
      <c r="C109" s="481"/>
    </row>
    <row r="110" spans="1:6" ht="15">
      <c r="A110" s="478"/>
      <c r="B110" s="480"/>
      <c r="C110" s="481"/>
    </row>
    <row r="111" spans="1:6" ht="15">
      <c r="A111" s="478" t="s">
        <v>467</v>
      </c>
      <c r="B111" s="480"/>
      <c r="C111" s="481"/>
    </row>
    <row r="112" spans="1:6" ht="15">
      <c r="A112" s="593" t="s">
        <v>851</v>
      </c>
      <c r="B112" s="488">
        <v>9</v>
      </c>
      <c r="C112" s="484" t="s">
        <v>868</v>
      </c>
    </row>
    <row r="113" spans="1:6" ht="30">
      <c r="A113" s="478"/>
      <c r="B113" s="480"/>
      <c r="C113" s="484" t="s">
        <v>883</v>
      </c>
    </row>
    <row r="114" spans="1:6" ht="15">
      <c r="A114" s="478"/>
      <c r="B114" s="480"/>
      <c r="C114" s="633" t="str">
        <f>IF(A112="YES","Answer Required","N/A")</f>
        <v>N/A</v>
      </c>
    </row>
    <row r="115" spans="1:6" ht="15">
      <c r="A115" s="478"/>
      <c r="B115" s="480"/>
      <c r="C115" s="481"/>
    </row>
    <row r="116" spans="1:6" ht="15">
      <c r="A116" s="479" t="s">
        <v>884</v>
      </c>
      <c r="B116" s="480"/>
      <c r="C116" s="481"/>
    </row>
    <row r="117" spans="1:6" ht="15.75">
      <c r="A117" s="1265" t="s">
        <v>885</v>
      </c>
      <c r="B117" s="1266"/>
      <c r="C117" s="1267"/>
      <c r="D117" s="125"/>
      <c r="E117" s="125"/>
    </row>
    <row r="118" spans="1:6" ht="55.5" customHeight="1">
      <c r="A118" s="593" t="s">
        <v>851</v>
      </c>
      <c r="B118" s="789">
        <v>10</v>
      </c>
      <c r="C118" s="502" t="s">
        <v>3387</v>
      </c>
      <c r="D118" s="125"/>
      <c r="E118" s="125"/>
    </row>
    <row r="119" spans="1:6" s="651" customFormat="1" ht="15.75" hidden="1">
      <c r="A119" s="648"/>
      <c r="B119" s="649"/>
      <c r="C119" s="803" t="str">
        <f>IF(A118="YES","Answer Required","N/A")</f>
        <v>N/A</v>
      </c>
      <c r="D119" s="650"/>
      <c r="E119" s="650"/>
      <c r="F119" s="12"/>
    </row>
    <row r="120" spans="1:6" ht="36.75" customHeight="1">
      <c r="A120" s="503"/>
      <c r="B120" s="504"/>
      <c r="C120" s="505" t="s">
        <v>886</v>
      </c>
      <c r="D120" s="125"/>
      <c r="E120" s="125"/>
      <c r="F120" s="651"/>
    </row>
    <row r="121" spans="1:6" ht="33.75" customHeight="1">
      <c r="A121" s="503"/>
      <c r="B121" s="504"/>
      <c r="C121" s="506" t="s">
        <v>148</v>
      </c>
      <c r="D121" s="125"/>
      <c r="E121" s="125"/>
    </row>
    <row r="122" spans="1:6" ht="30">
      <c r="A122" s="503"/>
      <c r="B122" s="504"/>
      <c r="C122" s="506" t="s">
        <v>149</v>
      </c>
      <c r="D122" s="125"/>
      <c r="E122" s="125"/>
    </row>
    <row r="123" spans="1:6" ht="30">
      <c r="A123" s="503"/>
      <c r="B123" s="504"/>
      <c r="C123" s="506" t="s">
        <v>463</v>
      </c>
      <c r="D123" s="125"/>
      <c r="E123" s="125"/>
    </row>
    <row r="124" spans="1:6" ht="30">
      <c r="A124" s="503"/>
      <c r="B124" s="504"/>
      <c r="C124" s="506" t="s">
        <v>464</v>
      </c>
      <c r="D124" s="125"/>
      <c r="E124" s="125"/>
    </row>
    <row r="125" spans="1:6" ht="67.5" customHeight="1">
      <c r="A125" s="507"/>
      <c r="B125" s="508"/>
      <c r="C125" s="509" t="s">
        <v>465</v>
      </c>
      <c r="D125" s="125"/>
      <c r="E125" s="125"/>
    </row>
    <row r="126" spans="1:6" s="651" customFormat="1" ht="83.25" hidden="1" customHeight="1">
      <c r="A126" s="804" t="str">
        <f>IF($A$118="Yes","Answer Required","N/A")</f>
        <v>N/A</v>
      </c>
      <c r="B126" s="652" t="s">
        <v>754</v>
      </c>
      <c r="C126" s="653" t="s">
        <v>2779</v>
      </c>
      <c r="D126" s="650"/>
      <c r="E126" s="650"/>
      <c r="F126" s="12"/>
    </row>
    <row r="127" spans="1:6" s="651" customFormat="1" ht="51" hidden="1" customHeight="1">
      <c r="A127" s="804" t="str">
        <f>IF($A$126="Yes","Answer Required","N/A")</f>
        <v>N/A</v>
      </c>
      <c r="B127" s="652" t="s">
        <v>755</v>
      </c>
      <c r="C127" s="653" t="s">
        <v>2780</v>
      </c>
      <c r="D127" s="650"/>
      <c r="E127" s="650"/>
    </row>
    <row r="128" spans="1:6" s="651" customFormat="1" ht="15.75" hidden="1">
      <c r="A128" s="654"/>
      <c r="B128" s="655"/>
      <c r="C128" s="803" t="str">
        <f>IF(A127="No","Answer Required","N/A")</f>
        <v>N/A</v>
      </c>
      <c r="D128" s="650"/>
      <c r="E128" s="650"/>
    </row>
    <row r="129" spans="1:5" s="651" customFormat="1" ht="52.5" hidden="1" customHeight="1">
      <c r="A129" s="804" t="str">
        <f>IF($A$118="Yes","Answer Required","N/A")</f>
        <v>N/A</v>
      </c>
      <c r="B129" s="652" t="s">
        <v>756</v>
      </c>
      <c r="C129" s="656" t="s">
        <v>2781</v>
      </c>
      <c r="D129" s="650"/>
      <c r="E129" s="650"/>
    </row>
    <row r="130" spans="1:5" s="651" customFormat="1" ht="15.75" hidden="1">
      <c r="A130" s="657"/>
      <c r="B130" s="658"/>
      <c r="C130" s="803" t="str">
        <f>IF(A129="No","Answer Required","N/A")</f>
        <v>N/A</v>
      </c>
      <c r="D130" s="650"/>
      <c r="E130" s="650"/>
    </row>
    <row r="131" spans="1:5" s="651" customFormat="1" ht="65.25" hidden="1" customHeight="1">
      <c r="A131" s="804" t="str">
        <f>IF($A$118="Yes","Answer Required","N/A")</f>
        <v>N/A</v>
      </c>
      <c r="B131" s="652" t="s">
        <v>757</v>
      </c>
      <c r="C131" s="653" t="s">
        <v>2782</v>
      </c>
      <c r="D131" s="650"/>
      <c r="E131" s="650"/>
    </row>
    <row r="132" spans="1:5" s="651" customFormat="1" ht="15.75" hidden="1">
      <c r="A132" s="659"/>
      <c r="B132" s="660"/>
      <c r="C132" s="803" t="str">
        <f>IF(A131="Yes","Answer Required","N/A")</f>
        <v>N/A</v>
      </c>
      <c r="D132" s="650"/>
      <c r="E132" s="650"/>
    </row>
    <row r="133" spans="1:5" s="651" customFormat="1" ht="58.5" hidden="1" customHeight="1">
      <c r="A133" s="804" t="str">
        <f>IF($A$118="Yes","Answer Required","N/A")</f>
        <v>N/A</v>
      </c>
      <c r="B133" s="652" t="s">
        <v>758</v>
      </c>
      <c r="C133" s="661" t="s">
        <v>2783</v>
      </c>
      <c r="D133" s="650"/>
      <c r="E133" s="650"/>
    </row>
    <row r="134" spans="1:5" s="651" customFormat="1" ht="15.75" hidden="1">
      <c r="A134" s="654"/>
      <c r="B134" s="655"/>
      <c r="C134" s="803" t="str">
        <f>IF(A133="Yes","Answer Required","N/A")</f>
        <v>N/A</v>
      </c>
      <c r="D134" s="650"/>
      <c r="E134" s="650"/>
    </row>
    <row r="135" spans="1:5" s="651" customFormat="1" ht="201.75" hidden="1" customHeight="1">
      <c r="A135" s="804" t="str">
        <f>IF($A$118="Yes","Answer Required","N/A")</f>
        <v>N/A</v>
      </c>
      <c r="B135" s="652" t="s">
        <v>759</v>
      </c>
      <c r="C135" s="653" t="s">
        <v>2784</v>
      </c>
      <c r="D135" s="650"/>
      <c r="E135" s="650"/>
    </row>
    <row r="136" spans="1:5" s="651" customFormat="1" ht="36" hidden="1" customHeight="1">
      <c r="A136" s="804" t="str">
        <f>IF($A$118="Yes","Answer Required", "N/A")</f>
        <v>N/A</v>
      </c>
      <c r="B136" s="652" t="s">
        <v>760</v>
      </c>
      <c r="C136" s="653" t="s">
        <v>2785</v>
      </c>
      <c r="D136" s="650"/>
      <c r="E136" s="650"/>
    </row>
    <row r="137" spans="1:5" s="651" customFormat="1" ht="15.75" hidden="1">
      <c r="A137" s="659"/>
      <c r="B137" s="660"/>
      <c r="C137" s="803" t="str">
        <f>IF(A136="No","Answer Required","N/A")</f>
        <v>N/A</v>
      </c>
      <c r="D137" s="650"/>
      <c r="E137" s="650"/>
    </row>
    <row r="138" spans="1:5" s="651" customFormat="1" ht="18.75" hidden="1" customHeight="1">
      <c r="A138" s="654"/>
      <c r="B138" s="662" t="s">
        <v>761</v>
      </c>
      <c r="C138" s="661" t="s">
        <v>2786</v>
      </c>
      <c r="D138" s="650"/>
      <c r="E138" s="650"/>
    </row>
    <row r="139" spans="1:5" s="651" customFormat="1" ht="30.75" hidden="1" customHeight="1">
      <c r="A139" s="1268" t="s">
        <v>694</v>
      </c>
      <c r="B139" s="1268"/>
      <c r="C139" s="805"/>
      <c r="D139" s="650"/>
      <c r="E139" s="650"/>
    </row>
    <row r="140" spans="1:5" s="651" customFormat="1" ht="18.75" hidden="1" customHeight="1">
      <c r="A140" s="1269" t="s">
        <v>695</v>
      </c>
      <c r="B140" s="1269"/>
      <c r="C140" s="806"/>
      <c r="D140" s="650"/>
      <c r="E140" s="650"/>
    </row>
    <row r="141" spans="1:5" s="651" customFormat="1" ht="68.25" hidden="1" customHeight="1">
      <c r="A141" s="1269" t="s">
        <v>2787</v>
      </c>
      <c r="B141" s="1269"/>
      <c r="C141" s="807"/>
      <c r="D141" s="650"/>
      <c r="E141" s="650"/>
    </row>
    <row r="142" spans="1:5" s="651" customFormat="1" ht="34.5" hidden="1" customHeight="1">
      <c r="A142" s="1269" t="s">
        <v>696</v>
      </c>
      <c r="B142" s="1269"/>
      <c r="C142" s="663">
        <f>SUM(C140:C141)</f>
        <v>0</v>
      </c>
      <c r="D142" s="650"/>
      <c r="E142" s="650"/>
    </row>
    <row r="143" spans="1:5" s="651" customFormat="1" ht="48" hidden="1" customHeight="1">
      <c r="A143" s="1269" t="s">
        <v>784</v>
      </c>
      <c r="B143" s="1269"/>
      <c r="C143" s="805"/>
      <c r="D143" s="650"/>
      <c r="E143" s="650"/>
    </row>
    <row r="144" spans="1:5" s="651" customFormat="1" ht="30.75" hidden="1" customHeight="1">
      <c r="A144" s="1269" t="s">
        <v>697</v>
      </c>
      <c r="B144" s="1269"/>
      <c r="C144" s="805"/>
      <c r="D144" s="650"/>
      <c r="E144" s="650"/>
    </row>
    <row r="145" spans="1:6" s="651" customFormat="1" ht="49.5" hidden="1" customHeight="1">
      <c r="A145" s="1269" t="s">
        <v>698</v>
      </c>
      <c r="B145" s="1269"/>
      <c r="C145" s="805"/>
      <c r="D145" s="650"/>
      <c r="E145" s="650"/>
    </row>
    <row r="146" spans="1:6" ht="28.5" customHeight="1">
      <c r="A146" s="1273" t="s">
        <v>887</v>
      </c>
      <c r="B146" s="1273"/>
      <c r="C146" s="1273"/>
      <c r="F146" s="651"/>
    </row>
    <row r="147" spans="1:6" ht="123" customHeight="1">
      <c r="A147" s="1265" t="s">
        <v>3604</v>
      </c>
      <c r="B147" s="1266"/>
      <c r="C147" s="1267"/>
    </row>
    <row r="148" spans="1:6" ht="38.25" customHeight="1">
      <c r="A148" s="593" t="s">
        <v>851</v>
      </c>
      <c r="B148" s="789" t="s">
        <v>699</v>
      </c>
      <c r="C148" s="511" t="s">
        <v>3772</v>
      </c>
    </row>
    <row r="149" spans="1:6" ht="105" customHeight="1">
      <c r="A149" s="593" t="s">
        <v>851</v>
      </c>
      <c r="B149" s="789" t="s">
        <v>700</v>
      </c>
      <c r="C149" s="511" t="s">
        <v>3794</v>
      </c>
    </row>
    <row r="150" spans="1:6" ht="15">
      <c r="A150" s="507"/>
      <c r="B150" s="510"/>
      <c r="C150" s="633" t="str">
        <f>IF(A149="Yes","Answer Required","N/A")</f>
        <v>N/A</v>
      </c>
    </row>
    <row r="151" spans="1:6" ht="70.5" hidden="1" customHeight="1">
      <c r="A151" s="1270"/>
      <c r="B151" s="1271"/>
      <c r="C151" s="1272"/>
    </row>
    <row r="152" spans="1:6" ht="82.5" hidden="1" customHeight="1">
      <c r="A152" s="570" t="s">
        <v>806</v>
      </c>
      <c r="B152" s="488" t="s">
        <v>701</v>
      </c>
      <c r="C152" s="511" t="s">
        <v>888</v>
      </c>
    </row>
    <row r="153" spans="1:6" ht="41.25" hidden="1" customHeight="1">
      <c r="A153" s="570"/>
      <c r="B153" s="488"/>
      <c r="C153" s="511"/>
    </row>
    <row r="154" spans="1:6" ht="41.25" hidden="1" customHeight="1">
      <c r="A154" s="570"/>
      <c r="B154" s="488"/>
      <c r="C154" s="511"/>
    </row>
    <row r="155" spans="1:6" ht="41.25" hidden="1" customHeight="1">
      <c r="A155" s="570"/>
      <c r="B155" s="488"/>
      <c r="C155" s="511"/>
    </row>
    <row r="156" spans="1:6" ht="41.25" hidden="1" customHeight="1">
      <c r="A156" s="507"/>
      <c r="B156" s="510"/>
      <c r="C156" s="571" t="s">
        <v>693</v>
      </c>
    </row>
    <row r="157" spans="1:6" ht="35.25" customHeight="1">
      <c r="A157" s="593" t="str">
        <f>IF($A$148="Yes","Answer Required","N/A")</f>
        <v>N/A</v>
      </c>
      <c r="B157" s="789" t="s">
        <v>701</v>
      </c>
      <c r="C157" s="502" t="s">
        <v>889</v>
      </c>
    </row>
    <row r="158" spans="1:6" ht="15">
      <c r="A158" s="507"/>
      <c r="B158" s="510"/>
      <c r="C158" s="633" t="str">
        <f>IF(A157="No","Answer Required","N/A")</f>
        <v>N/A</v>
      </c>
    </row>
    <row r="159" spans="1:6" ht="78" hidden="1" customHeight="1">
      <c r="A159" s="570"/>
      <c r="B159" s="488" t="s">
        <v>417</v>
      </c>
      <c r="C159" s="502" t="s">
        <v>890</v>
      </c>
    </row>
    <row r="160" spans="1:6" ht="41.25" hidden="1" customHeight="1">
      <c r="A160" s="507"/>
      <c r="B160" s="510"/>
      <c r="C160" s="571" t="s">
        <v>693</v>
      </c>
    </row>
    <row r="161" spans="1:6" ht="12.75" customHeight="1">
      <c r="A161" s="512"/>
      <c r="B161" s="504"/>
      <c r="C161" s="504"/>
    </row>
    <row r="162" spans="1:6" ht="12.75" customHeight="1">
      <c r="A162" s="513" t="s">
        <v>891</v>
      </c>
      <c r="B162" s="514"/>
      <c r="C162" s="514"/>
    </row>
    <row r="163" spans="1:6" ht="129.6" customHeight="1">
      <c r="A163" s="1315" t="s">
        <v>3771</v>
      </c>
      <c r="B163" s="1316"/>
      <c r="C163" s="1317"/>
    </row>
    <row r="164" spans="1:6" ht="49.5" hidden="1" customHeight="1">
      <c r="A164" s="1318" t="s">
        <v>3759</v>
      </c>
      <c r="B164" s="1319"/>
      <c r="C164" s="1320"/>
    </row>
    <row r="165" spans="1:6" ht="28.5" hidden="1" customHeight="1">
      <c r="A165" s="1321" t="s">
        <v>3760</v>
      </c>
      <c r="B165" s="1319"/>
      <c r="C165" s="1320"/>
    </row>
    <row r="166" spans="1:6" ht="32.25" hidden="1" customHeight="1">
      <c r="A166" s="1321" t="s">
        <v>3761</v>
      </c>
      <c r="B166" s="1322"/>
      <c r="C166" s="1323"/>
    </row>
    <row r="167" spans="1:6" ht="8.25" customHeight="1">
      <c r="A167" s="515"/>
      <c r="B167" s="516"/>
      <c r="C167" s="517"/>
    </row>
    <row r="168" spans="1:6" ht="48" customHeight="1">
      <c r="A168" s="518" t="s">
        <v>851</v>
      </c>
      <c r="B168" s="532">
        <v>12</v>
      </c>
      <c r="C168" s="519" t="s">
        <v>3756</v>
      </c>
    </row>
    <row r="169" spans="1:6" s="651" customFormat="1" ht="15" hidden="1">
      <c r="A169" s="1298"/>
      <c r="B169" s="1299"/>
      <c r="C169" s="808" t="str">
        <f>IF(A168="Yes","Answer Required","N/A")</f>
        <v>N/A</v>
      </c>
      <c r="F169" s="12"/>
    </row>
    <row r="170" spans="1:6" s="651" customFormat="1" ht="19.5" hidden="1" customHeight="1">
      <c r="A170" s="667" t="str">
        <f>IF($A$168="Yes","Answer Required","N/A")</f>
        <v>N/A</v>
      </c>
      <c r="B170" s="664" t="s">
        <v>854</v>
      </c>
      <c r="C170" s="668" t="s">
        <v>828</v>
      </c>
    </row>
    <row r="171" spans="1:6" s="651" customFormat="1" ht="18.75" hidden="1" customHeight="1">
      <c r="A171" s="667" t="str">
        <f>IF($A$168="Yes","Answer Required","N/A")</f>
        <v>N/A</v>
      </c>
      <c r="B171" s="664" t="s">
        <v>854</v>
      </c>
      <c r="C171" s="668" t="s">
        <v>829</v>
      </c>
    </row>
    <row r="172" spans="1:6" s="651" customFormat="1" ht="30" hidden="1" customHeight="1">
      <c r="A172" s="667" t="str">
        <f>IF($A$168="Yes","Answer Required","N/A")</f>
        <v>N/A</v>
      </c>
      <c r="B172" s="664" t="s">
        <v>854</v>
      </c>
      <c r="C172" s="668" t="s">
        <v>968</v>
      </c>
    </row>
    <row r="173" spans="1:6" s="651" customFormat="1" ht="21" hidden="1" customHeight="1">
      <c r="A173" s="667" t="str">
        <f>IF($A$168="Yes","Answer Required","N/A")</f>
        <v>N/A</v>
      </c>
      <c r="B173" s="664" t="s">
        <v>854</v>
      </c>
      <c r="C173" s="668" t="s">
        <v>830</v>
      </c>
    </row>
    <row r="174" spans="1:6" s="651" customFormat="1" ht="14.25" hidden="1">
      <c r="A174" s="666"/>
      <c r="B174" s="666"/>
      <c r="C174" s="669"/>
    </row>
    <row r="175" spans="1:6" s="651" customFormat="1" ht="48" hidden="1" customHeight="1">
      <c r="A175" s="667" t="str">
        <f>IF($A$168="Yes","Answer Required","N/A")</f>
        <v>N/A</v>
      </c>
      <c r="B175" s="664" t="s">
        <v>855</v>
      </c>
      <c r="C175" s="670" t="s">
        <v>2789</v>
      </c>
    </row>
    <row r="176" spans="1:6" s="651" customFormat="1" ht="14.25" hidden="1">
      <c r="A176" s="666"/>
      <c r="B176" s="666"/>
      <c r="C176" s="669"/>
    </row>
    <row r="177" spans="1:3" s="651" customFormat="1" ht="49.5" hidden="1" customHeight="1">
      <c r="A177" s="667" t="str">
        <f>IF($A$175="Yes","Answer Required","N/A")</f>
        <v>N/A</v>
      </c>
      <c r="B177" s="664" t="s">
        <v>855</v>
      </c>
      <c r="C177" s="670" t="s">
        <v>2704</v>
      </c>
    </row>
    <row r="178" spans="1:3" s="651" customFormat="1" ht="66" hidden="1" customHeight="1">
      <c r="A178" s="667" t="str">
        <f>IF($A$177="Yes","Answer Required","N/A")</f>
        <v>N/A</v>
      </c>
      <c r="B178" s="664" t="s">
        <v>855</v>
      </c>
      <c r="C178" s="670" t="s">
        <v>2790</v>
      </c>
    </row>
    <row r="179" spans="1:3" s="651" customFormat="1" ht="14.25" hidden="1">
      <c r="A179" s="666"/>
      <c r="B179" s="666"/>
      <c r="C179" s="669"/>
    </row>
    <row r="180" spans="1:3" s="651" customFormat="1" ht="65.25" hidden="1" customHeight="1">
      <c r="A180" s="667" t="s">
        <v>851</v>
      </c>
      <c r="B180" s="664" t="s">
        <v>856</v>
      </c>
      <c r="C180" s="670" t="s">
        <v>2791</v>
      </c>
    </row>
    <row r="181" spans="1:3" s="651" customFormat="1" ht="16.5" hidden="1" customHeight="1">
      <c r="A181" s="671"/>
      <c r="B181" s="671"/>
      <c r="C181" s="672" t="s">
        <v>827</v>
      </c>
    </row>
    <row r="182" spans="1:3" s="651" customFormat="1" ht="15" hidden="1">
      <c r="A182" s="667" t="str">
        <f>IF($A$180="Yes","Answer Required","N/A")</f>
        <v>N/A</v>
      </c>
      <c r="B182" s="664" t="s">
        <v>856</v>
      </c>
      <c r="C182" s="668" t="s">
        <v>834</v>
      </c>
    </row>
    <row r="183" spans="1:3" s="651" customFormat="1" ht="15" hidden="1">
      <c r="A183" s="667" t="str">
        <f>IF($A$180="Yes","Answer Required","N/A")</f>
        <v>N/A</v>
      </c>
      <c r="B183" s="664" t="s">
        <v>856</v>
      </c>
      <c r="C183" s="668" t="s">
        <v>829</v>
      </c>
    </row>
    <row r="184" spans="1:3" s="651" customFormat="1" ht="25.5" hidden="1">
      <c r="A184" s="667" t="str">
        <f>IF($A$180="Yes","Answer Required","N/A")</f>
        <v>N/A</v>
      </c>
      <c r="B184" s="664" t="s">
        <v>856</v>
      </c>
      <c r="C184" s="673" t="s">
        <v>968</v>
      </c>
    </row>
    <row r="185" spans="1:3" s="651" customFormat="1" ht="15" hidden="1">
      <c r="A185" s="667" t="str">
        <f>IF($A$180="Yes","Answer Required","N/A")</f>
        <v>N/A</v>
      </c>
      <c r="B185" s="664" t="s">
        <v>856</v>
      </c>
      <c r="C185" s="668" t="s">
        <v>831</v>
      </c>
    </row>
    <row r="186" spans="1:3" s="651" customFormat="1" ht="14.25" hidden="1">
      <c r="A186" s="666"/>
      <c r="B186" s="666"/>
      <c r="C186" s="669"/>
    </row>
    <row r="187" spans="1:3" s="651" customFormat="1" ht="48.75" hidden="1" customHeight="1">
      <c r="A187" s="674" t="str">
        <f>IF($A$182="Yes","Answer Required","N/A")</f>
        <v>N/A</v>
      </c>
      <c r="B187" s="664" t="s">
        <v>856</v>
      </c>
      <c r="C187" s="675" t="s">
        <v>2792</v>
      </c>
    </row>
    <row r="188" spans="1:3" s="651" customFormat="1" ht="34.5" hidden="1" customHeight="1">
      <c r="A188" s="1297" t="s">
        <v>871</v>
      </c>
      <c r="B188" s="1297"/>
      <c r="C188" s="676"/>
    </row>
    <row r="189" spans="1:3" s="651" customFormat="1" ht="15" hidden="1">
      <c r="A189" s="1297" t="s">
        <v>832</v>
      </c>
      <c r="B189" s="1297"/>
      <c r="C189" s="677"/>
    </row>
    <row r="190" spans="1:3" s="651" customFormat="1" ht="15" hidden="1">
      <c r="A190" s="1297" t="s">
        <v>833</v>
      </c>
      <c r="B190" s="1297"/>
      <c r="C190" s="676"/>
    </row>
    <row r="191" spans="1:3" s="651" customFormat="1" ht="46.5" hidden="1" customHeight="1">
      <c r="A191" s="1297" t="s">
        <v>2705</v>
      </c>
      <c r="B191" s="1297"/>
      <c r="C191" s="678"/>
    </row>
    <row r="192" spans="1:3" s="651" customFormat="1" ht="36.75" hidden="1" customHeight="1">
      <c r="A192" s="674" t="str">
        <f>IF($A$182="Yes","Answer Required","N/A")</f>
        <v>N/A</v>
      </c>
      <c r="B192" s="664" t="s">
        <v>856</v>
      </c>
      <c r="C192" s="855" t="s">
        <v>2793</v>
      </c>
    </row>
    <row r="193" spans="1:6" s="651" customFormat="1" ht="14.25" hidden="1">
      <c r="A193" s="666"/>
      <c r="B193" s="666"/>
      <c r="C193" s="669"/>
    </row>
    <row r="194" spans="1:6" s="651" customFormat="1" ht="50.25" hidden="1" customHeight="1">
      <c r="A194" s="667" t="s">
        <v>851</v>
      </c>
      <c r="B194" s="664" t="s">
        <v>857</v>
      </c>
      <c r="C194" s="679" t="s">
        <v>2794</v>
      </c>
    </row>
    <row r="195" spans="1:6" s="651" customFormat="1" ht="14.25" hidden="1">
      <c r="A195" s="666"/>
      <c r="B195" s="666"/>
      <c r="C195" s="669"/>
    </row>
    <row r="196" spans="1:6" s="651" customFormat="1" ht="48.75" hidden="1" customHeight="1">
      <c r="A196" s="667" t="str">
        <f>IF($A$168="Yes","Answer Required","N/A")</f>
        <v>N/A</v>
      </c>
      <c r="B196" s="664" t="s">
        <v>417</v>
      </c>
      <c r="C196" s="679" t="s">
        <v>2795</v>
      </c>
    </row>
    <row r="197" spans="1:6" s="651" customFormat="1" ht="14.25" hidden="1">
      <c r="A197" s="666"/>
      <c r="B197" s="666"/>
      <c r="C197" s="669"/>
    </row>
    <row r="198" spans="1:6" s="651" customFormat="1" ht="36" hidden="1" customHeight="1">
      <c r="A198" s="667" t="str">
        <f>IF($A$168="Yes","Answer Required","N/A")</f>
        <v>N/A</v>
      </c>
      <c r="B198" s="664" t="s">
        <v>855</v>
      </c>
      <c r="C198" s="665" t="s">
        <v>2788</v>
      </c>
    </row>
    <row r="199" spans="1:6" s="651" customFormat="1" ht="15" hidden="1">
      <c r="A199" s="666"/>
      <c r="B199" s="666"/>
      <c r="C199" s="808" t="str">
        <f>IF(A198="No","Answer Required","N/A")</f>
        <v>N/A</v>
      </c>
    </row>
    <row r="200" spans="1:6" s="651" customFormat="1" ht="14.25" customHeight="1">
      <c r="A200" s="666"/>
      <c r="B200" s="666"/>
      <c r="C200" s="666"/>
    </row>
    <row r="201" spans="1:6" s="651" customFormat="1" ht="34.5" hidden="1" customHeight="1">
      <c r="A201" s="804" t="e">
        <f>IF(#REF!="Yes","Answer Required","N/A")</f>
        <v>#REF!</v>
      </c>
      <c r="B201" s="652" t="s">
        <v>835</v>
      </c>
      <c r="C201" s="680" t="s">
        <v>840</v>
      </c>
      <c r="D201" s="681"/>
      <c r="F201" s="12"/>
    </row>
    <row r="202" spans="1:6" s="651" customFormat="1" ht="35.25" hidden="1" customHeight="1">
      <c r="A202" s="804" t="e">
        <f>IF($A$201="Yes","Answer Required","N/A")</f>
        <v>#REF!</v>
      </c>
      <c r="B202" s="652" t="s">
        <v>836</v>
      </c>
      <c r="C202" s="680" t="s">
        <v>906</v>
      </c>
      <c r="D202" s="681"/>
    </row>
    <row r="203" spans="1:6" s="651" customFormat="1" ht="35.25" hidden="1" customHeight="1">
      <c r="A203" s="804" t="e">
        <f>IF($A$202="Yes","Answer Required","N/A")</f>
        <v>#REF!</v>
      </c>
      <c r="B203" s="652" t="s">
        <v>837</v>
      </c>
      <c r="C203" s="680" t="s">
        <v>841</v>
      </c>
      <c r="D203" s="681"/>
    </row>
    <row r="204" spans="1:6" s="651" customFormat="1" ht="18.75" hidden="1" customHeight="1">
      <c r="A204" s="804" t="e">
        <f>IF($A$203="Yes","Answer Required","N/A")</f>
        <v>#REF!</v>
      </c>
      <c r="B204" s="652" t="s">
        <v>838</v>
      </c>
      <c r="C204" s="680" t="s">
        <v>872</v>
      </c>
      <c r="D204" s="681"/>
    </row>
    <row r="205" spans="1:6" s="651" customFormat="1" ht="45.75" hidden="1" customHeight="1">
      <c r="A205" s="804" t="e">
        <f>IF($A$203="Yes","Answer Required","N/A")</f>
        <v>#REF!</v>
      </c>
      <c r="B205" s="652" t="s">
        <v>839</v>
      </c>
      <c r="C205" s="680" t="s">
        <v>2796</v>
      </c>
      <c r="D205" s="681"/>
    </row>
    <row r="206" spans="1:6" s="651" customFormat="1" ht="15" hidden="1">
      <c r="A206" s="682"/>
      <c r="B206" s="684"/>
      <c r="C206" s="803" t="e">
        <f>IF(A205="No","Answer Required","N/A")</f>
        <v>#REF!</v>
      </c>
      <c r="D206" s="681"/>
    </row>
    <row r="207" spans="1:6" s="651" customFormat="1" ht="30" hidden="1">
      <c r="A207" s="683"/>
      <c r="B207" s="682"/>
      <c r="C207" s="685" t="s">
        <v>2797</v>
      </c>
      <c r="D207" s="686"/>
      <c r="E207" s="686"/>
    </row>
    <row r="208" spans="1:6" ht="14.25" customHeight="1">
      <c r="A208" s="478"/>
      <c r="B208" s="480"/>
      <c r="C208" s="481"/>
      <c r="F208" s="651"/>
    </row>
    <row r="209" spans="1:11" customFormat="1" ht="14.25" customHeight="1">
      <c r="A209" s="520" t="s">
        <v>892</v>
      </c>
      <c r="B209" s="573"/>
      <c r="C209" s="573"/>
      <c r="F209" s="12"/>
    </row>
    <row r="210" spans="1:11" customFormat="1" ht="332.45" customHeight="1">
      <c r="A210" s="1312" t="s">
        <v>3773</v>
      </c>
      <c r="B210" s="1313"/>
      <c r="C210" s="1314"/>
    </row>
    <row r="211" spans="1:11" customFormat="1" ht="51" customHeight="1">
      <c r="A211" s="593" t="s">
        <v>851</v>
      </c>
      <c r="B211" s="521" t="s">
        <v>3585</v>
      </c>
      <c r="C211" s="491" t="s">
        <v>3774</v>
      </c>
      <c r="K211" s="12"/>
    </row>
    <row r="212" spans="1:11" customFormat="1" ht="45" customHeight="1">
      <c r="A212" s="522" t="s">
        <v>762</v>
      </c>
      <c r="B212" s="523">
        <f>'Enterprise Template'!G101</f>
        <v>0</v>
      </c>
      <c r="C212" s="524"/>
    </row>
    <row r="213" spans="1:11" customFormat="1" ht="30">
      <c r="A213" s="454"/>
      <c r="B213" s="525" t="s">
        <v>763</v>
      </c>
      <c r="C213" s="525" t="s">
        <v>764</v>
      </c>
    </row>
    <row r="214" spans="1:11" customFormat="1" ht="34.5" customHeight="1">
      <c r="A214" s="454"/>
      <c r="B214" s="606"/>
      <c r="C214" s="491" t="s">
        <v>922</v>
      </c>
    </row>
    <row r="215" spans="1:11" customFormat="1" ht="33" customHeight="1">
      <c r="A215" s="454"/>
      <c r="B215" s="606"/>
      <c r="C215" s="491" t="s">
        <v>893</v>
      </c>
    </row>
    <row r="216" spans="1:11" customFormat="1" ht="48.75" customHeight="1">
      <c r="A216" s="454"/>
      <c r="B216" s="606"/>
      <c r="C216" s="491" t="s">
        <v>3372</v>
      </c>
    </row>
    <row r="217" spans="1:11" customFormat="1" ht="33.75" customHeight="1">
      <c r="A217" s="454"/>
      <c r="B217" s="606"/>
      <c r="C217" s="491" t="s">
        <v>894</v>
      </c>
    </row>
    <row r="218" spans="1:11" customFormat="1" ht="34.5" customHeight="1">
      <c r="A218" s="454"/>
      <c r="B218" s="606"/>
      <c r="C218" s="491" t="s">
        <v>895</v>
      </c>
    </row>
    <row r="219" spans="1:11" customFormat="1" ht="32.25" customHeight="1">
      <c r="A219" s="454"/>
      <c r="B219" s="606"/>
      <c r="C219" s="491" t="s">
        <v>3389</v>
      </c>
    </row>
    <row r="220" spans="1:11" customFormat="1" ht="33" customHeight="1">
      <c r="A220" s="454"/>
      <c r="B220" s="606"/>
      <c r="C220" s="491" t="s">
        <v>896</v>
      </c>
    </row>
    <row r="221" spans="1:11" customFormat="1" ht="37.5" customHeight="1">
      <c r="A221" s="454"/>
      <c r="B221" s="606"/>
      <c r="C221" s="491" t="s">
        <v>897</v>
      </c>
    </row>
    <row r="222" spans="1:11" customFormat="1" ht="15">
      <c r="A222" s="454"/>
      <c r="B222" s="606"/>
      <c r="C222" s="491" t="s">
        <v>989</v>
      </c>
    </row>
    <row r="223" spans="1:11" customFormat="1" ht="33" hidden="1" customHeight="1">
      <c r="A223" s="454"/>
      <c r="B223" s="606"/>
      <c r="C223" s="641" t="s">
        <v>2718</v>
      </c>
    </row>
    <row r="224" spans="1:11" customFormat="1" ht="15">
      <c r="A224" s="454"/>
      <c r="B224" s="606"/>
      <c r="C224" s="491" t="s">
        <v>2836</v>
      </c>
    </row>
    <row r="225" spans="1:10" customFormat="1" ht="31.15" customHeight="1">
      <c r="A225" s="454"/>
      <c r="B225" s="606"/>
      <c r="C225" s="491" t="s">
        <v>3775</v>
      </c>
    </row>
    <row r="226" spans="1:10" customFormat="1" ht="33" hidden="1" customHeight="1">
      <c r="A226" s="454"/>
      <c r="B226" s="606"/>
      <c r="C226" s="491"/>
    </row>
    <row r="227" spans="1:10" customFormat="1" ht="33" hidden="1" customHeight="1">
      <c r="A227" s="454"/>
      <c r="B227" s="606"/>
      <c r="C227" s="491"/>
    </row>
    <row r="228" spans="1:10" customFormat="1" ht="33" hidden="1" customHeight="1">
      <c r="A228" s="454"/>
      <c r="B228" s="606"/>
      <c r="C228" s="491"/>
    </row>
    <row r="229" spans="1:10" customFormat="1" ht="33" hidden="1" customHeight="1">
      <c r="A229" s="454"/>
      <c r="B229" s="606"/>
      <c r="C229" s="641"/>
    </row>
    <row r="230" spans="1:10" customFormat="1" ht="33" hidden="1" customHeight="1">
      <c r="A230" s="454"/>
      <c r="B230" s="606"/>
      <c r="C230" s="641"/>
    </row>
    <row r="231" spans="1:10" customFormat="1" ht="37.5" customHeight="1">
      <c r="A231" s="454"/>
      <c r="B231" s="606"/>
      <c r="C231" s="491" t="s">
        <v>2837</v>
      </c>
    </row>
    <row r="232" spans="1:10" customFormat="1" ht="37.5" customHeight="1">
      <c r="A232" s="454"/>
      <c r="B232" s="775"/>
      <c r="C232" s="709" t="s">
        <v>2991</v>
      </c>
    </row>
    <row r="233" spans="1:10" customFormat="1" ht="17.25" customHeight="1">
      <c r="A233" s="454"/>
      <c r="B233" s="775"/>
      <c r="C233" s="709" t="s">
        <v>3596</v>
      </c>
    </row>
    <row r="234" spans="1:10" customFormat="1" ht="42" customHeight="1">
      <c r="A234" s="454"/>
      <c r="B234" s="775"/>
      <c r="C234" s="971" t="s">
        <v>3776</v>
      </c>
    </row>
    <row r="235" spans="1:10" customFormat="1" ht="15">
      <c r="A235" s="545" t="s">
        <v>285</v>
      </c>
      <c r="B235" s="542">
        <f>IF(SUM(B214:B234)=B212,B212,"Error")</f>
        <v>0</v>
      </c>
      <c r="C235" s="491" t="s">
        <v>859</v>
      </c>
    </row>
    <row r="236" spans="1:10" customFormat="1" ht="15" customHeight="1">
      <c r="A236" s="500" t="s">
        <v>440</v>
      </c>
      <c r="B236" s="546">
        <f>(SUM(B214:B234))-'Enterprise Template'!G101</f>
        <v>0</v>
      </c>
      <c r="C236" s="512"/>
    </row>
    <row r="237" spans="1:10" customFormat="1" ht="15" customHeight="1">
      <c r="A237" s="543"/>
      <c r="B237" s="544"/>
      <c r="C237" s="512"/>
    </row>
    <row r="238" spans="1:10" customFormat="1" ht="51" customHeight="1">
      <c r="A238" s="593" t="s">
        <v>851</v>
      </c>
      <c r="B238" s="521" t="s">
        <v>3586</v>
      </c>
      <c r="C238" s="491" t="s">
        <v>3777</v>
      </c>
      <c r="J238" s="12"/>
    </row>
    <row r="239" spans="1:10" customFormat="1" ht="46.5" customHeight="1">
      <c r="A239" s="522" t="s">
        <v>765</v>
      </c>
      <c r="B239" s="523">
        <f>'Enterprise Template'!G180</f>
        <v>0</v>
      </c>
      <c r="C239" s="524"/>
    </row>
    <row r="240" spans="1:10" customFormat="1" ht="30" customHeight="1">
      <c r="A240" s="454"/>
      <c r="B240" s="525" t="s">
        <v>763</v>
      </c>
      <c r="C240" s="525" t="s">
        <v>766</v>
      </c>
    </row>
    <row r="241" spans="1:3" customFormat="1" ht="33.75" customHeight="1">
      <c r="A241" s="454"/>
      <c r="B241" s="606"/>
      <c r="C241" s="491" t="s">
        <v>923</v>
      </c>
    </row>
    <row r="242" spans="1:3" customFormat="1" ht="33.75" customHeight="1">
      <c r="A242" s="454"/>
      <c r="B242" s="606"/>
      <c r="C242" s="491" t="s">
        <v>3572</v>
      </c>
    </row>
    <row r="243" spans="1:3" customFormat="1" ht="51" customHeight="1">
      <c r="A243" s="454"/>
      <c r="B243" s="606"/>
      <c r="C243" s="491" t="s">
        <v>3573</v>
      </c>
    </row>
    <row r="244" spans="1:3" customFormat="1" ht="34.5" customHeight="1">
      <c r="A244" s="454"/>
      <c r="B244" s="606"/>
      <c r="C244" s="491" t="s">
        <v>3574</v>
      </c>
    </row>
    <row r="245" spans="1:3" customFormat="1" ht="48" customHeight="1">
      <c r="A245" s="454"/>
      <c r="B245" s="606"/>
      <c r="C245" s="491" t="s">
        <v>3575</v>
      </c>
    </row>
    <row r="246" spans="1:3" customFormat="1" ht="50.25" customHeight="1">
      <c r="A246" s="454"/>
      <c r="B246" s="606"/>
      <c r="C246" s="491" t="s">
        <v>3576</v>
      </c>
    </row>
    <row r="247" spans="1:3" customFormat="1" ht="33.75" customHeight="1">
      <c r="A247" s="454"/>
      <c r="B247" s="606"/>
      <c r="C247" s="491" t="s">
        <v>3577</v>
      </c>
    </row>
    <row r="248" spans="1:3" customFormat="1" ht="19.5" customHeight="1">
      <c r="A248" s="454"/>
      <c r="B248" s="606"/>
      <c r="C248" s="491" t="s">
        <v>3578</v>
      </c>
    </row>
    <row r="249" spans="1:3" customFormat="1" ht="33.75" customHeight="1">
      <c r="A249" s="454"/>
      <c r="B249" s="606"/>
      <c r="C249" s="491" t="s">
        <v>3579</v>
      </c>
    </row>
    <row r="250" spans="1:3" customFormat="1" ht="34.5" customHeight="1">
      <c r="A250" s="454"/>
      <c r="B250" s="606"/>
      <c r="C250" s="491" t="s">
        <v>3580</v>
      </c>
    </row>
    <row r="251" spans="1:3" customFormat="1" ht="36" customHeight="1">
      <c r="A251" s="454"/>
      <c r="B251" s="606"/>
      <c r="C251" s="491" t="s">
        <v>3581</v>
      </c>
    </row>
    <row r="252" spans="1:3" customFormat="1" ht="23.25" customHeight="1">
      <c r="A252" s="454"/>
      <c r="B252" s="606"/>
      <c r="C252" s="491" t="s">
        <v>3582</v>
      </c>
    </row>
    <row r="253" spans="1:3" customFormat="1" ht="23.25" customHeight="1">
      <c r="A253" s="454"/>
      <c r="B253" s="606"/>
      <c r="C253" s="491" t="s">
        <v>3583</v>
      </c>
    </row>
    <row r="254" spans="1:3" customFormat="1" ht="30.75" customHeight="1">
      <c r="A254" s="454"/>
      <c r="B254" s="606"/>
      <c r="C254" s="491" t="s">
        <v>3778</v>
      </c>
    </row>
    <row r="255" spans="1:3" customFormat="1" ht="23.25" hidden="1" customHeight="1">
      <c r="A255" s="454"/>
      <c r="B255" s="606"/>
      <c r="C255" s="491"/>
    </row>
    <row r="256" spans="1:3" customFormat="1" ht="23.25" hidden="1" customHeight="1">
      <c r="A256" s="454"/>
      <c r="B256" s="606"/>
      <c r="C256" s="491"/>
    </row>
    <row r="257" spans="1:6" customFormat="1" ht="23.25" hidden="1" customHeight="1">
      <c r="A257" s="454"/>
      <c r="B257" s="606"/>
      <c r="C257" s="491"/>
    </row>
    <row r="258" spans="1:6" customFormat="1" ht="36" customHeight="1">
      <c r="A258" s="454"/>
      <c r="B258" s="606"/>
      <c r="C258" s="709" t="s">
        <v>3584</v>
      </c>
    </row>
    <row r="259" spans="1:6" customFormat="1" ht="75" hidden="1" customHeight="1">
      <c r="A259" s="454"/>
      <c r="B259" s="606"/>
      <c r="C259" s="709"/>
    </row>
    <row r="260" spans="1:6" customFormat="1" ht="15">
      <c r="A260" s="454"/>
      <c r="B260" s="606"/>
      <c r="C260" s="972" t="s">
        <v>3597</v>
      </c>
    </row>
    <row r="261" spans="1:6" customFormat="1" ht="38.25">
      <c r="A261" s="454"/>
      <c r="B261" s="606"/>
      <c r="C261" s="972" t="s">
        <v>3598</v>
      </c>
    </row>
    <row r="262" spans="1:6" customFormat="1" ht="28.5" customHeight="1">
      <c r="A262" s="454"/>
      <c r="B262" s="606"/>
      <c r="C262" s="973" t="s">
        <v>3599</v>
      </c>
    </row>
    <row r="263" spans="1:6" customFormat="1" ht="17.25" hidden="1" customHeight="1">
      <c r="A263" s="572"/>
      <c r="B263" s="574"/>
      <c r="C263" s="491"/>
    </row>
    <row r="264" spans="1:6" customFormat="1" ht="17.25" customHeight="1">
      <c r="A264" s="526" t="s">
        <v>285</v>
      </c>
      <c r="B264" s="549">
        <f>IF(SUM(B241:B263)=B239,B239,"Error")</f>
        <v>0</v>
      </c>
      <c r="C264" s="491" t="s">
        <v>859</v>
      </c>
    </row>
    <row r="265" spans="1:6" customFormat="1" ht="15" customHeight="1">
      <c r="A265" s="500" t="s">
        <v>440</v>
      </c>
      <c r="B265" s="546">
        <f>(SUM(B241:B263))-'Enterprise Template'!G180</f>
        <v>0</v>
      </c>
      <c r="C265" s="512"/>
    </row>
    <row r="266" spans="1:6" customFormat="1" ht="15" customHeight="1">
      <c r="A266" s="547"/>
      <c r="B266" s="548"/>
      <c r="C266" s="512"/>
    </row>
    <row r="267" spans="1:6" customFormat="1" ht="65.25" customHeight="1">
      <c r="A267" s="518" t="str">
        <f>IF(OR($A$211="Yes",$A$238="Yes"),"Answer Required","N/A")</f>
        <v>N/A</v>
      </c>
      <c r="B267" s="532" t="s">
        <v>3587</v>
      </c>
      <c r="C267" s="491" t="s">
        <v>3643</v>
      </c>
    </row>
    <row r="268" spans="1:6" customFormat="1" ht="15">
      <c r="A268" s="478"/>
      <c r="B268" s="480"/>
      <c r="C268" s="800" t="str">
        <f>IF(A267="Yes","Answer Required","N/A")</f>
        <v>N/A</v>
      </c>
    </row>
    <row r="269" spans="1:6" customFormat="1" ht="21" hidden="1" customHeight="1">
      <c r="A269" s="1274"/>
      <c r="B269" s="1275"/>
      <c r="C269" s="1275"/>
    </row>
    <row r="270" spans="1:6" s="687" customFormat="1" ht="18" hidden="1" customHeight="1">
      <c r="A270" s="1311" t="s">
        <v>2798</v>
      </c>
      <c r="B270" s="1311"/>
      <c r="C270" s="1311"/>
      <c r="F270"/>
    </row>
    <row r="271" spans="1:6" s="687" customFormat="1" ht="160.5" hidden="1" customHeight="1">
      <c r="A271" s="1305" t="s">
        <v>2799</v>
      </c>
      <c r="B271" s="1306"/>
      <c r="C271" s="1307"/>
    </row>
    <row r="272" spans="1:6" s="687" customFormat="1" ht="35.25" hidden="1" customHeight="1">
      <c r="A272" s="804" t="s">
        <v>851</v>
      </c>
      <c r="B272" s="688" t="s">
        <v>862</v>
      </c>
      <c r="C272" s="641" t="s">
        <v>2800</v>
      </c>
    </row>
    <row r="273" spans="1:3" s="687" customFormat="1" ht="30.75" hidden="1" customHeight="1">
      <c r="A273" s="689"/>
      <c r="B273" s="690" t="s">
        <v>763</v>
      </c>
      <c r="C273" s="671" t="s">
        <v>842</v>
      </c>
    </row>
    <row r="274" spans="1:3" s="687" customFormat="1" ht="27.75" hidden="1" customHeight="1">
      <c r="A274" s="689"/>
      <c r="B274" s="809"/>
      <c r="C274" s="641" t="s">
        <v>2801</v>
      </c>
    </row>
    <row r="275" spans="1:3" s="687" customFormat="1" ht="21" hidden="1" customHeight="1">
      <c r="A275" s="689"/>
      <c r="B275" s="809"/>
      <c r="C275" s="641" t="s">
        <v>2802</v>
      </c>
    </row>
    <row r="276" spans="1:3" s="687" customFormat="1" ht="150" hidden="1" customHeight="1">
      <c r="A276" s="689"/>
      <c r="B276" s="809"/>
      <c r="C276" s="641" t="s">
        <v>2803</v>
      </c>
    </row>
    <row r="277" spans="1:3" s="687" customFormat="1" ht="24" hidden="1" customHeight="1">
      <c r="A277" s="689"/>
      <c r="B277" s="809"/>
      <c r="C277" s="641" t="s">
        <v>2804</v>
      </c>
    </row>
    <row r="278" spans="1:3" s="687" customFormat="1" ht="31.5" hidden="1" customHeight="1">
      <c r="A278" s="689"/>
      <c r="B278" s="809"/>
      <c r="C278" s="641" t="s">
        <v>2805</v>
      </c>
    </row>
    <row r="279" spans="1:3" s="687" customFormat="1" ht="32.25" hidden="1" customHeight="1">
      <c r="A279" s="689"/>
      <c r="B279" s="809"/>
      <c r="C279" s="641" t="s">
        <v>2806</v>
      </c>
    </row>
    <row r="280" spans="1:3" s="687" customFormat="1" ht="19.5" hidden="1" customHeight="1" thickBot="1">
      <c r="A280" s="691" t="s">
        <v>285</v>
      </c>
      <c r="B280" s="692">
        <f>SUM(B274:B279)</f>
        <v>0</v>
      </c>
      <c r="C280" s="693"/>
    </row>
    <row r="281" spans="1:3" s="687" customFormat="1" ht="15" hidden="1" customHeight="1" thickTop="1">
      <c r="A281" s="694"/>
      <c r="B281" s="693"/>
      <c r="C281" s="693"/>
    </row>
    <row r="282" spans="1:3" s="687" customFormat="1" ht="34.5" hidden="1" customHeight="1">
      <c r="A282" s="804" t="s">
        <v>851</v>
      </c>
      <c r="B282" s="688" t="s">
        <v>863</v>
      </c>
      <c r="C282" s="641" t="s">
        <v>2807</v>
      </c>
    </row>
    <row r="283" spans="1:3" s="687" customFormat="1" ht="33" hidden="1" customHeight="1">
      <c r="A283" s="689"/>
      <c r="B283" s="695" t="s">
        <v>763</v>
      </c>
      <c r="C283" s="671" t="s">
        <v>843</v>
      </c>
    </row>
    <row r="284" spans="1:3" s="687" customFormat="1" ht="42" hidden="1" customHeight="1">
      <c r="A284" s="689"/>
      <c r="B284" s="809"/>
      <c r="C284" s="641" t="s">
        <v>2808</v>
      </c>
    </row>
    <row r="285" spans="1:3" s="687" customFormat="1" ht="63.75" hidden="1" customHeight="1">
      <c r="A285" s="689"/>
      <c r="B285" s="809"/>
      <c r="C285" s="696" t="s">
        <v>2809</v>
      </c>
    </row>
    <row r="286" spans="1:3" s="687" customFormat="1" ht="36" hidden="1" customHeight="1">
      <c r="A286" s="689"/>
      <c r="B286" s="809"/>
      <c r="C286" s="696" t="s">
        <v>2810</v>
      </c>
    </row>
    <row r="287" spans="1:3" s="687" customFormat="1" ht="38.25" hidden="1" customHeight="1">
      <c r="A287" s="689"/>
      <c r="B287" s="809"/>
      <c r="C287" s="641" t="s">
        <v>2811</v>
      </c>
    </row>
    <row r="288" spans="1:3" s="687" customFormat="1" ht="20.25" hidden="1" customHeight="1" thickBot="1">
      <c r="A288" s="697" t="s">
        <v>285</v>
      </c>
      <c r="B288" s="692">
        <f>SUM(B284:B287)</f>
        <v>0</v>
      </c>
      <c r="C288" s="693"/>
    </row>
    <row r="289" spans="1:6" s="687" customFormat="1" ht="14.25" hidden="1" customHeight="1" thickTop="1">
      <c r="A289" s="698"/>
      <c r="B289" s="699"/>
      <c r="C289" s="700"/>
    </row>
    <row r="290" spans="1:6" s="687" customFormat="1" ht="20.25" hidden="1" customHeight="1">
      <c r="A290" s="667" t="str">
        <f>IF(OR($A$272="Yes",$A$282="Yes"),"Answer Required","N/A")</f>
        <v>N/A</v>
      </c>
      <c r="B290" s="701" t="s">
        <v>864</v>
      </c>
      <c r="C290" s="641" t="s">
        <v>2812</v>
      </c>
    </row>
    <row r="291" spans="1:6" s="687" customFormat="1" ht="15" hidden="1">
      <c r="A291" s="702"/>
      <c r="B291" s="703"/>
      <c r="C291" s="808" t="str">
        <f>IF(A290="No","Answer Required","N/A")</f>
        <v>N/A</v>
      </c>
    </row>
    <row r="292" spans="1:6" customFormat="1" ht="41.25" hidden="1" customHeight="1">
      <c r="A292" s="1308"/>
      <c r="B292" s="1309"/>
      <c r="C292" s="1310"/>
      <c r="F292" s="687"/>
    </row>
    <row r="293" spans="1:6" customFormat="1" ht="41.25" hidden="1" customHeight="1">
      <c r="A293" s="575"/>
      <c r="B293" s="575"/>
      <c r="C293" s="575"/>
    </row>
    <row r="294" spans="1:6" s="478" customFormat="1" ht="35.25" customHeight="1">
      <c r="A294" s="1302" t="s">
        <v>2925</v>
      </c>
      <c r="B294" s="1302"/>
      <c r="C294" s="1302"/>
      <c r="F294"/>
    </row>
    <row r="295" spans="1:6" s="478" customFormat="1" ht="258.75" customHeight="1">
      <c r="A295" s="1303" t="s">
        <v>2988</v>
      </c>
      <c r="B295" s="1304"/>
      <c r="C295" s="1304"/>
    </row>
    <row r="296" spans="1:6" s="478" customFormat="1" ht="15">
      <c r="A296" s="593" t="s">
        <v>851</v>
      </c>
      <c r="B296" s="521" t="s">
        <v>858</v>
      </c>
      <c r="C296" s="491" t="s">
        <v>3644</v>
      </c>
    </row>
    <row r="297" spans="1:6" s="478" customFormat="1" ht="36.75" customHeight="1">
      <c r="A297" s="626"/>
      <c r="B297" s="576"/>
      <c r="C297" s="491" t="s">
        <v>2841</v>
      </c>
    </row>
    <row r="298" spans="1:6" s="478" customFormat="1" ht="30">
      <c r="A298" s="577"/>
      <c r="B298" s="525" t="s">
        <v>973</v>
      </c>
      <c r="C298" s="525" t="s">
        <v>974</v>
      </c>
    </row>
    <row r="299" spans="1:6" s="478" customFormat="1" ht="45">
      <c r="A299" s="578" t="s">
        <v>975</v>
      </c>
      <c r="B299" s="606"/>
      <c r="C299" s="625" t="str">
        <f>IF($B$299=0,"N/A","Answer Required")</f>
        <v>N/A</v>
      </c>
    </row>
    <row r="300" spans="1:6" s="478" customFormat="1" ht="45">
      <c r="A300" s="578" t="s">
        <v>977</v>
      </c>
      <c r="B300" s="606"/>
      <c r="C300" s="625" t="str">
        <f>IF($B$300=0,"N/A","Answer Required")</f>
        <v>N/A</v>
      </c>
    </row>
    <row r="301" spans="1:6" s="478" customFormat="1" ht="45">
      <c r="A301" s="639" t="s">
        <v>976</v>
      </c>
      <c r="B301" s="606"/>
      <c r="C301" s="625" t="str">
        <f>IF($B$301=0,"N/A","Answer Required")</f>
        <v>N/A</v>
      </c>
    </row>
    <row r="302" spans="1:6" s="478" customFormat="1" ht="15">
      <c r="A302" s="595"/>
      <c r="B302" s="621">
        <f>SUM(B299:B301)</f>
        <v>0</v>
      </c>
      <c r="C302" s="627" t="s">
        <v>997</v>
      </c>
    </row>
    <row r="303" spans="1:6" s="478" customFormat="1" ht="30">
      <c r="A303" s="607" t="s">
        <v>998</v>
      </c>
      <c r="B303" s="622">
        <f>SUM('Tab 1B-CE.&amp;Inv. Not w Tr '!AB:AD)</f>
        <v>0</v>
      </c>
      <c r="C303" s="491" t="s">
        <v>2703</v>
      </c>
    </row>
    <row r="304" spans="1:6" s="478" customFormat="1" ht="15">
      <c r="A304" s="595"/>
      <c r="B304" s="621">
        <f>B302-B303</f>
        <v>0</v>
      </c>
      <c r="C304" s="627" t="s">
        <v>391</v>
      </c>
    </row>
    <row r="305" spans="1:6" s="478" customFormat="1" ht="34.5" customHeight="1">
      <c r="A305" s="595"/>
      <c r="B305" s="628"/>
      <c r="C305" s="629" t="s">
        <v>2719</v>
      </c>
    </row>
    <row r="306" spans="1:6" s="478" customFormat="1" ht="15">
      <c r="A306" s="595"/>
      <c r="B306" s="631"/>
      <c r="C306" s="625" t="str">
        <f>IF($B$304=0,"N/A","Answer Required")</f>
        <v>N/A</v>
      </c>
    </row>
    <row r="307" spans="1:6" s="478" customFormat="1" ht="33" customHeight="1">
      <c r="A307" s="518" t="str">
        <f>IF(A296="Yes","Answer Required","N/A")</f>
        <v>N/A</v>
      </c>
      <c r="B307" s="521" t="s">
        <v>860</v>
      </c>
      <c r="C307" s="491" t="s">
        <v>3595</v>
      </c>
    </row>
    <row r="308" spans="1:6" s="478" customFormat="1" ht="18" customHeight="1">
      <c r="A308" s="630"/>
      <c r="B308" s="605"/>
      <c r="C308" s="491" t="s">
        <v>2685</v>
      </c>
    </row>
    <row r="309" spans="1:6" s="478" customFormat="1" ht="15">
      <c r="A309" s="595"/>
      <c r="B309" s="631"/>
      <c r="C309" s="625" t="str">
        <f>IF($A$307="YES","Answer Required","N/A")</f>
        <v>N/A</v>
      </c>
    </row>
    <row r="310" spans="1:6" s="478" customFormat="1" ht="36" customHeight="1">
      <c r="A310" s="593" t="s">
        <v>851</v>
      </c>
      <c r="B310" s="521" t="s">
        <v>861</v>
      </c>
      <c r="C310" s="491" t="s">
        <v>3780</v>
      </c>
    </row>
    <row r="311" spans="1:6" s="478" customFormat="1" ht="48.75" customHeight="1">
      <c r="A311" s="630"/>
      <c r="B311" s="592"/>
      <c r="C311" s="491" t="s">
        <v>2723</v>
      </c>
    </row>
    <row r="312" spans="1:6" s="478" customFormat="1" ht="69.95" customHeight="1">
      <c r="A312" s="594"/>
      <c r="B312" s="608" t="s">
        <v>999</v>
      </c>
      <c r="C312" s="525" t="s">
        <v>2720</v>
      </c>
    </row>
    <row r="313" spans="1:6" s="478" customFormat="1" ht="15">
      <c r="A313" s="595"/>
      <c r="B313" s="597"/>
      <c r="C313" s="625" t="str">
        <f>IF($B$313=0,"N/A","Answer Required")</f>
        <v>N/A</v>
      </c>
    </row>
    <row r="314" spans="1:6" ht="30">
      <c r="A314" s="607" t="s">
        <v>998</v>
      </c>
      <c r="B314" s="623">
        <f>SUM('Tab 1B-CE.&amp;Inv. Not w Tr '!AE:AE)</f>
        <v>0</v>
      </c>
      <c r="C314" s="629" t="s">
        <v>2721</v>
      </c>
      <c r="F314" s="478"/>
    </row>
    <row r="315" spans="1:6" ht="15" customHeight="1">
      <c r="A315" s="595"/>
      <c r="B315" s="624">
        <f>B313-B314</f>
        <v>0</v>
      </c>
      <c r="C315" s="627" t="s">
        <v>391</v>
      </c>
    </row>
    <row r="316" spans="1:6" ht="36" customHeight="1">
      <c r="A316" s="595"/>
      <c r="B316" s="628"/>
      <c r="C316" s="629" t="s">
        <v>2722</v>
      </c>
    </row>
    <row r="317" spans="1:6" ht="15">
      <c r="A317" s="595"/>
      <c r="B317" s="632"/>
      <c r="C317" s="625" t="str">
        <f>IF($B$315=0,"N/A","Answer Required")</f>
        <v>N/A</v>
      </c>
    </row>
    <row r="318" spans="1:6" s="478" customFormat="1" ht="30">
      <c r="A318" s="593" t="str">
        <f>IF(OR($A$296="Yes",$A$310="Yes"),"Answer Required","N/A")</f>
        <v>N/A</v>
      </c>
      <c r="B318" s="521" t="s">
        <v>3588</v>
      </c>
      <c r="C318" s="491" t="s">
        <v>3779</v>
      </c>
      <c r="F318" s="12"/>
    </row>
    <row r="319" spans="1:6" s="478" customFormat="1" ht="21.75" customHeight="1">
      <c r="A319" s="626"/>
      <c r="B319" s="603"/>
      <c r="C319" s="491" t="s">
        <v>2684</v>
      </c>
    </row>
    <row r="320" spans="1:6" s="478" customFormat="1" ht="15">
      <c r="A320" s="507"/>
      <c r="B320" s="604"/>
      <c r="C320" s="625" t="str">
        <f>IF($A$318="NO","Answer Required","N/A")</f>
        <v>N/A</v>
      </c>
    </row>
    <row r="321" spans="1:6" ht="30" hidden="1">
      <c r="A321" s="570"/>
      <c r="B321" s="521" t="s">
        <v>2813</v>
      </c>
      <c r="C321" s="491" t="s">
        <v>2965</v>
      </c>
    </row>
    <row r="322" spans="1:6" ht="22.5" hidden="1" customHeight="1">
      <c r="A322" s="594"/>
      <c r="B322" s="596"/>
      <c r="C322" s="491" t="s">
        <v>2686</v>
      </c>
    </row>
    <row r="323" spans="1:6" ht="15" hidden="1">
      <c r="A323" s="595"/>
      <c r="B323" s="596"/>
      <c r="C323" s="810"/>
    </row>
    <row r="324" spans="1:6" s="651" customFormat="1" ht="15" hidden="1">
      <c r="A324" s="804" t="s">
        <v>851</v>
      </c>
      <c r="B324" s="688" t="s">
        <v>2814</v>
      </c>
      <c r="C324" s="641" t="s">
        <v>2815</v>
      </c>
      <c r="F324" s="478"/>
    </row>
    <row r="325" spans="1:6" s="651" customFormat="1" ht="19.5" hidden="1" customHeight="1">
      <c r="A325" s="704"/>
      <c r="B325" s="705"/>
      <c r="C325" s="641" t="s">
        <v>2816</v>
      </c>
    </row>
    <row r="326" spans="1:6" s="651" customFormat="1" ht="15" hidden="1">
      <c r="A326" s="706"/>
      <c r="B326" s="705"/>
      <c r="C326" s="811" t="str">
        <f>IF($A$324="No","Answer Required","N/A")</f>
        <v>N/A</v>
      </c>
    </row>
    <row r="327" spans="1:6" ht="41.25" customHeight="1">
      <c r="A327" s="1302" t="s">
        <v>2927</v>
      </c>
      <c r="B327" s="1302"/>
      <c r="C327" s="1302"/>
      <c r="F327" s="651"/>
    </row>
    <row r="328" spans="1:6" ht="63" customHeight="1">
      <c r="A328" s="593" t="s">
        <v>851</v>
      </c>
      <c r="B328" s="521">
        <v>15</v>
      </c>
      <c r="C328" s="491" t="s">
        <v>3645</v>
      </c>
    </row>
    <row r="329" spans="1:6" ht="15.75">
      <c r="C329" s="625" t="str">
        <f>IF($A$328="YES","Answer Required","N/A")</f>
        <v>N/A</v>
      </c>
    </row>
    <row r="330" spans="1:6" ht="13.5" customHeight="1"/>
    <row r="331" spans="1:6" ht="41.25" customHeight="1">
      <c r="A331" s="1302" t="s">
        <v>3347</v>
      </c>
      <c r="B331" s="1302"/>
      <c r="C331" s="1302"/>
    </row>
    <row r="332" spans="1:6" ht="132" customHeight="1">
      <c r="A332" s="593" t="s">
        <v>851</v>
      </c>
      <c r="B332" s="521" t="s">
        <v>3589</v>
      </c>
      <c r="C332" s="491" t="s">
        <v>3781</v>
      </c>
    </row>
    <row r="333" spans="1:6" ht="15.75">
      <c r="C333" s="625" t="str">
        <f>IF($A$332="YES","Answer Required","N/A")</f>
        <v>N/A</v>
      </c>
    </row>
    <row r="335" spans="1:6" ht="53.25" customHeight="1">
      <c r="A335" s="593" t="s">
        <v>851</v>
      </c>
      <c r="B335" s="521" t="s">
        <v>3590</v>
      </c>
      <c r="C335" s="491" t="s">
        <v>3605</v>
      </c>
    </row>
    <row r="336" spans="1:6" ht="15.75">
      <c r="C336" s="625" t="str">
        <f>IF($A$335="YES","Answer Required","N/A")</f>
        <v>N/A</v>
      </c>
    </row>
    <row r="337" spans="1:3" ht="41.25" customHeight="1">
      <c r="A337" s="1302" t="s">
        <v>2966</v>
      </c>
      <c r="B337" s="1302"/>
      <c r="C337" s="1302"/>
    </row>
    <row r="338" spans="1:3" ht="30">
      <c r="A338" s="518" t="s">
        <v>851</v>
      </c>
      <c r="B338" s="521" t="s">
        <v>2967</v>
      </c>
      <c r="C338" s="491" t="s">
        <v>3646</v>
      </c>
    </row>
    <row r="339" spans="1:3" ht="21" customHeight="1">
      <c r="A339" s="478"/>
      <c r="B339" s="521" t="s">
        <v>2968</v>
      </c>
      <c r="C339" s="977" t="s">
        <v>3609</v>
      </c>
    </row>
    <row r="340" spans="1:3" ht="15">
      <c r="A340" s="478"/>
      <c r="B340" s="784"/>
      <c r="C340" s="784" t="str">
        <f>IF(B340&lt;&gt;0,"Answer Required","N/A")</f>
        <v>N/A</v>
      </c>
    </row>
    <row r="341" spans="1:3" ht="15">
      <c r="A341" s="478"/>
      <c r="B341" s="784"/>
      <c r="C341" s="784" t="str">
        <f t="shared" ref="C341:C343" si="1">IF(B341&lt;&gt;0,"Answer Required","N/A")</f>
        <v>N/A</v>
      </c>
    </row>
    <row r="342" spans="1:3" ht="15">
      <c r="A342" s="478"/>
      <c r="B342" s="784"/>
      <c r="C342" s="784" t="str">
        <f t="shared" si="1"/>
        <v>N/A</v>
      </c>
    </row>
    <row r="343" spans="1:3" ht="15">
      <c r="A343" s="478"/>
      <c r="B343" s="784"/>
      <c r="C343" s="784" t="str">
        <f t="shared" si="1"/>
        <v>N/A</v>
      </c>
    </row>
    <row r="344" spans="1:3" ht="17.25" customHeight="1">
      <c r="A344" s="518" t="s">
        <v>851</v>
      </c>
      <c r="B344" s="521" t="s">
        <v>3591</v>
      </c>
      <c r="C344" s="491" t="s">
        <v>3647</v>
      </c>
    </row>
    <row r="345" spans="1:3" ht="21.75" customHeight="1">
      <c r="A345" s="478"/>
      <c r="B345" s="480"/>
      <c r="C345" s="491" t="s">
        <v>3782</v>
      </c>
    </row>
    <row r="346" spans="1:3" ht="15">
      <c r="A346" s="478"/>
      <c r="B346" s="480"/>
      <c r="C346" s="779" t="str">
        <f>IF(A344="YES","Answer Required","N/A")</f>
        <v>N/A</v>
      </c>
    </row>
    <row r="347" spans="1:3" ht="20.25" customHeight="1">
      <c r="A347" s="518" t="s">
        <v>851</v>
      </c>
      <c r="B347" s="521" t="s">
        <v>3592</v>
      </c>
      <c r="C347" s="491" t="s">
        <v>2969</v>
      </c>
    </row>
    <row r="348" spans="1:3" ht="20.25" customHeight="1">
      <c r="A348" s="478"/>
      <c r="B348" s="480"/>
      <c r="C348" s="491" t="s">
        <v>2970</v>
      </c>
    </row>
    <row r="349" spans="1:3" ht="21.75" customHeight="1">
      <c r="A349" s="478"/>
      <c r="B349" s="480"/>
      <c r="C349" s="491" t="s">
        <v>2971</v>
      </c>
    </row>
    <row r="350" spans="1:3" ht="19.5" customHeight="1">
      <c r="A350" s="478"/>
      <c r="B350" s="480"/>
      <c r="C350" s="491" t="s">
        <v>2972</v>
      </c>
    </row>
    <row r="351" spans="1:3" ht="17.25" customHeight="1">
      <c r="A351" s="478"/>
      <c r="B351" s="480"/>
      <c r="C351" s="491" t="s">
        <v>2973</v>
      </c>
    </row>
    <row r="352" spans="1:3" ht="15">
      <c r="A352" s="478"/>
      <c r="B352" s="480"/>
      <c r="C352" s="779" t="str">
        <f>IF(A347="YES","Answer Required","N/A")</f>
        <v>N/A</v>
      </c>
    </row>
    <row r="353" spans="1:3" ht="15.75" customHeight="1"/>
    <row r="354" spans="1:3" ht="41.25" customHeight="1">
      <c r="A354" s="930" t="s">
        <v>3565</v>
      </c>
      <c r="B354" s="963"/>
      <c r="C354" s="964"/>
    </row>
    <row r="355" spans="1:3" ht="108" customHeight="1">
      <c r="A355" s="518" t="s">
        <v>851</v>
      </c>
      <c r="B355" s="965">
        <v>18</v>
      </c>
      <c r="C355" s="975" t="s">
        <v>3783</v>
      </c>
    </row>
    <row r="356" spans="1:3" ht="12.75">
      <c r="A356" s="930"/>
      <c r="B356" s="963"/>
      <c r="C356" s="970" t="str">
        <f>IF(A355="YES","Answer Required","N/A")</f>
        <v>N/A</v>
      </c>
    </row>
    <row r="357" spans="1:3" ht="12.75">
      <c r="A357" s="930"/>
      <c r="B357" s="963"/>
      <c r="C357" s="12"/>
    </row>
    <row r="358" spans="1:3" ht="18" customHeight="1">
      <c r="A358" s="967" t="s">
        <v>3566</v>
      </c>
      <c r="B358" s="963"/>
      <c r="C358" s="964"/>
    </row>
    <row r="359" spans="1:3" ht="117" customHeight="1">
      <c r="A359" s="1256" t="s">
        <v>3784</v>
      </c>
      <c r="B359" s="1257"/>
      <c r="C359" s="1258"/>
    </row>
    <row r="360" spans="1:3" ht="120.75" customHeight="1">
      <c r="A360" s="518" t="s">
        <v>851</v>
      </c>
      <c r="B360" s="965" t="s">
        <v>3567</v>
      </c>
      <c r="C360" s="966" t="s">
        <v>3606</v>
      </c>
    </row>
    <row r="361" spans="1:3" ht="201" customHeight="1">
      <c r="A361" s="969" t="str">
        <f>IF($A$360="Yes","Answer Required","N/A")</f>
        <v>N/A</v>
      </c>
      <c r="B361" s="965" t="s">
        <v>3568</v>
      </c>
      <c r="C361" s="968" t="s">
        <v>3600</v>
      </c>
    </row>
    <row r="362" spans="1:3" ht="12.75">
      <c r="A362" s="930"/>
      <c r="B362" s="963"/>
      <c r="C362" s="970" t="str">
        <f>IF(A361="YES","Answer Required","N/A")</f>
        <v>N/A</v>
      </c>
    </row>
    <row r="363" spans="1:3" ht="123" customHeight="1">
      <c r="A363" s="969" t="str">
        <f>IF($A$360="Yes","Answer Required","N/A")</f>
        <v>N/A</v>
      </c>
      <c r="B363" s="965" t="s">
        <v>3569</v>
      </c>
      <c r="C363" s="968" t="s">
        <v>3607</v>
      </c>
    </row>
    <row r="364" spans="1:3" ht="81" customHeight="1">
      <c r="A364" s="969" t="str">
        <f>IF($A$360="Yes","Answer Required","N/A")</f>
        <v>N/A</v>
      </c>
      <c r="B364" s="965" t="s">
        <v>3570</v>
      </c>
      <c r="C364" s="968" t="s">
        <v>3593</v>
      </c>
    </row>
    <row r="365" spans="1:3" ht="12.75">
      <c r="A365" s="930"/>
      <c r="B365" s="963"/>
      <c r="C365" s="970" t="str">
        <f>IF(A364="YES","Answer Required","N/A")</f>
        <v>N/A</v>
      </c>
    </row>
    <row r="366" spans="1:3" ht="91.5" customHeight="1">
      <c r="A366" s="518" t="s">
        <v>851</v>
      </c>
      <c r="B366" s="965" t="s">
        <v>3571</v>
      </c>
      <c r="C366" s="968" t="s">
        <v>3594</v>
      </c>
    </row>
    <row r="367" spans="1:3" ht="12.75">
      <c r="A367" s="930"/>
      <c r="B367" s="963"/>
      <c r="C367" s="970" t="str">
        <f>IF(A366="YES","Answer Required","N/A")</f>
        <v>N/A</v>
      </c>
    </row>
    <row r="368" spans="1:3" ht="12.75">
      <c r="A368" s="930"/>
      <c r="B368" s="963"/>
      <c r="C368" s="979"/>
    </row>
    <row r="369" spans="1:3" ht="12.75">
      <c r="A369" s="930" t="s">
        <v>3735</v>
      </c>
      <c r="B369" s="963"/>
      <c r="C369" s="979"/>
    </row>
    <row r="370" spans="1:3" ht="58.5" customHeight="1">
      <c r="A370" s="593" t="s">
        <v>851</v>
      </c>
      <c r="B370" s="521">
        <v>20</v>
      </c>
      <c r="C370" s="972" t="s">
        <v>3785</v>
      </c>
    </row>
    <row r="371" spans="1:3" ht="15.75">
      <c r="C371" s="984" t="str">
        <f>IF($A$370="YES","Answer Required","N/A")</f>
        <v>N/A</v>
      </c>
    </row>
    <row r="372" spans="1:3" ht="12.75">
      <c r="A372" s="930"/>
      <c r="B372" s="963"/>
      <c r="C372" s="979"/>
    </row>
  </sheetData>
  <sheetProtection algorithmName="SHA-512" hashValue="RRp0XOByhAAbj6WxJHVVaMoAxI35TzG7ZTCpVjmiy5sbsjK5nuHvLR7sdfl1qgNKUPWKeOt325FiZAroZfaybA==" saltValue="rsx5jhwMAK4Khz/oqpRsvw==" spinCount="100000" sheet="1" objects="1" scenarios="1"/>
  <mergeCells count="54">
    <mergeCell ref="D23:E23"/>
    <mergeCell ref="A337:C337"/>
    <mergeCell ref="A327:C327"/>
    <mergeCell ref="A294:C294"/>
    <mergeCell ref="A295:C295"/>
    <mergeCell ref="A271:C271"/>
    <mergeCell ref="A292:C292"/>
    <mergeCell ref="A331:C331"/>
    <mergeCell ref="A270:C270"/>
    <mergeCell ref="A210:C210"/>
    <mergeCell ref="A163:C163"/>
    <mergeCell ref="A164:C164"/>
    <mergeCell ref="A165:C165"/>
    <mergeCell ref="A166:C166"/>
    <mergeCell ref="A188:B188"/>
    <mergeCell ref="B20:C20"/>
    <mergeCell ref="A31:C31"/>
    <mergeCell ref="A189:B189"/>
    <mergeCell ref="A190:B190"/>
    <mergeCell ref="A191:B191"/>
    <mergeCell ref="A169:B169"/>
    <mergeCell ref="A147:C147"/>
    <mergeCell ref="B15:C15"/>
    <mergeCell ref="B16:C16"/>
    <mergeCell ref="B17:C17"/>
    <mergeCell ref="A69:B69"/>
    <mergeCell ref="A70:B70"/>
    <mergeCell ref="A64:B64"/>
    <mergeCell ref="A65:B65"/>
    <mergeCell ref="A66:B66"/>
    <mergeCell ref="A68:B68"/>
    <mergeCell ref="B18:C18"/>
    <mergeCell ref="A53:C53"/>
    <mergeCell ref="A23:C23"/>
    <mergeCell ref="A22:C22"/>
    <mergeCell ref="C26:C27"/>
    <mergeCell ref="B19:C19"/>
    <mergeCell ref="A34:C34"/>
    <mergeCell ref="A359:C359"/>
    <mergeCell ref="A71:B71"/>
    <mergeCell ref="A77:B77"/>
    <mergeCell ref="A81:B81"/>
    <mergeCell ref="A82:B82"/>
    <mergeCell ref="A117:C117"/>
    <mergeCell ref="A139:B139"/>
    <mergeCell ref="A140:B140"/>
    <mergeCell ref="A151:C151"/>
    <mergeCell ref="A145:B145"/>
    <mergeCell ref="A141:B141"/>
    <mergeCell ref="A142:B142"/>
    <mergeCell ref="A144:B144"/>
    <mergeCell ref="A146:C146"/>
    <mergeCell ref="A143:B143"/>
    <mergeCell ref="A269:C269"/>
  </mergeCells>
  <phoneticPr fontId="46" type="noConversion"/>
  <conditionalFormatting sqref="A35 A38 A43 A48 A54 A60 A75 A88 A112 A118 A148:A149 A152 A157 B237 B266">
    <cfRule type="cellIs" dxfId="107" priority="379" operator="equal">
      <formula>"Error"</formula>
    </cfRule>
  </conditionalFormatting>
  <conditionalFormatting sqref="A84">
    <cfRule type="cellIs" dxfId="106" priority="98" operator="equal">
      <formula>"Error"</formula>
    </cfRule>
  </conditionalFormatting>
  <conditionalFormatting sqref="A84:A85">
    <cfRule type="cellIs" dxfId="105" priority="97" operator="equal">
      <formula>"Answer Required"</formula>
    </cfRule>
  </conditionalFormatting>
  <conditionalFormatting sqref="A201:A205">
    <cfRule type="cellIs" dxfId="104" priority="289" operator="equal">
      <formula>"Answer Required"</formula>
    </cfRule>
  </conditionalFormatting>
  <conditionalFormatting sqref="A211">
    <cfRule type="cellIs" dxfId="103" priority="149" operator="equal">
      <formula>"Answer Required"</formula>
    </cfRule>
    <cfRule type="cellIs" dxfId="102" priority="150" operator="equal">
      <formula>"Error"</formula>
    </cfRule>
  </conditionalFormatting>
  <conditionalFormatting sqref="A238">
    <cfRule type="cellIs" dxfId="101" priority="146" operator="equal">
      <formula>"Error"</formula>
    </cfRule>
    <cfRule type="cellIs" dxfId="100" priority="145" operator="equal">
      <formula>"Answer Required"</formula>
    </cfRule>
  </conditionalFormatting>
  <conditionalFormatting sqref="A272">
    <cfRule type="cellIs" dxfId="99" priority="138" operator="equal">
      <formula>"Error"</formula>
    </cfRule>
    <cfRule type="cellIs" dxfId="98" priority="137" operator="equal">
      <formula>"Answer Required"</formula>
    </cfRule>
  </conditionalFormatting>
  <conditionalFormatting sqref="A282">
    <cfRule type="cellIs" dxfId="97" priority="130" operator="equal">
      <formula>"Error"</formula>
    </cfRule>
    <cfRule type="cellIs" dxfId="96" priority="129" operator="equal">
      <formula>"Answer Required"</formula>
    </cfRule>
  </conditionalFormatting>
  <conditionalFormatting sqref="A296">
    <cfRule type="cellIs" dxfId="95" priority="50" operator="equal">
      <formula>"Error"</formula>
    </cfRule>
    <cfRule type="cellIs" dxfId="94" priority="49" operator="equal">
      <formula>"Answer Required"</formula>
    </cfRule>
  </conditionalFormatting>
  <conditionalFormatting sqref="A302">
    <cfRule type="cellIs" dxfId="93" priority="108" operator="equal">
      <formula>"Error"</formula>
    </cfRule>
    <cfRule type="cellIs" dxfId="92" priority="107" operator="equal">
      <formula>"Answer Required"</formula>
    </cfRule>
  </conditionalFormatting>
  <conditionalFormatting sqref="A305">
    <cfRule type="cellIs" dxfId="91" priority="105" operator="equal">
      <formula>"Answer Required"</formula>
    </cfRule>
    <cfRule type="cellIs" dxfId="90" priority="106" operator="equal">
      <formula>"Error"</formula>
    </cfRule>
  </conditionalFormatting>
  <conditionalFormatting sqref="A307:A308">
    <cfRule type="cellIs" dxfId="89" priority="41" operator="equal">
      <formula>"Answer Required"</formula>
    </cfRule>
  </conditionalFormatting>
  <conditionalFormatting sqref="A308">
    <cfRule type="cellIs" dxfId="88" priority="85" operator="equal">
      <formula>"Error"</formula>
    </cfRule>
  </conditionalFormatting>
  <conditionalFormatting sqref="A310:A311">
    <cfRule type="cellIs" dxfId="87" priority="46" operator="equal">
      <formula>"Error"</formula>
    </cfRule>
    <cfRule type="cellIs" dxfId="86" priority="45" operator="equal">
      <formula>"Answer Required"</formula>
    </cfRule>
  </conditionalFormatting>
  <conditionalFormatting sqref="A318">
    <cfRule type="cellIs" dxfId="85" priority="44" operator="equal">
      <formula>"Error"</formula>
    </cfRule>
    <cfRule type="cellIs" dxfId="84" priority="43" operator="equal">
      <formula>"Answer Required"</formula>
    </cfRule>
  </conditionalFormatting>
  <conditionalFormatting sqref="A321">
    <cfRule type="cellIs" dxfId="83" priority="93" operator="equal">
      <formula>"Answer Required"</formula>
    </cfRule>
    <cfRule type="cellIs" dxfId="82" priority="94" operator="equal">
      <formula>"Error"</formula>
    </cfRule>
  </conditionalFormatting>
  <conditionalFormatting sqref="A324">
    <cfRule type="cellIs" dxfId="81" priority="92" operator="equal">
      <formula>"Error"</formula>
    </cfRule>
    <cfRule type="cellIs" dxfId="80" priority="91" operator="equal">
      <formula>"Answer Required"</formula>
    </cfRule>
  </conditionalFormatting>
  <conditionalFormatting sqref="A328">
    <cfRule type="cellIs" dxfId="79" priority="39" operator="equal">
      <formula>"Answer Required"</formula>
    </cfRule>
    <cfRule type="cellIs" dxfId="78" priority="40" operator="equal">
      <formula>"Error"</formula>
    </cfRule>
  </conditionalFormatting>
  <conditionalFormatting sqref="A332">
    <cfRule type="cellIs" dxfId="77" priority="28" operator="equal">
      <formula>"Error"</formula>
    </cfRule>
    <cfRule type="cellIs" dxfId="76" priority="27" operator="equal">
      <formula>"Answer Required"</formula>
    </cfRule>
  </conditionalFormatting>
  <conditionalFormatting sqref="A335">
    <cfRule type="cellIs" dxfId="75" priority="26" operator="equal">
      <formula>"Error"</formula>
    </cfRule>
    <cfRule type="cellIs" dxfId="74" priority="25" operator="equal">
      <formula>"Answer Required"</formula>
    </cfRule>
  </conditionalFormatting>
  <conditionalFormatting sqref="A338">
    <cfRule type="cellIs" dxfId="73" priority="33" operator="equal">
      <formula>"Answer Required"</formula>
    </cfRule>
  </conditionalFormatting>
  <conditionalFormatting sqref="A344">
    <cfRule type="cellIs" dxfId="72" priority="32" operator="equal">
      <formula>"Answer Required"</formula>
    </cfRule>
  </conditionalFormatting>
  <conditionalFormatting sqref="A347">
    <cfRule type="cellIs" dxfId="71" priority="31" operator="equal">
      <formula>"Answer Required"</formula>
    </cfRule>
  </conditionalFormatting>
  <conditionalFormatting sqref="A355">
    <cfRule type="cellIs" dxfId="70" priority="11" operator="equal">
      <formula>"Answer Required"</formula>
    </cfRule>
  </conditionalFormatting>
  <conditionalFormatting sqref="A360:A361">
    <cfRule type="cellIs" dxfId="69" priority="10" operator="equal">
      <formula>"Answer Required"</formula>
    </cfRule>
  </conditionalFormatting>
  <conditionalFormatting sqref="A363:A364">
    <cfRule type="cellIs" dxfId="68" priority="7" operator="equal">
      <formula>"Answer Required"</formula>
    </cfRule>
  </conditionalFormatting>
  <conditionalFormatting sqref="A366">
    <cfRule type="cellIs" dxfId="67" priority="9" operator="equal">
      <formula>"Answer Required"</formula>
    </cfRule>
  </conditionalFormatting>
  <conditionalFormatting sqref="A370">
    <cfRule type="cellIs" dxfId="66" priority="6" operator="equal">
      <formula>"Error"</formula>
    </cfRule>
    <cfRule type="cellIs" dxfId="65" priority="5" operator="equal">
      <formula>"Answer Required"</formula>
    </cfRule>
  </conditionalFormatting>
  <conditionalFormatting sqref="B304">
    <cfRule type="cellIs" dxfId="64" priority="2" operator="notEqual">
      <formula>0</formula>
    </cfRule>
  </conditionalFormatting>
  <conditionalFormatting sqref="B315">
    <cfRule type="cellIs" dxfId="63" priority="1" operator="notEqual">
      <formula>0</formula>
    </cfRule>
  </conditionalFormatting>
  <conditionalFormatting sqref="B15:C20 A35 A38 A43 A48 A54 A60 A75 C77:C83 A88 B89 A112 A118 A126:A127 A129 A131 A133 A135:A136 C139:C140 A148:A149 A157 A168 A170:A173 A175 A177:A178 A180 A182:A185 A187 A192 A194 A196 A198 A263 A267 A290">
    <cfRule type="cellIs" dxfId="62" priority="344" operator="equal">
      <formula>"Answer Required"</formula>
    </cfRule>
  </conditionalFormatting>
  <conditionalFormatting sqref="B340:C343">
    <cfRule type="containsText" dxfId="61" priority="29" operator="containsText" text="Answer Required">
      <formula>NOT(ISERROR(SEARCH("Answer Required",B340)))</formula>
    </cfRule>
  </conditionalFormatting>
  <conditionalFormatting sqref="C37">
    <cfRule type="cellIs" dxfId="60" priority="74" operator="equal">
      <formula>"Answer Required"</formula>
    </cfRule>
  </conditionalFormatting>
  <conditionalFormatting sqref="C40">
    <cfRule type="cellIs" dxfId="59" priority="73" operator="equal">
      <formula>"Answer Required"</formula>
    </cfRule>
  </conditionalFormatting>
  <conditionalFormatting sqref="C45">
    <cfRule type="cellIs" dxfId="58" priority="72" operator="equal">
      <formula>"Answer Required"</formula>
    </cfRule>
  </conditionalFormatting>
  <conditionalFormatting sqref="C50">
    <cfRule type="cellIs" dxfId="57" priority="71" operator="equal">
      <formula>"Answer Required"</formula>
    </cfRule>
  </conditionalFormatting>
  <conditionalFormatting sqref="C56">
    <cfRule type="cellIs" dxfId="56" priority="70" operator="equal">
      <formula>"Answer Required"</formula>
    </cfRule>
  </conditionalFormatting>
  <conditionalFormatting sqref="C63">
    <cfRule type="cellIs" dxfId="55" priority="69" operator="equal">
      <formula>"Answer Required"</formula>
    </cfRule>
  </conditionalFormatting>
  <conditionalFormatting sqref="C85">
    <cfRule type="cellIs" dxfId="54" priority="99" operator="equal">
      <formula>"Answer Required"</formula>
    </cfRule>
  </conditionalFormatting>
  <conditionalFormatting sqref="C90">
    <cfRule type="cellIs" dxfId="53" priority="68" operator="equal">
      <formula>"Answer Required"</formula>
    </cfRule>
  </conditionalFormatting>
  <conditionalFormatting sqref="C114">
    <cfRule type="cellIs" dxfId="52" priority="67" operator="equal">
      <formula>"Answer Required"</formula>
    </cfRule>
  </conditionalFormatting>
  <conditionalFormatting sqref="C119">
    <cfRule type="cellIs" dxfId="51" priority="66" operator="equal">
      <formula>"Answer Required"</formula>
    </cfRule>
  </conditionalFormatting>
  <conditionalFormatting sqref="C128">
    <cfRule type="cellIs" dxfId="50" priority="65" operator="equal">
      <formula>"Answer Required"</formula>
    </cfRule>
  </conditionalFormatting>
  <conditionalFormatting sqref="C130">
    <cfRule type="cellIs" dxfId="49" priority="64" operator="equal">
      <formula>"Answer Required"</formula>
    </cfRule>
  </conditionalFormatting>
  <conditionalFormatting sqref="C132">
    <cfRule type="cellIs" dxfId="48" priority="63" operator="equal">
      <formula>"Answer Required"</formula>
    </cfRule>
  </conditionalFormatting>
  <conditionalFormatting sqref="C134">
    <cfRule type="cellIs" dxfId="47" priority="62" operator="equal">
      <formula>"Answer Required"</formula>
    </cfRule>
  </conditionalFormatting>
  <conditionalFormatting sqref="C137">
    <cfRule type="cellIs" dxfId="46" priority="61" operator="equal">
      <formula>"Answer Required"</formula>
    </cfRule>
  </conditionalFormatting>
  <conditionalFormatting sqref="C150">
    <cfRule type="cellIs" dxfId="45" priority="60" operator="equal">
      <formula>"Answer Required"</formula>
    </cfRule>
  </conditionalFormatting>
  <conditionalFormatting sqref="C158">
    <cfRule type="cellIs" dxfId="44" priority="59" operator="equal">
      <formula>"Answer Required"</formula>
    </cfRule>
  </conditionalFormatting>
  <conditionalFormatting sqref="C169">
    <cfRule type="cellIs" dxfId="43" priority="75" operator="equal">
      <formula>"Answer Required"</formula>
    </cfRule>
  </conditionalFormatting>
  <conditionalFormatting sqref="C199">
    <cfRule type="cellIs" dxfId="42" priority="76" operator="equal">
      <formula>"Answer Required"</formula>
    </cfRule>
  </conditionalFormatting>
  <conditionalFormatting sqref="C206">
    <cfRule type="cellIs" dxfId="41" priority="51" operator="equal">
      <formula>"Answer Required"</formula>
    </cfRule>
  </conditionalFormatting>
  <conditionalFormatting sqref="C268">
    <cfRule type="cellIs" dxfId="40" priority="58" operator="equal">
      <formula>"Answer Required"</formula>
    </cfRule>
  </conditionalFormatting>
  <conditionalFormatting sqref="C291">
    <cfRule type="cellIs" dxfId="39" priority="57" operator="equal">
      <formula>"Answer Required"</formula>
    </cfRule>
  </conditionalFormatting>
  <conditionalFormatting sqref="C299:C301">
    <cfRule type="containsText" dxfId="38" priority="87" operator="containsText" text="Answer Required">
      <formula>NOT(ISERROR(SEARCH("Answer Required",C299)))</formula>
    </cfRule>
  </conditionalFormatting>
  <conditionalFormatting sqref="C306">
    <cfRule type="containsText" dxfId="37" priority="86" operator="containsText" text="Answer Required">
      <formula>NOT(ISERROR(SEARCH("Answer Required",C306)))</formula>
    </cfRule>
  </conditionalFormatting>
  <conditionalFormatting sqref="C309">
    <cfRule type="containsText" dxfId="36" priority="81" operator="containsText" text="Answer Required">
      <formula>NOT(ISERROR(SEARCH("Answer Required",C309)))</formula>
    </cfRule>
  </conditionalFormatting>
  <conditionalFormatting sqref="C313">
    <cfRule type="containsText" dxfId="35" priority="80" operator="containsText" text="Answer Required">
      <formula>NOT(ISERROR(SEARCH("Answer Required",C313)))</formula>
    </cfRule>
  </conditionalFormatting>
  <conditionalFormatting sqref="C317">
    <cfRule type="containsText" dxfId="34" priority="79" operator="containsText" text="Answer Required">
      <formula>NOT(ISERROR(SEARCH("Answer Required",C317)))</formula>
    </cfRule>
  </conditionalFormatting>
  <conditionalFormatting sqref="C320">
    <cfRule type="containsText" dxfId="33" priority="42" operator="containsText" text="Answer Required">
      <formula>NOT(ISERROR(SEARCH("Answer Required",C320)))</formula>
    </cfRule>
  </conditionalFormatting>
  <conditionalFormatting sqref="C323">
    <cfRule type="containsText" dxfId="32" priority="78" operator="containsText" text="Answer Required">
      <formula>NOT(ISERROR(SEARCH("Answer Required",C323)))</formula>
    </cfRule>
  </conditionalFormatting>
  <conditionalFormatting sqref="C326">
    <cfRule type="containsText" dxfId="31" priority="77" operator="containsText" text="Answer Required">
      <formula>NOT(ISERROR(SEARCH("Answer Required",C326)))</formula>
    </cfRule>
  </conditionalFormatting>
  <conditionalFormatting sqref="C329">
    <cfRule type="containsText" dxfId="30" priority="38" operator="containsText" text="Answer Required">
      <formula>NOT(ISERROR(SEARCH("Answer Required",C329)))</formula>
    </cfRule>
  </conditionalFormatting>
  <conditionalFormatting sqref="C333">
    <cfRule type="containsText" dxfId="29" priority="24" operator="containsText" text="Answer Required">
      <formula>NOT(ISERROR(SEARCH("Answer Required",C333)))</formula>
    </cfRule>
  </conditionalFormatting>
  <conditionalFormatting sqref="C336">
    <cfRule type="containsText" dxfId="28" priority="23" operator="containsText" text="Answer Required">
      <formula>NOT(ISERROR(SEARCH("Answer Required",C336)))</formula>
    </cfRule>
  </conditionalFormatting>
  <conditionalFormatting sqref="C346">
    <cfRule type="containsText" dxfId="27" priority="36" operator="containsText" text="Answer Required">
      <formula>NOT(ISERROR(SEARCH("Answer Required",C346)))</formula>
    </cfRule>
  </conditionalFormatting>
  <conditionalFormatting sqref="C348:C350">
    <cfRule type="cellIs" dxfId="26" priority="35" operator="equal">
      <formula>"Answer Required"</formula>
    </cfRule>
  </conditionalFormatting>
  <conditionalFormatting sqref="C352">
    <cfRule type="containsText" dxfId="25" priority="34" operator="containsText" text="Answer Required">
      <formula>NOT(ISERROR(SEARCH("Answer Required",C352)))</formula>
    </cfRule>
  </conditionalFormatting>
  <conditionalFormatting sqref="C356">
    <cfRule type="containsText" dxfId="24" priority="12" operator="containsText" text="Answer Required">
      <formula>NOT(ISERROR(SEARCH("Answer Required",C356)))</formula>
    </cfRule>
  </conditionalFormatting>
  <conditionalFormatting sqref="C362">
    <cfRule type="containsText" dxfId="23" priority="15" operator="containsText" text="Answer Required">
      <formula>NOT(ISERROR(SEARCH("Answer Required",C362)))</formula>
    </cfRule>
  </conditionalFormatting>
  <conditionalFormatting sqref="C365">
    <cfRule type="containsText" dxfId="22" priority="17" operator="containsText" text="Answer Required">
      <formula>NOT(ISERROR(SEARCH("Answer Required",C365)))</formula>
    </cfRule>
  </conditionalFormatting>
  <conditionalFormatting sqref="C367:C369">
    <cfRule type="containsText" dxfId="21" priority="16" operator="containsText" text="Answer Required">
      <formula>NOT(ISERROR(SEARCH("Answer Required",C367)))</formula>
    </cfRule>
  </conditionalFormatting>
  <conditionalFormatting sqref="C371:C372">
    <cfRule type="containsText" dxfId="20" priority="4" operator="containsText" text="Answer Required">
      <formula>NOT(ISERROR(SEARCH("Answer Required",C371)))</formula>
    </cfRule>
  </conditionalFormatting>
  <dataValidations count="28">
    <dataValidation allowBlank="1" showInputMessage="1" showErrorMessage="1" error="Use the drop-down list to enter yes or no." sqref="B240 A206" xr:uid="{00000000-0002-0000-0D00-000000000000}"/>
    <dataValidation allowBlank="1" showInputMessage="1" showErrorMessage="1" error="Enter Yes or No." sqref="B235:B237" xr:uid="{00000000-0002-0000-0D00-000001000000}"/>
    <dataValidation type="list" allowBlank="1" showInputMessage="1" showErrorMessage="1" error="Use the drop-down list to enter yes, no or N/A." sqref="A152" xr:uid="{00000000-0002-0000-0D00-000002000000}">
      <formula1>$I$1:$I$4</formula1>
    </dataValidation>
    <dataValidation type="whole" allowBlank="1" showInputMessage="1" showErrorMessage="1" error="Enter whole number." sqref="B284:B287 B274:B279 B214:B234 B241:B263" xr:uid="{00000000-0002-0000-0D00-000003000000}">
      <formula1>-10000000000000000</formula1>
      <formula2>10000000000000000</formula2>
    </dataValidation>
    <dataValidation type="list" allowBlank="1" showInputMessage="1" showErrorMessage="1" error="Use the drop-down list to enter yes, no or N/A." sqref="A159 A153:A155" xr:uid="{00000000-0002-0000-0D00-000004000000}">
      <formula1>$I$1:$I$3</formula1>
    </dataValidation>
    <dataValidation type="whole" allowBlank="1" showInputMessage="1" showErrorMessage="1" error="Enter whole number." sqref="C142" xr:uid="{00000000-0002-0000-0D00-000005000000}">
      <formula1>-1E+27</formula1>
      <formula2>1E+27</formula2>
    </dataValidation>
    <dataValidation type="whole" allowBlank="1" showInputMessage="1" showErrorMessage="1" error="Please enter a whole number." sqref="B96:B103 B105:B107" xr:uid="{00000000-0002-0000-0D00-000006000000}">
      <formula1>-99999999999999900000</formula1>
      <formula2>99999999999999900000</formula2>
    </dataValidation>
    <dataValidation allowBlank="1" showErrorMessage="1" prompt="_x000a_" sqref="B108:B109" xr:uid="{00000000-0002-0000-0D00-000007000000}"/>
    <dataValidation type="whole" allowBlank="1" showInputMessage="1" showErrorMessage="1" error="Enter negative whole number." sqref="C141" xr:uid="{00000000-0002-0000-0D00-000008000000}">
      <formula1>-1E+27</formula1>
      <formula2>0</formula2>
    </dataValidation>
    <dataValidation type="list" allowBlank="1" showInputMessage="1" showErrorMessage="1" error="Please use the drop-down to select Yes or No." sqref="B89 A133 A135:A136 A290 C291 B20:C20 A170:A173 A175 A177:A178 A182:A185 A187 A192 A196 A198 A201:A205 A131 A129 A126:A127 C199" xr:uid="{00000000-0002-0000-0D00-000009000000}">
      <formula1>$I$1:$I$3</formula1>
    </dataValidation>
    <dataValidation type="list" allowBlank="1" showInputMessage="1" showErrorMessage="1" error="Please use the drop-down to select Yes or No." sqref="A272 A35 A211 A282 A88 A112 A118 A148:A149 A168 A180 A194 A75 A60 A54 A48 A43 A38 A238 A263 A84 A302 A321 A296 A310 A328 A332 A335 A370" xr:uid="{00000000-0002-0000-0D00-00000A000000}">
      <formula1>$I$1:$I$2</formula1>
    </dataValidation>
    <dataValidation type="whole" allowBlank="1" showInputMessage="1" showErrorMessage="1" error="Please enter a whole number." sqref="C140 B104" xr:uid="{00000000-0002-0000-0D00-00000B000000}">
      <formula1>-9999999999999</formula1>
      <formula2>9999999999999</formula2>
    </dataValidation>
    <dataValidation type="whole" allowBlank="1" showInputMessage="1" showErrorMessage="1" error="Enter a whole number." sqref="C65:C66 C69:C71" xr:uid="{00000000-0002-0000-0D00-00000C000000}">
      <formula1>-10000000000000</formula1>
      <formula2>100000000000000</formula2>
    </dataValidation>
    <dataValidation type="list" allowBlank="1" showInputMessage="1" showErrorMessage="1" error="Please use the drop-down to select method." sqref="B15:C15" xr:uid="{00000000-0002-0000-0D00-00000D000000}">
      <formula1>$G$1:$G$5</formula1>
    </dataValidation>
    <dataValidation type="list" allowBlank="1" showInputMessage="1" showErrorMessage="1" error="Please use the drop-down to select the cost used to determine value. " sqref="B16:C16" xr:uid="{00000000-0002-0000-0D00-00000E000000}">
      <formula1>$H$1:$H$5</formula1>
    </dataValidation>
    <dataValidation type="whole" allowBlank="1" showInputMessage="1" showErrorMessage="1" errorTitle="Please Enter a Whole Number" error="Please Enter a Whole Number." sqref="C79" xr:uid="{00000000-0002-0000-0D00-00000F000000}">
      <formula1>-9999999999999</formula1>
      <formula2>9999999999999</formula2>
    </dataValidation>
    <dataValidation type="whole" allowBlank="1" showInputMessage="1" showErrorMessage="1" error="Please enter a whole number." sqref="C189" xr:uid="{00000000-0002-0000-0D00-000010000000}">
      <formula1>-999999999999</formula1>
      <formula2>9999999999999</formula2>
    </dataValidation>
    <dataValidation type="whole" allowBlank="1" showInputMessage="1" showErrorMessage="1" errorTitle="Please Enter a Whole Number" error="Please Enter a Whole Number" sqref="C78" xr:uid="{00000000-0002-0000-0D00-000011000000}">
      <formula1>-9999999999999</formula1>
      <formula2>9999999999999</formula2>
    </dataValidation>
    <dataValidation type="list" allowBlank="1" showInputMessage="1" showErrorMessage="1" error="Select &quot;Yes&quot;, &quot;No&quot; or &quot;N/A&quot; using drop-down list" sqref="A311 A308" xr:uid="{00000000-0002-0000-0D00-000012000000}">
      <formula1>$I$1:$I$3</formula1>
    </dataValidation>
    <dataValidation type="whole" allowBlank="1" showInputMessage="1" showErrorMessage="1" error="Enter a whole number." sqref="B299:B301 B313" xr:uid="{00000000-0002-0000-0D00-000013000000}">
      <formula1>-9999999999999</formula1>
      <formula2>9999999999999</formula2>
    </dataValidation>
    <dataValidation type="list" allowBlank="1" showInputMessage="1" showErrorMessage="1" error="Please use the drop-down to select Yes, No, or N/A." sqref="A324 A318" xr:uid="{00000000-0002-0000-0D00-000014000000}">
      <formula1>$I$1:$I$3</formula1>
    </dataValidation>
    <dataValidation allowBlank="1" sqref="C37 C40 C45 C50 C56 C63 C114 C119 C128 C130 C132 C134 C137 C150 C158" xr:uid="{00000000-0002-0000-0D00-000015000000}"/>
    <dataValidation allowBlank="1" showInputMessage="1" showErrorMessage="1" error="Please use the drop-down to select Yes or No." sqref="C169 C268" xr:uid="{00000000-0002-0000-0D00-000016000000}"/>
    <dataValidation type="list" allowBlank="1" showInputMessage="1" showErrorMessage="1" error="Use the drop-down list to enter Yes, No, or N/A" sqref="A307 A361 A363:A364" xr:uid="{00000000-0002-0000-0D00-000017000000}">
      <formula1>$I$1:$I$3</formula1>
    </dataValidation>
    <dataValidation type="list" allowBlank="1" showInputMessage="1" showErrorMessage="1" error="Please use the drop-down list to select Yes or No" sqref="A338 A344 A347 A355 A360 A366" xr:uid="{00000000-0002-0000-0D00-000018000000}">
      <formula1>$I$1:$I$2</formula1>
    </dataValidation>
    <dataValidation type="list" allowBlank="1" showInputMessage="1" showErrorMessage="1" error="Please use the drop-down to select Yes,No, or N/A." sqref="B18:C19 A157 A267" xr:uid="{00000000-0002-0000-0D00-00001A000000}">
      <formula1>$I$1:$I$3</formula1>
    </dataValidation>
    <dataValidation type="whole" allowBlank="1" showInputMessage="1" showErrorMessage="1" error="Please enter a whole number" sqref="B340:B343" xr:uid="{00000000-0002-0000-0D00-00001B000000}">
      <formula1>-9999999999999</formula1>
      <formula2>9999999999999</formula2>
    </dataValidation>
    <dataValidation type="list" allowBlank="1" showInputMessage="1" showErrorMessage="1" error="Enter Payee/Description of Prepaid using drop-down list" sqref="C96:C103" xr:uid="{00000000-0002-0000-0D00-000019000000}">
      <formula1>$F$95:$F$105</formula1>
    </dataValidation>
  </dataValidations>
  <pageMargins left="0.75" right="0.33" top="0.56999999999999995" bottom="0.37" header="0.19" footer="0.17"/>
  <pageSetup scale="54" fitToHeight="8"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7" manualBreakCount="7">
    <brk id="56" max="2" man="1"/>
    <brk id="90" max="2" man="1"/>
    <brk id="208" max="2" man="1"/>
    <brk id="236" max="2" man="1"/>
    <brk id="268" max="2" man="1"/>
    <brk id="326" max="2" man="1"/>
    <brk id="357" max="2" man="1"/>
  </rowBreaks>
  <ignoredErrors>
    <ignoredError sqref="A198" unlockedFormula="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M49"/>
  <sheetViews>
    <sheetView showGridLines="0" zoomScaleNormal="100" workbookViewId="0">
      <selection activeCell="A20" sqref="A20"/>
    </sheetView>
  </sheetViews>
  <sheetFormatPr defaultColWidth="9.140625" defaultRowHeight="12.75"/>
  <cols>
    <col min="1" max="1" width="40.42578125" style="12" customWidth="1"/>
    <col min="2" max="2" width="19" style="12" customWidth="1"/>
    <col min="3" max="3" width="20" style="12" customWidth="1"/>
    <col min="4" max="4" width="18.85546875" style="12" customWidth="1"/>
    <col min="5" max="16384" width="9.140625" style="12"/>
  </cols>
  <sheetData>
    <row r="1" spans="1:13" s="72" customFormat="1" ht="12.6" customHeight="1">
      <c r="A1" s="48" t="s">
        <v>272</v>
      </c>
      <c r="B1" s="1156" t="str">
        <f>'Enterprise Template'!E1</f>
        <v/>
      </c>
      <c r="C1" s="1157"/>
      <c r="D1" s="1157"/>
      <c r="E1" s="1157"/>
      <c r="F1" s="1158"/>
    </row>
    <row r="2" spans="1:13" s="72" customFormat="1" ht="12.75" customHeight="1">
      <c r="A2" s="48" t="s">
        <v>190</v>
      </c>
      <c r="B2" s="1156" t="str">
        <f>IF('Enterprise Template'!E2="","",'Enterprise Template'!E2)</f>
        <v/>
      </c>
      <c r="C2" s="1157"/>
      <c r="D2" s="1157"/>
      <c r="E2" s="1157"/>
      <c r="F2" s="1158"/>
    </row>
    <row r="3" spans="1:13" s="72" customFormat="1" ht="15" customHeight="1">
      <c r="A3" s="48" t="s">
        <v>447</v>
      </c>
      <c r="B3" s="1159" t="str">
        <f>IF('Enterprise Template'!E3="","",'Enterprise Template'!E3)</f>
        <v/>
      </c>
      <c r="C3" s="1160"/>
      <c r="D3" s="1160"/>
      <c r="E3" s="1160"/>
      <c r="F3" s="1161"/>
    </row>
    <row r="4" spans="1:13" s="72" customFormat="1" ht="12.75" customHeight="1">
      <c r="A4" s="48" t="s">
        <v>448</v>
      </c>
      <c r="B4" s="1162" t="str">
        <f>IF('Enterprise Template'!E4="","",'Enterprise Template'!E4)</f>
        <v/>
      </c>
      <c r="C4" s="1163"/>
      <c r="D4" s="1163"/>
      <c r="E4" s="1163"/>
      <c r="F4" s="1164"/>
    </row>
    <row r="5" spans="1:13" s="72" customFormat="1" ht="12.75" customHeight="1">
      <c r="A5" s="48" t="s">
        <v>2847</v>
      </c>
      <c r="B5" s="1150" t="str">
        <f>IF('Enterprise Template'!E5="","",'Enterprise Template'!E5)</f>
        <v/>
      </c>
      <c r="C5" s="1151"/>
      <c r="D5" s="1151"/>
      <c r="E5" s="1151"/>
      <c r="F5" s="1152"/>
      <c r="H5" s="12"/>
    </row>
    <row r="6" spans="1:13" s="72" customFormat="1" ht="12.75" customHeight="1">
      <c r="A6" s="48" t="s">
        <v>449</v>
      </c>
      <c r="B6" s="1153" t="str">
        <f>IF('Enterprise Template'!E6="","",'Enterprise Template'!E6)</f>
        <v/>
      </c>
      <c r="C6" s="1154"/>
      <c r="D6" s="1154"/>
      <c r="E6" s="1154"/>
      <c r="F6" s="1155"/>
    </row>
    <row r="7" spans="1:13" s="72" customFormat="1" ht="12.75" customHeight="1">
      <c r="A7" s="48" t="s">
        <v>224</v>
      </c>
      <c r="B7" s="1156" t="str">
        <f>'Enterprise Template'!E7</f>
        <v/>
      </c>
      <c r="C7" s="1157"/>
      <c r="D7" s="1157"/>
      <c r="E7" s="1157"/>
      <c r="F7" s="1158"/>
    </row>
    <row r="8" spans="1:13" s="72" customFormat="1" ht="12.75" customHeight="1">
      <c r="A8" s="73"/>
      <c r="B8" s="107"/>
      <c r="C8" s="107"/>
      <c r="D8" s="107"/>
      <c r="E8" s="107"/>
      <c r="F8" s="107"/>
    </row>
    <row r="9" spans="1:13" s="72" customFormat="1" ht="12.6" customHeight="1">
      <c r="A9" s="20" t="s">
        <v>276</v>
      </c>
      <c r="B9" s="34"/>
      <c r="C9" s="34"/>
      <c r="D9" s="34"/>
      <c r="E9" s="120"/>
      <c r="F9" s="120"/>
      <c r="M9" s="434"/>
    </row>
    <row r="10" spans="1:13" s="78" customFormat="1" ht="12.6" customHeight="1">
      <c r="A10" s="24" t="str">
        <f>'Enterprise Template'!$A$27:$D$27</f>
        <v>For the Year Ended June 30, 2024</v>
      </c>
      <c r="B10" s="34"/>
      <c r="C10" s="34"/>
      <c r="D10" s="34"/>
      <c r="E10" s="121"/>
      <c r="F10" s="79"/>
    </row>
    <row r="11" spans="1:13" s="78" customFormat="1" ht="12.6" customHeight="1">
      <c r="A11" s="82"/>
      <c r="B11" s="19"/>
      <c r="C11" s="19"/>
      <c r="D11" s="19"/>
      <c r="F11" s="79"/>
    </row>
    <row r="12" spans="1:13" s="78" customFormat="1" ht="12.6" customHeight="1">
      <c r="A12" s="552" t="s">
        <v>938</v>
      </c>
      <c r="B12" s="19"/>
      <c r="C12" s="19"/>
      <c r="D12" s="19"/>
      <c r="F12" s="79"/>
    </row>
    <row r="13" spans="1:13" s="78" customFormat="1" ht="12.6" customHeight="1">
      <c r="A13" s="82" t="s">
        <v>273</v>
      </c>
      <c r="B13" s="19"/>
      <c r="C13" s="19"/>
      <c r="D13" s="19"/>
      <c r="F13" s="79"/>
    </row>
    <row r="14" spans="1:13" s="78" customFormat="1" ht="12.6" customHeight="1">
      <c r="A14" s="139"/>
      <c r="B14" s="23"/>
      <c r="C14" s="23"/>
      <c r="D14" s="23"/>
      <c r="E14" s="140"/>
      <c r="F14" s="141"/>
    </row>
    <row r="15" spans="1:13" ht="15" customHeight="1">
      <c r="A15" s="13" t="s">
        <v>786</v>
      </c>
      <c r="B15" s="181"/>
    </row>
    <row r="16" spans="1:13">
      <c r="B16" s="111" t="s">
        <v>269</v>
      </c>
    </row>
    <row r="17" spans="1:4" ht="24.75" customHeight="1">
      <c r="A17" s="143" t="s">
        <v>785</v>
      </c>
      <c r="B17" s="115">
        <f>+'Enterprise Template'!H269</f>
        <v>0</v>
      </c>
    </row>
    <row r="18" spans="1:4">
      <c r="A18" s="143"/>
      <c r="B18" s="7"/>
    </row>
    <row r="19" spans="1:4">
      <c r="A19" s="12" t="s">
        <v>3757</v>
      </c>
      <c r="B19" s="7"/>
      <c r="C19" s="1330" t="s">
        <v>3758</v>
      </c>
      <c r="D19" s="1330"/>
    </row>
    <row r="20" spans="1:4">
      <c r="A20" s="6"/>
      <c r="B20" s="269"/>
      <c r="C20" s="1327"/>
      <c r="D20" s="1328"/>
    </row>
    <row r="21" spans="1:4">
      <c r="A21" s="6"/>
      <c r="B21" s="269"/>
      <c r="C21" s="1327"/>
      <c r="D21" s="1328"/>
    </row>
    <row r="22" spans="1:4">
      <c r="A22" s="6"/>
      <c r="B22" s="269"/>
      <c r="C22" s="1327"/>
      <c r="D22" s="1328"/>
    </row>
    <row r="23" spans="1:4">
      <c r="A23" s="6"/>
      <c r="B23" s="269"/>
      <c r="C23" s="1327"/>
      <c r="D23" s="1328"/>
    </row>
    <row r="24" spans="1:4">
      <c r="A24" s="6"/>
      <c r="B24" s="269"/>
      <c r="C24" s="1327"/>
      <c r="D24" s="1328"/>
    </row>
    <row r="25" spans="1:4">
      <c r="A25" s="6"/>
      <c r="B25" s="269"/>
      <c r="C25" s="1327"/>
      <c r="D25" s="1328"/>
    </row>
    <row r="26" spans="1:4">
      <c r="A26" s="6"/>
      <c r="B26" s="269"/>
      <c r="C26" s="1327"/>
      <c r="D26" s="1328"/>
    </row>
    <row r="27" spans="1:4">
      <c r="A27" s="6"/>
      <c r="B27" s="269"/>
      <c r="C27" s="1327"/>
      <c r="D27" s="1328"/>
    </row>
    <row r="28" spans="1:4" ht="26.25" thickBot="1">
      <c r="A28" s="143" t="s">
        <v>787</v>
      </c>
      <c r="B28" s="163">
        <f>IF(SUM(B17,B20:B27)='Enterprise Template'!G268,SUM(B17,B20:B27),"ERROR")</f>
        <v>0</v>
      </c>
    </row>
    <row r="29" spans="1:4" ht="13.5" thickTop="1">
      <c r="B29" s="289" t="s">
        <v>440</v>
      </c>
      <c r="C29" s="283">
        <f>B17-'Enterprise Template'!G268+SUM(B20:B27)</f>
        <v>0</v>
      </c>
    </row>
    <row r="30" spans="1:4" ht="15" customHeight="1">
      <c r="A30" s="13" t="s">
        <v>274</v>
      </c>
    </row>
    <row r="31" spans="1:4">
      <c r="B31" s="111" t="s">
        <v>269</v>
      </c>
    </row>
    <row r="32" spans="1:4" ht="25.5">
      <c r="A32" s="143" t="s">
        <v>281</v>
      </c>
      <c r="B32" s="115">
        <f>'Enterprise Template'!H357</f>
        <v>0</v>
      </c>
    </row>
    <row r="33" spans="1:10">
      <c r="A33" s="143"/>
      <c r="B33" s="7"/>
    </row>
    <row r="34" spans="1:10">
      <c r="A34" s="12" t="s">
        <v>3757</v>
      </c>
      <c r="B34" s="7"/>
      <c r="C34" s="1330" t="s">
        <v>3758</v>
      </c>
      <c r="D34" s="1330"/>
    </row>
    <row r="35" spans="1:10">
      <c r="A35" s="6"/>
      <c r="B35" s="269"/>
      <c r="C35" s="1327"/>
      <c r="D35" s="1328"/>
    </row>
    <row r="36" spans="1:10">
      <c r="A36" s="6"/>
      <c r="B36" s="269"/>
      <c r="C36" s="1327"/>
      <c r="D36" s="1328"/>
    </row>
    <row r="37" spans="1:10">
      <c r="A37" s="6"/>
      <c r="B37" s="269"/>
      <c r="C37" s="1327"/>
      <c r="D37" s="1328"/>
    </row>
    <row r="38" spans="1:10">
      <c r="A38" s="6"/>
      <c r="B38" s="269"/>
      <c r="C38" s="1327"/>
      <c r="D38" s="1328"/>
    </row>
    <row r="39" spans="1:10">
      <c r="A39" s="6"/>
      <c r="B39" s="269"/>
      <c r="C39" s="1327"/>
      <c r="D39" s="1328"/>
    </row>
    <row r="40" spans="1:10">
      <c r="A40" s="6"/>
      <c r="B40" s="269"/>
      <c r="C40" s="1327"/>
      <c r="D40" s="1328"/>
    </row>
    <row r="41" spans="1:10">
      <c r="A41" s="6"/>
      <c r="B41" s="269"/>
      <c r="C41" s="1327"/>
      <c r="D41" s="1328"/>
    </row>
    <row r="42" spans="1:10" ht="41.25" customHeight="1" thickBot="1">
      <c r="A42" s="143" t="s">
        <v>484</v>
      </c>
      <c r="B42" s="186">
        <f>IF(SUM(B32,B35:B41)='Enterprise Template'!G356,SUM(B32,B35:B41),"ERROR")</f>
        <v>0</v>
      </c>
    </row>
    <row r="43" spans="1:10" ht="13.5" thickTop="1">
      <c r="B43" s="289" t="s">
        <v>440</v>
      </c>
      <c r="C43" s="283">
        <f>B32-'Enterprise Template'!G356+SUM(B35:B41)</f>
        <v>0</v>
      </c>
    </row>
    <row r="48" spans="1:10" ht="47.25" customHeight="1" thickBot="1">
      <c r="A48" s="1329" t="s">
        <v>3786</v>
      </c>
      <c r="B48" s="1329"/>
      <c r="C48" s="1329"/>
      <c r="D48" s="1329"/>
      <c r="E48" s="1329"/>
      <c r="F48" s="1329"/>
      <c r="G48" s="1329"/>
      <c r="H48" s="1329"/>
      <c r="I48" s="1329"/>
      <c r="J48" s="1329"/>
    </row>
    <row r="49" spans="1:10" ht="65.25" customHeight="1" thickBot="1">
      <c r="A49" s="1324"/>
      <c r="B49" s="1325"/>
      <c r="C49" s="1325"/>
      <c r="D49" s="1325"/>
      <c r="E49" s="1325"/>
      <c r="F49" s="1325"/>
      <c r="G49" s="1325"/>
      <c r="H49" s="1325"/>
      <c r="I49" s="1325"/>
      <c r="J49" s="1326"/>
    </row>
  </sheetData>
  <sheetProtection algorithmName="SHA-512" hashValue="6MYgeYsyJ8vi/tyVa0Cf7Q64TvxTE6LI+Dm5H1QHOwfX4KCA2QWQufCmkqtiFXp5h4RrG8+E8vk3xjbjCboy1g==" saltValue="TCuYghPk57/F+4E6ATv24Q==" spinCount="100000" sheet="1" objects="1" scenarios="1"/>
  <mergeCells count="26">
    <mergeCell ref="C24:D24"/>
    <mergeCell ref="C25:D25"/>
    <mergeCell ref="C26:D26"/>
    <mergeCell ref="C27:D27"/>
    <mergeCell ref="B1:F1"/>
    <mergeCell ref="B5:F5"/>
    <mergeCell ref="B6:F6"/>
    <mergeCell ref="B7:F7"/>
    <mergeCell ref="B2:F2"/>
    <mergeCell ref="B3:F3"/>
    <mergeCell ref="B4:F4"/>
    <mergeCell ref="C19:D19"/>
    <mergeCell ref="C20:D20"/>
    <mergeCell ref="C21:D21"/>
    <mergeCell ref="C22:D22"/>
    <mergeCell ref="C23:D23"/>
    <mergeCell ref="C34:D34"/>
    <mergeCell ref="C35:D35"/>
    <mergeCell ref="C36:D36"/>
    <mergeCell ref="C37:D37"/>
    <mergeCell ref="C38:D38"/>
    <mergeCell ref="A49:J49"/>
    <mergeCell ref="C39:D39"/>
    <mergeCell ref="C40:D40"/>
    <mergeCell ref="C41:D41"/>
    <mergeCell ref="A48:J48"/>
  </mergeCells>
  <phoneticPr fontId="46" type="noConversion"/>
  <conditionalFormatting sqref="A49:J49">
    <cfRule type="cellIs" dxfId="19" priority="1" operator="equal">
      <formula>"Answer Required"</formula>
    </cfRule>
  </conditionalFormatting>
  <dataValidations xWindow="146" yWindow="303" count="7">
    <dataValidation allowBlank="1" showErrorMessage="1" prompt="_x000a_" sqref="B42" xr:uid="{00000000-0002-0000-0E00-000000000000}"/>
    <dataValidation allowBlank="1" showErrorMessage="1" sqref="B28" xr:uid="{00000000-0002-0000-0E00-000001000000}"/>
    <dataValidation type="whole" allowBlank="1" showErrorMessage="1" error="Amount must be rounded to the nearest dollar." sqref="B18:B19" xr:uid="{00000000-0002-0000-0E00-000002000000}">
      <formula1>0</formula1>
      <formula2>9.99999999999999E+25</formula2>
    </dataValidation>
    <dataValidation type="whole" allowBlank="1" showErrorMessage="1" error="Amount must be rounded to the nearest dollar." sqref="B15 B17 B32:B34" xr:uid="{00000000-0002-0000-0E00-000003000000}">
      <formula1>-1000000000000</formula1>
      <formula2>1000000000000</formula2>
    </dataValidation>
    <dataValidation type="whole" allowBlank="1" showErrorMessage="1" error="Please enter a whole number." sqref="B20:B27 B35:B41" xr:uid="{00000000-0002-0000-0E00-000004000000}">
      <formula1>-9999999999999</formula1>
      <formula2>9999999999999</formula2>
    </dataValidation>
    <dataValidation type="list" allowBlank="1" showInputMessage="1" showErrorMessage="1" error="Use the drop-down list to enter the type of restatement" sqref="C20:D27" xr:uid="{2BE87309-471B-4CDF-9252-708E8175D747}">
      <formula1>"Change in Accounting Principle, Error Corrections, Changes to/within the Financial Reporting Entity"</formula1>
    </dataValidation>
    <dataValidation type="list" allowBlank="1" showInputMessage="1" showErrorMessage="1" error="Please select the type of restatement from the drop down" sqref="C35:D41" xr:uid="{18AABE48-589C-46B6-85D0-98139ABC3AE4}">
      <formula1>"Change in Accounting Principle, Error Corrections, Changes to/within the Financial Reporting Entity"</formula1>
    </dataValidation>
  </dataValidations>
  <pageMargins left="0.5" right="0.5" top="1.25" bottom="1" header="0.44" footer="0.5"/>
  <pageSetup scale="67"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K18"/>
  <sheetViews>
    <sheetView showGridLines="0" zoomScaleNormal="100" workbookViewId="0">
      <selection activeCell="A13" sqref="A13:F18"/>
    </sheetView>
  </sheetViews>
  <sheetFormatPr defaultColWidth="8.85546875" defaultRowHeight="12.75"/>
  <cols>
    <col min="1" max="1" width="25.7109375" style="12" bestFit="1" customWidth="1"/>
    <col min="2" max="5" width="8.85546875" style="12"/>
    <col min="6" max="6" width="18.140625" style="12" customWidth="1"/>
    <col min="7" max="16384" width="8.85546875" style="12"/>
  </cols>
  <sheetData>
    <row r="1" spans="1:11" s="72" customFormat="1" ht="12.6" customHeight="1">
      <c r="A1" s="48" t="s">
        <v>272</v>
      </c>
      <c r="B1" s="1156" t="str">
        <f>'Enterprise Template'!E1</f>
        <v/>
      </c>
      <c r="C1" s="1157"/>
      <c r="D1" s="1157"/>
      <c r="E1" s="1157"/>
      <c r="F1" s="1158"/>
    </row>
    <row r="2" spans="1:11" s="72" customFormat="1" ht="12.75" customHeight="1">
      <c r="A2" s="48" t="s">
        <v>190</v>
      </c>
      <c r="B2" s="1156" t="str">
        <f>IF('Enterprise Template'!E2="","",'Enterprise Template'!E2)</f>
        <v/>
      </c>
      <c r="C2" s="1157"/>
      <c r="D2" s="1157"/>
      <c r="E2" s="1157"/>
      <c r="F2" s="1158"/>
    </row>
    <row r="3" spans="1:11" s="72" customFormat="1" ht="15" customHeight="1">
      <c r="A3" s="48" t="s">
        <v>447</v>
      </c>
      <c r="B3" s="1159" t="str">
        <f>IF('Enterprise Template'!E3="","",'Enterprise Template'!E3)</f>
        <v/>
      </c>
      <c r="C3" s="1160"/>
      <c r="D3" s="1160"/>
      <c r="E3" s="1160"/>
      <c r="F3" s="1161"/>
    </row>
    <row r="4" spans="1:11" s="72" customFormat="1" ht="12.75" customHeight="1">
      <c r="A4" s="48" t="s">
        <v>448</v>
      </c>
      <c r="B4" s="1162" t="str">
        <f>IF('Enterprise Template'!E4="","",'Enterprise Template'!E4)</f>
        <v/>
      </c>
      <c r="C4" s="1163"/>
      <c r="D4" s="1163"/>
      <c r="E4" s="1163"/>
      <c r="F4" s="1164"/>
      <c r="K4" s="12"/>
    </row>
    <row r="5" spans="1:11" s="72" customFormat="1" ht="12.75" customHeight="1">
      <c r="A5" s="48" t="s">
        <v>2847</v>
      </c>
      <c r="B5" s="1150" t="str">
        <f>IF('Enterprise Template'!E5="","",'Enterprise Template'!E5)</f>
        <v/>
      </c>
      <c r="C5" s="1151"/>
      <c r="D5" s="1151"/>
      <c r="E5" s="1151"/>
      <c r="F5" s="1152"/>
    </row>
    <row r="6" spans="1:11" s="72" customFormat="1" ht="12.75" customHeight="1">
      <c r="A6" s="48" t="s">
        <v>449</v>
      </c>
      <c r="B6" s="1153" t="str">
        <f>IF('Enterprise Template'!E6="","",'Enterprise Template'!E6)</f>
        <v/>
      </c>
      <c r="C6" s="1154"/>
      <c r="D6" s="1154"/>
      <c r="E6" s="1154"/>
      <c r="F6" s="1155"/>
    </row>
    <row r="7" spans="1:11" s="72" customFormat="1" ht="12.75" customHeight="1">
      <c r="A7" s="48" t="s">
        <v>224</v>
      </c>
      <c r="B7" s="1156" t="str">
        <f>'Enterprise Template'!E7</f>
        <v/>
      </c>
      <c r="C7" s="1157"/>
      <c r="D7" s="1157"/>
      <c r="E7" s="1157"/>
      <c r="F7" s="1158"/>
    </row>
    <row r="8" spans="1:11" s="72" customFormat="1" ht="12.75" customHeight="1">
      <c r="A8" s="73"/>
      <c r="B8" s="107"/>
      <c r="C8" s="107"/>
      <c r="D8" s="107"/>
      <c r="E8" s="107"/>
      <c r="F8" s="107"/>
    </row>
    <row r="9" spans="1:11" s="72" customFormat="1" ht="12.6" customHeight="1">
      <c r="A9" s="20" t="s">
        <v>501</v>
      </c>
      <c r="B9" s="34"/>
      <c r="C9" s="34"/>
      <c r="D9" s="34"/>
      <c r="E9" s="120"/>
      <c r="F9" s="120"/>
    </row>
    <row r="10" spans="1:11" s="78" customFormat="1" ht="12.6" customHeight="1">
      <c r="A10" s="24" t="str">
        <f>'Enterprise Template'!$A$27:$D$27</f>
        <v>For the Year Ended June 30, 2024</v>
      </c>
      <c r="B10" s="34" t="s">
        <v>431</v>
      </c>
      <c r="C10" s="34"/>
      <c r="D10" s="34"/>
      <c r="E10" s="121"/>
      <c r="F10" s="263">
        <f>'Enterprise Template'!G126</f>
        <v>0</v>
      </c>
    </row>
    <row r="12" spans="1:11">
      <c r="A12" s="34" t="s">
        <v>609</v>
      </c>
    </row>
    <row r="13" spans="1:11">
      <c r="A13" s="1331" t="str">
        <f>IF(F10&lt;&gt;0,"Answer Required","N/A")</f>
        <v>N/A</v>
      </c>
      <c r="B13" s="1332"/>
      <c r="C13" s="1332"/>
      <c r="D13" s="1332"/>
      <c r="E13" s="1332"/>
      <c r="F13" s="1333"/>
    </row>
    <row r="14" spans="1:11">
      <c r="A14" s="1334"/>
      <c r="B14" s="1335"/>
      <c r="C14" s="1335"/>
      <c r="D14" s="1335"/>
      <c r="E14" s="1335"/>
      <c r="F14" s="1336"/>
    </row>
    <row r="15" spans="1:11">
      <c r="A15" s="1334"/>
      <c r="B15" s="1335"/>
      <c r="C15" s="1335"/>
      <c r="D15" s="1335"/>
      <c r="E15" s="1335"/>
      <c r="F15" s="1336"/>
    </row>
    <row r="16" spans="1:11">
      <c r="A16" s="1334"/>
      <c r="B16" s="1335"/>
      <c r="C16" s="1335"/>
      <c r="D16" s="1335"/>
      <c r="E16" s="1335"/>
      <c r="F16" s="1336"/>
    </row>
    <row r="17" spans="1:6">
      <c r="A17" s="1334"/>
      <c r="B17" s="1335"/>
      <c r="C17" s="1335"/>
      <c r="D17" s="1335"/>
      <c r="E17" s="1335"/>
      <c r="F17" s="1336"/>
    </row>
    <row r="18" spans="1:6">
      <c r="A18" s="1337"/>
      <c r="B18" s="1338"/>
      <c r="C18" s="1338"/>
      <c r="D18" s="1338"/>
      <c r="E18" s="1338"/>
      <c r="F18" s="1339"/>
    </row>
  </sheetData>
  <sheetProtection algorithmName="SHA-512" hashValue="0xbXEkOsFCuJEetX+tq+2itqN+ccf6R5RBSGdIX/q1uyT6bei0//3sP09sCSbD1PtCYB7h5+ejThOaO9jOT7Xw==" saltValue="eyZMoFoiMWImREscJoMcqQ==" spinCount="100000" sheet="1" objects="1" scenarios="1"/>
  <mergeCells count="8">
    <mergeCell ref="B7:F7"/>
    <mergeCell ref="A13:F18"/>
    <mergeCell ref="B1:F1"/>
    <mergeCell ref="B2:F2"/>
    <mergeCell ref="B3:F3"/>
    <mergeCell ref="B4:F4"/>
    <mergeCell ref="B5:F5"/>
    <mergeCell ref="B6:F6"/>
  </mergeCells>
  <phoneticPr fontId="46" type="noConversion"/>
  <conditionalFormatting sqref="A13:F18">
    <cfRule type="cellIs" dxfId="18" priority="1" operator="equal">
      <formula>"Answer Required"</formula>
    </cfRule>
  </conditionalFormatting>
  <pageMargins left="0.5" right="0.5" top="1.25" bottom="1" header="0.44" footer="0.5"/>
  <pageSetup scale="92"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K21"/>
  <sheetViews>
    <sheetView showGridLines="0" zoomScaleNormal="100" workbookViewId="0">
      <selection activeCell="B3" sqref="B3:F3"/>
    </sheetView>
  </sheetViews>
  <sheetFormatPr defaultColWidth="8.85546875" defaultRowHeight="12.75"/>
  <cols>
    <col min="1" max="1" width="25.5703125" style="12" customWidth="1"/>
    <col min="2" max="5" width="8.85546875" style="12" customWidth="1"/>
    <col min="6" max="6" width="24.7109375" style="12" customWidth="1"/>
    <col min="7" max="16384" width="8.85546875" style="12"/>
  </cols>
  <sheetData>
    <row r="1" spans="1:11" s="72" customFormat="1" ht="12.6" customHeight="1">
      <c r="A1" s="48" t="s">
        <v>272</v>
      </c>
      <c r="B1" s="1156" t="str">
        <f>'Enterprise Template'!E1</f>
        <v/>
      </c>
      <c r="C1" s="1157"/>
      <c r="D1" s="1157"/>
      <c r="E1" s="1157"/>
      <c r="F1" s="1158"/>
    </row>
    <row r="2" spans="1:11" s="72" customFormat="1" ht="12.75" customHeight="1">
      <c r="A2" s="48" t="s">
        <v>190</v>
      </c>
      <c r="B2" s="1156" t="str">
        <f>IF('Enterprise Template'!E2="","",'Enterprise Template'!E2)</f>
        <v/>
      </c>
      <c r="C2" s="1157"/>
      <c r="D2" s="1157"/>
      <c r="E2" s="1157"/>
      <c r="F2" s="1158"/>
    </row>
    <row r="3" spans="1:11" s="72" customFormat="1" ht="15" customHeight="1">
      <c r="A3" s="48" t="s">
        <v>447</v>
      </c>
      <c r="B3" s="1159" t="str">
        <f>IF('Enterprise Template'!E3="","",'Enterprise Template'!E3)</f>
        <v/>
      </c>
      <c r="C3" s="1160"/>
      <c r="D3" s="1160"/>
      <c r="E3" s="1160"/>
      <c r="F3" s="1161"/>
    </row>
    <row r="4" spans="1:11" s="72" customFormat="1" ht="12.75" customHeight="1">
      <c r="A4" s="48" t="s">
        <v>448</v>
      </c>
      <c r="B4" s="1162" t="str">
        <f>IF('Enterprise Template'!E4="","",'Enterprise Template'!E4)</f>
        <v/>
      </c>
      <c r="C4" s="1163"/>
      <c r="D4" s="1163"/>
      <c r="E4" s="1163"/>
      <c r="F4" s="1164"/>
      <c r="K4" s="12"/>
    </row>
    <row r="5" spans="1:11" s="72" customFormat="1" ht="12.75" customHeight="1">
      <c r="A5" s="48" t="s">
        <v>2847</v>
      </c>
      <c r="B5" s="1150" t="str">
        <f>IF('Enterprise Template'!E5="","",'Enterprise Template'!E5)</f>
        <v/>
      </c>
      <c r="C5" s="1151"/>
      <c r="D5" s="1151"/>
      <c r="E5" s="1151"/>
      <c r="F5" s="1152"/>
    </row>
    <row r="6" spans="1:11" s="72" customFormat="1" ht="12.75" customHeight="1">
      <c r="A6" s="48" t="s">
        <v>449</v>
      </c>
      <c r="B6" s="1153" t="str">
        <f>IF('Enterprise Template'!E6="","",'Enterprise Template'!E6)</f>
        <v/>
      </c>
      <c r="C6" s="1154"/>
      <c r="D6" s="1154"/>
      <c r="E6" s="1154"/>
      <c r="F6" s="1155"/>
    </row>
    <row r="7" spans="1:11" s="72" customFormat="1" ht="12.75" customHeight="1">
      <c r="A7" s="48" t="s">
        <v>224</v>
      </c>
      <c r="B7" s="1156" t="str">
        <f>'Enterprise Template'!E7</f>
        <v/>
      </c>
      <c r="C7" s="1157"/>
      <c r="D7" s="1157"/>
      <c r="E7" s="1157"/>
      <c r="F7" s="1158"/>
    </row>
    <row r="8" spans="1:11" s="72" customFormat="1" ht="12.75" customHeight="1">
      <c r="A8" s="73"/>
      <c r="B8" s="107"/>
      <c r="C8" s="107"/>
      <c r="D8" s="107"/>
      <c r="E8" s="107"/>
      <c r="F8" s="107"/>
    </row>
    <row r="9" spans="1:11" s="72" customFormat="1" ht="12.6" customHeight="1">
      <c r="A9" s="20" t="s">
        <v>776</v>
      </c>
      <c r="B9" s="12"/>
      <c r="C9" s="12"/>
      <c r="D9" s="12"/>
      <c r="E9" s="12"/>
      <c r="F9" s="12"/>
    </row>
    <row r="10" spans="1:11" s="78" customFormat="1" ht="12.6" customHeight="1">
      <c r="A10" s="24" t="str">
        <f>'Enterprise Template'!$A$27:$D$27</f>
        <v>For the Year Ended June 30, 2024</v>
      </c>
      <c r="B10" s="13" t="s">
        <v>431</v>
      </c>
      <c r="C10" s="12"/>
      <c r="D10" s="12"/>
      <c r="E10" s="12"/>
      <c r="F10" s="260" t="str">
        <f>IF('Enterprise Template'!G192&lt;0,'Enterprise Template'!G192,"N/A")</f>
        <v>N/A</v>
      </c>
      <c r="J10" s="267"/>
    </row>
    <row r="12" spans="1:11">
      <c r="A12" s="34" t="s">
        <v>788</v>
      </c>
    </row>
    <row r="13" spans="1:11">
      <c r="A13" s="1331" t="str">
        <f>IF(F10="N/A","N/A","Answer Required")</f>
        <v>N/A</v>
      </c>
      <c r="B13" s="1332"/>
      <c r="C13" s="1332"/>
      <c r="D13" s="1332"/>
      <c r="E13" s="1332"/>
      <c r="F13" s="1333"/>
    </row>
    <row r="14" spans="1:11">
      <c r="A14" s="1334"/>
      <c r="B14" s="1335"/>
      <c r="C14" s="1335"/>
      <c r="D14" s="1335"/>
      <c r="E14" s="1335"/>
      <c r="F14" s="1336"/>
    </row>
    <row r="15" spans="1:11">
      <c r="A15" s="1334"/>
      <c r="B15" s="1335"/>
      <c r="C15" s="1335"/>
      <c r="D15" s="1335"/>
      <c r="E15" s="1335"/>
      <c r="F15" s="1336"/>
    </row>
    <row r="16" spans="1:11">
      <c r="A16" s="1334"/>
      <c r="B16" s="1335"/>
      <c r="C16" s="1335"/>
      <c r="D16" s="1335"/>
      <c r="E16" s="1335"/>
      <c r="F16" s="1336"/>
    </row>
    <row r="17" spans="1:6">
      <c r="A17" s="1334"/>
      <c r="B17" s="1335"/>
      <c r="C17" s="1335"/>
      <c r="D17" s="1335"/>
      <c r="E17" s="1335"/>
      <c r="F17" s="1336"/>
    </row>
    <row r="18" spans="1:6">
      <c r="A18" s="1334"/>
      <c r="B18" s="1335"/>
      <c r="C18" s="1335"/>
      <c r="D18" s="1335"/>
      <c r="E18" s="1335"/>
      <c r="F18" s="1336"/>
    </row>
    <row r="19" spans="1:6">
      <c r="A19" s="1334"/>
      <c r="B19" s="1335"/>
      <c r="C19" s="1335"/>
      <c r="D19" s="1335"/>
      <c r="E19" s="1335"/>
      <c r="F19" s="1336"/>
    </row>
    <row r="20" spans="1:6">
      <c r="A20" s="1334"/>
      <c r="B20" s="1335"/>
      <c r="C20" s="1335"/>
      <c r="D20" s="1335"/>
      <c r="E20" s="1335"/>
      <c r="F20" s="1336"/>
    </row>
    <row r="21" spans="1:6">
      <c r="A21" s="1337"/>
      <c r="B21" s="1338"/>
      <c r="C21" s="1338"/>
      <c r="D21" s="1338"/>
      <c r="E21" s="1338"/>
      <c r="F21" s="1339"/>
    </row>
  </sheetData>
  <sheetProtection algorithmName="SHA-512" hashValue="9szOijcDcj7HnRLe60twVGBLfdmRpdktfoPq8kbgzaT8qcEPXfHpAGLNOuJU6FXDlvgR3T8ZhSn5liwiXkM22A==" saltValue="Wfa+bC4c+Em8P3SrnH43vQ==" spinCount="100000" sheet="1" objects="1" scenarios="1"/>
  <mergeCells count="8">
    <mergeCell ref="B7:F7"/>
    <mergeCell ref="A13:F21"/>
    <mergeCell ref="B1:F1"/>
    <mergeCell ref="B2:F2"/>
    <mergeCell ref="B3:F3"/>
    <mergeCell ref="B4:F4"/>
    <mergeCell ref="B5:F5"/>
    <mergeCell ref="B6:F6"/>
  </mergeCells>
  <phoneticPr fontId="46" type="noConversion"/>
  <conditionalFormatting sqref="A13:F21">
    <cfRule type="cellIs" dxfId="17" priority="1" operator="equal">
      <formula>"Answer Required"</formula>
    </cfRule>
  </conditionalFormatting>
  <pageMargins left="0.5" right="0.5" top="1.25" bottom="1" header="0.44" footer="0.5"/>
  <pageSetup scale="87"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H41"/>
  <sheetViews>
    <sheetView showGridLines="0" zoomScaleNormal="100" workbookViewId="0">
      <selection activeCell="I42" sqref="I42"/>
    </sheetView>
  </sheetViews>
  <sheetFormatPr defaultColWidth="9.140625" defaultRowHeight="12.75"/>
  <cols>
    <col min="1" max="1" width="25.28515625" style="12" customWidth="1"/>
    <col min="2" max="2" width="26.5703125" style="12" customWidth="1"/>
    <col min="3" max="3" width="12.85546875" style="12" customWidth="1"/>
    <col min="4" max="4" width="21.42578125" style="12" customWidth="1"/>
    <col min="5" max="5" width="15.7109375" style="12" customWidth="1"/>
    <col min="6" max="6" width="17.7109375" style="12" customWidth="1"/>
    <col min="7" max="16384" width="9.140625" style="12"/>
  </cols>
  <sheetData>
    <row r="1" spans="1:8" s="72" customFormat="1" ht="12.6" customHeight="1">
      <c r="A1" s="48" t="s">
        <v>272</v>
      </c>
      <c r="B1" s="1156" t="str">
        <f>'Enterprise Template'!E1</f>
        <v/>
      </c>
      <c r="C1" s="1157"/>
      <c r="D1" s="1157"/>
      <c r="E1" s="1157"/>
      <c r="F1" s="1158"/>
    </row>
    <row r="2" spans="1:8" s="72" customFormat="1" ht="12.75" customHeight="1">
      <c r="A2" s="48" t="s">
        <v>190</v>
      </c>
      <c r="B2" s="1156" t="str">
        <f>IF('Enterprise Template'!E2="","",'Enterprise Template'!E2)</f>
        <v/>
      </c>
      <c r="C2" s="1157"/>
      <c r="D2" s="1157"/>
      <c r="E2" s="1157"/>
      <c r="F2" s="1158"/>
    </row>
    <row r="3" spans="1:8" s="72" customFormat="1" ht="15" customHeight="1">
      <c r="A3" s="48" t="s">
        <v>447</v>
      </c>
      <c r="B3" s="1159" t="str">
        <f>IF('Enterprise Template'!E3="","",'Enterprise Template'!E3)</f>
        <v/>
      </c>
      <c r="C3" s="1160"/>
      <c r="D3" s="1160"/>
      <c r="E3" s="1160"/>
      <c r="F3" s="1161"/>
      <c r="H3" s="12"/>
    </row>
    <row r="4" spans="1:8" s="72" customFormat="1" ht="12.75" customHeight="1">
      <c r="A4" s="48" t="s">
        <v>448</v>
      </c>
      <c r="B4" s="1162" t="str">
        <f>IF('Enterprise Template'!E4="","",'Enterprise Template'!E4)</f>
        <v/>
      </c>
      <c r="C4" s="1163"/>
      <c r="D4" s="1163"/>
      <c r="E4" s="1163"/>
      <c r="F4" s="1164"/>
    </row>
    <row r="5" spans="1:8" s="72" customFormat="1" ht="12.75" customHeight="1">
      <c r="A5" s="48" t="s">
        <v>2847</v>
      </c>
      <c r="B5" s="1150" t="str">
        <f>IF('Enterprise Template'!E5="","",'Enterprise Template'!E5)</f>
        <v/>
      </c>
      <c r="C5" s="1151"/>
      <c r="D5" s="1151"/>
      <c r="E5" s="1151"/>
      <c r="F5" s="1152"/>
    </row>
    <row r="6" spans="1:8" s="72" customFormat="1" ht="12.75" customHeight="1">
      <c r="A6" s="48" t="s">
        <v>449</v>
      </c>
      <c r="B6" s="1153" t="str">
        <f>IF('Enterprise Template'!E6="","",'Enterprise Template'!E6)</f>
        <v/>
      </c>
      <c r="C6" s="1154"/>
      <c r="D6" s="1154"/>
      <c r="E6" s="1154"/>
      <c r="F6" s="1155"/>
    </row>
    <row r="7" spans="1:8" s="72" customFormat="1" ht="12.75" customHeight="1">
      <c r="A7" s="48" t="s">
        <v>224</v>
      </c>
      <c r="B7" s="1156" t="str">
        <f>'Enterprise Template'!E7</f>
        <v/>
      </c>
      <c r="C7" s="1157"/>
      <c r="D7" s="1157"/>
      <c r="E7" s="1157"/>
      <c r="F7" s="1158"/>
    </row>
    <row r="9" spans="1:8">
      <c r="A9" s="20" t="s">
        <v>939</v>
      </c>
    </row>
    <row r="10" spans="1:8">
      <c r="A10" s="24" t="str">
        <f>'Enterprise Template'!$A$27:$D$27</f>
        <v>For the Year Ended June 30, 2024</v>
      </c>
    </row>
    <row r="12" spans="1:8" ht="22.5">
      <c r="A12" s="553" t="s">
        <v>1002</v>
      </c>
      <c r="B12" s="553" t="s">
        <v>1010</v>
      </c>
      <c r="C12" s="553" t="s">
        <v>1001</v>
      </c>
      <c r="D12" s="553" t="s">
        <v>1004</v>
      </c>
      <c r="E12" s="553" t="s">
        <v>1005</v>
      </c>
      <c r="F12" s="69" t="s">
        <v>110</v>
      </c>
    </row>
    <row r="13" spans="1:8">
      <c r="A13" s="214"/>
      <c r="B13" s="620" t="str">
        <f>IF(A13="","",IFERROR(VLOOKUP(A13,'Fund Vlookup'!$B:$C,2,FALSE),"Verify fund number and contact DOA"))</f>
        <v/>
      </c>
      <c r="C13" s="185"/>
      <c r="D13" s="531"/>
      <c r="E13" s="215"/>
      <c r="F13" s="71"/>
    </row>
    <row r="14" spans="1:8">
      <c r="A14" s="214"/>
      <c r="B14" s="620" t="str">
        <f>IF(A14="","",IFERROR(VLOOKUP(A14,'Fund Vlookup'!$B:$C,2,FALSE),"Verify fund number and contact DOA"))</f>
        <v/>
      </c>
      <c r="C14" s="185"/>
      <c r="D14" s="160"/>
      <c r="E14" s="215"/>
      <c r="F14" s="71"/>
    </row>
    <row r="15" spans="1:8">
      <c r="A15" s="214"/>
      <c r="B15" s="620" t="str">
        <f>IF(A15="","",IFERROR(VLOOKUP(A15,'Fund Vlookup'!$B:$C,2,FALSE),"Verify fund number and contact DOA"))</f>
        <v/>
      </c>
      <c r="C15" s="185"/>
      <c r="D15" s="160"/>
      <c r="E15" s="215"/>
      <c r="F15" s="71"/>
    </row>
    <row r="16" spans="1:8">
      <c r="A16" s="214"/>
      <c r="B16" s="620" t="str">
        <f>IF(A16="","",IFERROR(VLOOKUP(A16,'Fund Vlookup'!$B:$C,2,FALSE),"Verify fund number and contact DOA"))</f>
        <v/>
      </c>
      <c r="C16" s="185"/>
      <c r="D16" s="160"/>
      <c r="E16" s="215"/>
      <c r="F16" s="71"/>
    </row>
    <row r="17" spans="1:6">
      <c r="A17" s="214"/>
      <c r="B17" s="620" t="str">
        <f>IF(A17="","",IFERROR(VLOOKUP(A17,'Fund Vlookup'!$B:$C,2,FALSE),"Verify fund number and contact DOA"))</f>
        <v/>
      </c>
      <c r="C17" s="185"/>
      <c r="D17" s="160"/>
      <c r="E17" s="215"/>
      <c r="F17" s="71"/>
    </row>
    <row r="18" spans="1:6">
      <c r="A18" s="214"/>
      <c r="B18" s="620" t="str">
        <f>IF(A18="","",IFERROR(VLOOKUP(A18,'Fund Vlookup'!$B:$C,2,FALSE),"Verify fund number and contact DOA"))</f>
        <v/>
      </c>
      <c r="C18" s="185"/>
      <c r="D18" s="160"/>
      <c r="E18" s="215"/>
      <c r="F18" s="71"/>
    </row>
    <row r="19" spans="1:6">
      <c r="A19" s="214"/>
      <c r="B19" s="620" t="str">
        <f>IF(A19="","",IFERROR(VLOOKUP(A19,'Fund Vlookup'!$B:$C,2,FALSE),"Verify fund number and contact DOA"))</f>
        <v/>
      </c>
      <c r="C19" s="185"/>
      <c r="D19" s="160"/>
      <c r="E19" s="215"/>
      <c r="F19" s="71"/>
    </row>
    <row r="20" spans="1:6">
      <c r="A20" s="214"/>
      <c r="B20" s="620" t="str">
        <f>IF(A20="","",IFERROR(VLOOKUP(A20,'Fund Vlookup'!$B:$C,2,FALSE),"Verify fund number and contact DOA"))</f>
        <v/>
      </c>
      <c r="C20" s="185"/>
      <c r="D20" s="160"/>
      <c r="E20" s="215"/>
      <c r="F20" s="71"/>
    </row>
    <row r="21" spans="1:6">
      <c r="C21" s="51"/>
      <c r="D21" s="53"/>
      <c r="E21" s="194"/>
    </row>
    <row r="22" spans="1:6" ht="13.5" thickBot="1">
      <c r="D22" s="51" t="s">
        <v>583</v>
      </c>
      <c r="E22" s="53"/>
      <c r="F22" s="70">
        <f>IF(SUM(F13:F20)='Enterprise Template'!G265,SUM(F13:F20),"Error")</f>
        <v>0</v>
      </c>
    </row>
    <row r="23" spans="1:6" ht="13.5" thickTop="1">
      <c r="E23" s="289" t="s">
        <v>440</v>
      </c>
      <c r="F23" s="283">
        <f>SUM(F13:F20)-'Enterprise Template'!G265</f>
        <v>0</v>
      </c>
    </row>
    <row r="30" spans="1:6" ht="34.5" customHeight="1">
      <c r="A30" s="553" t="s">
        <v>1003</v>
      </c>
      <c r="B30" s="553" t="s">
        <v>1010</v>
      </c>
      <c r="C30" s="553" t="s">
        <v>1001</v>
      </c>
      <c r="D30" s="553" t="s">
        <v>1006</v>
      </c>
      <c r="E30" s="553" t="s">
        <v>1007</v>
      </c>
      <c r="F30" s="69" t="s">
        <v>110</v>
      </c>
    </row>
    <row r="31" spans="1:6">
      <c r="A31" s="214"/>
      <c r="B31" s="620" t="str">
        <f>IF(A31="","",IFERROR(VLOOKUP(A31,'Fund Vlookup'!$B:$C,2,FALSE),"Verify fund number and contact DOA"))</f>
        <v/>
      </c>
      <c r="C31" s="185"/>
      <c r="D31" s="531"/>
      <c r="E31" s="215"/>
      <c r="F31" s="71"/>
    </row>
    <row r="32" spans="1:6">
      <c r="A32" s="214"/>
      <c r="B32" s="620" t="str">
        <f>IF(A32="","",IFERROR(VLOOKUP(A32,'Fund Vlookup'!$B:$C,2,FALSE),"Verify fund number and contact DOA"))</f>
        <v/>
      </c>
      <c r="C32" s="185"/>
      <c r="D32" s="160"/>
      <c r="E32" s="215"/>
      <c r="F32" s="71"/>
    </row>
    <row r="33" spans="1:6">
      <c r="A33" s="214"/>
      <c r="B33" s="620" t="str">
        <f>IF(A33="","",IFERROR(VLOOKUP(A33,'Fund Vlookup'!$B:$C,2,FALSE),"Verify fund number and contact DOA"))</f>
        <v/>
      </c>
      <c r="C33" s="185"/>
      <c r="D33" s="160"/>
      <c r="E33" s="215"/>
      <c r="F33" s="71"/>
    </row>
    <row r="34" spans="1:6">
      <c r="A34" s="214"/>
      <c r="B34" s="620" t="str">
        <f>IF(A34="","",IFERROR(VLOOKUP(A34,'Fund Vlookup'!$B:$C,2,FALSE),"Verify fund number and contact DOA"))</f>
        <v/>
      </c>
      <c r="C34" s="185"/>
      <c r="D34" s="160"/>
      <c r="E34" s="215"/>
      <c r="F34" s="71"/>
    </row>
    <row r="35" spans="1:6">
      <c r="A35" s="214"/>
      <c r="B35" s="620" t="str">
        <f>IF(A35="","",IFERROR(VLOOKUP(A35,'Fund Vlookup'!$B:$C,2,FALSE),"Verify fund number and contact DOA"))</f>
        <v/>
      </c>
      <c r="C35" s="185"/>
      <c r="D35" s="160"/>
      <c r="E35" s="215"/>
      <c r="F35" s="71"/>
    </row>
    <row r="36" spans="1:6">
      <c r="A36" s="214"/>
      <c r="B36" s="620" t="str">
        <f>IF(A36="","",IFERROR(VLOOKUP(A36,'Fund Vlookup'!$B:$C,2,FALSE),"Verify fund number and contact DOA"))</f>
        <v/>
      </c>
      <c r="C36" s="185"/>
      <c r="D36" s="160"/>
      <c r="E36" s="215"/>
      <c r="F36" s="71"/>
    </row>
    <row r="37" spans="1:6">
      <c r="A37" s="214"/>
      <c r="B37" s="620" t="str">
        <f>IF(A37="","",IFERROR(VLOOKUP(A37,'Fund Vlookup'!$B:$C,2,FALSE),"Verify fund number and contact DOA"))</f>
        <v/>
      </c>
      <c r="C37" s="185"/>
      <c r="D37" s="160"/>
      <c r="E37" s="215"/>
      <c r="F37" s="71"/>
    </row>
    <row r="38" spans="1:6">
      <c r="A38" s="214"/>
      <c r="B38" s="620" t="str">
        <f>IF(A38="","",IFERROR(VLOOKUP(A38,'Fund Vlookup'!$B:$C,2,FALSE),"Verify fund number and contact DOA"))</f>
        <v/>
      </c>
      <c r="C38" s="185"/>
      <c r="D38" s="160"/>
      <c r="E38" s="215"/>
      <c r="F38" s="71"/>
    </row>
    <row r="39" spans="1:6">
      <c r="C39" s="51"/>
      <c r="D39" s="53"/>
      <c r="E39" s="194"/>
    </row>
    <row r="40" spans="1:6" ht="13.5" thickBot="1">
      <c r="D40" s="51" t="s">
        <v>584</v>
      </c>
      <c r="E40" s="53"/>
      <c r="F40" s="293">
        <f>IF(SUM(F31:F38)='Enterprise Template'!G266,SUM(F31:F38),"Error")</f>
        <v>0</v>
      </c>
    </row>
    <row r="41" spans="1:6" ht="13.5" thickTop="1">
      <c r="E41" s="289" t="s">
        <v>440</v>
      </c>
      <c r="F41" s="294">
        <f>SUM(F31:F38)-'Enterprise Template'!G266</f>
        <v>0</v>
      </c>
    </row>
  </sheetData>
  <sheetProtection algorithmName="SHA-512" hashValue="ZLOstfJ6DZB2LA2dX4HXK4jx5B6+27hChIYR8aDIRXABe6AgHJ+Y1HcR39vLZvIBkWrqXZvq1BcUhhQSTMt2Eg==" saltValue="NSYButKtGeoYxZVN5jATmQ==" spinCount="100000" sheet="1" objects="1" scenarios="1"/>
  <mergeCells count="7">
    <mergeCell ref="B5:F5"/>
    <mergeCell ref="B6:F6"/>
    <mergeCell ref="B7:F7"/>
    <mergeCell ref="B1:F1"/>
    <mergeCell ref="B2:F2"/>
    <mergeCell ref="B3:F3"/>
    <mergeCell ref="B4:F4"/>
  </mergeCells>
  <phoneticPr fontId="46" type="noConversion"/>
  <dataValidations count="3">
    <dataValidation type="whole" allowBlank="1" showInputMessage="1" showErrorMessage="1" error="Enter a whole number" sqref="F13:F20 F31:F38" xr:uid="{00000000-0002-0000-1100-000000000000}">
      <formula1>-9999999999999</formula1>
      <formula2>9999999999999</formula2>
    </dataValidation>
    <dataValidation type="whole" allowBlank="1" showInputMessage="1" showErrorMessage="1" error="Please enter a valid Fund; a whole number between 1000 and 99999." sqref="A13:A20 A31:A38" xr:uid="{00000000-0002-0000-1100-000001000000}">
      <formula1>1000</formula1>
      <formula2>99999</formula2>
    </dataValidation>
    <dataValidation type="whole" allowBlank="1" showInputMessage="1" showErrorMessage="1" error="Please enter a business unit between 10000 and 99900." sqref="E31:E38 E13:E20" xr:uid="{00000000-0002-0000-1100-000002000000}">
      <formula1>10000</formula1>
      <formula2>99900</formula2>
    </dataValidation>
  </dataValidations>
  <pageMargins left="0.5" right="0.5" top="1.25" bottom="1" header="0.44" footer="0.5"/>
  <pageSetup scale="75"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L58"/>
  <sheetViews>
    <sheetView showGridLines="0" zoomScaleNormal="100" zoomScaleSheetLayoutView="100" workbookViewId="0">
      <selection activeCell="B3" sqref="B3:F3"/>
    </sheetView>
  </sheetViews>
  <sheetFormatPr defaultColWidth="9.140625" defaultRowHeight="12.75"/>
  <cols>
    <col min="1" max="1" width="52.7109375" style="12" customWidth="1"/>
    <col min="2" max="2" width="24" style="12" customWidth="1"/>
    <col min="3" max="3" width="9.140625" style="12"/>
    <col min="4" max="4" width="14.28515625" style="12" customWidth="1"/>
    <col min="5" max="5" width="12.140625" style="12" customWidth="1"/>
    <col min="6" max="6" width="26.7109375" style="12" customWidth="1"/>
    <col min="7" max="7" width="9.140625" style="12"/>
    <col min="8" max="8" width="9.140625" style="12" hidden="1" customWidth="1"/>
    <col min="9" max="16384" width="9.140625" style="12"/>
  </cols>
  <sheetData>
    <row r="1" spans="1:9" s="302" customFormat="1" ht="12.6" customHeight="1">
      <c r="A1" s="303" t="s">
        <v>272</v>
      </c>
      <c r="B1" s="1141" t="str">
        <f>'Enterprise Template'!E1</f>
        <v/>
      </c>
      <c r="C1" s="1142"/>
      <c r="D1" s="1142"/>
      <c r="E1" s="1142"/>
      <c r="F1" s="1143"/>
    </row>
    <row r="2" spans="1:9" s="302" customFormat="1" ht="12.75" customHeight="1">
      <c r="A2" s="303" t="s">
        <v>190</v>
      </c>
      <c r="B2" s="1141" t="str">
        <f>IF('Enterprise Template'!E2="","",'Enterprise Template'!E2)</f>
        <v/>
      </c>
      <c r="C2" s="1142"/>
      <c r="D2" s="1142"/>
      <c r="E2" s="1142"/>
      <c r="F2" s="1143"/>
    </row>
    <row r="3" spans="1:9" s="302" customFormat="1" ht="15" customHeight="1">
      <c r="A3" s="303" t="s">
        <v>447</v>
      </c>
      <c r="B3" s="1144" t="str">
        <f>IF('Enterprise Template'!E3="","",'Enterprise Template'!E3)</f>
        <v/>
      </c>
      <c r="C3" s="1145"/>
      <c r="D3" s="1145"/>
      <c r="E3" s="1145"/>
      <c r="F3" s="1146"/>
    </row>
    <row r="4" spans="1:9" s="302" customFormat="1" ht="12.75" customHeight="1">
      <c r="A4" s="303" t="s">
        <v>448</v>
      </c>
      <c r="B4" s="1147" t="str">
        <f>IF('Enterprise Template'!E4="","",'Enterprise Template'!E4)</f>
        <v/>
      </c>
      <c r="C4" s="1148"/>
      <c r="D4" s="1148"/>
      <c r="E4" s="1148"/>
      <c r="F4" s="1149"/>
    </row>
    <row r="5" spans="1:9" s="302" customFormat="1" ht="12.75" customHeight="1">
      <c r="A5" s="303" t="s">
        <v>2847</v>
      </c>
      <c r="B5" s="1135" t="str">
        <f>IF('Enterprise Template'!E5="","",'Enterprise Template'!E5)</f>
        <v/>
      </c>
      <c r="C5" s="1136"/>
      <c r="D5" s="1136"/>
      <c r="E5" s="1136"/>
      <c r="F5" s="1137"/>
    </row>
    <row r="6" spans="1:9" s="302" customFormat="1" ht="12.75" customHeight="1">
      <c r="A6" s="303" t="s">
        <v>449</v>
      </c>
      <c r="B6" s="1138" t="str">
        <f>IF('Enterprise Template'!E6="","",'Enterprise Template'!E6)</f>
        <v/>
      </c>
      <c r="C6" s="1139"/>
      <c r="D6" s="1139"/>
      <c r="E6" s="1139"/>
      <c r="F6" s="1140"/>
    </row>
    <row r="7" spans="1:9" s="302" customFormat="1" ht="12.75" customHeight="1">
      <c r="A7" s="303" t="s">
        <v>224</v>
      </c>
      <c r="B7" s="1141" t="str">
        <f>'Enterprise Template'!E7</f>
        <v/>
      </c>
      <c r="C7" s="1142"/>
      <c r="D7" s="1142"/>
      <c r="E7" s="1142"/>
      <c r="F7" s="1143"/>
    </row>
    <row r="8" spans="1:9" s="302" customFormat="1" ht="12.75" customHeight="1">
      <c r="A8" s="312"/>
      <c r="B8" s="313"/>
      <c r="C8" s="313"/>
      <c r="D8" s="313"/>
      <c r="E8" s="313"/>
      <c r="F8" s="313"/>
    </row>
    <row r="9" spans="1:9" s="302" customFormat="1" ht="12.6" customHeight="1">
      <c r="A9" s="314" t="s">
        <v>844</v>
      </c>
      <c r="B9" s="13"/>
      <c r="C9" s="13"/>
      <c r="D9" s="13"/>
      <c r="E9" s="336"/>
      <c r="F9" s="336"/>
    </row>
    <row r="10" spans="1:9" s="317" customFormat="1" ht="12.6" customHeight="1">
      <c r="A10" s="316" t="str">
        <f>'Enterprise Template'!$A$27:$D$27</f>
        <v>For the Year Ended June 30, 2024</v>
      </c>
      <c r="B10" s="13"/>
      <c r="C10" s="13"/>
      <c r="D10" s="13"/>
      <c r="E10" s="337"/>
      <c r="F10" s="318"/>
      <c r="I10" s="12"/>
    </row>
    <row r="11" spans="1:9" s="317" customFormat="1" ht="12.6" customHeight="1">
      <c r="A11" s="320"/>
      <c r="B11" s="12"/>
      <c r="C11" s="12"/>
      <c r="D11" s="12"/>
      <c r="F11" s="318"/>
    </row>
    <row r="12" spans="1:9" s="317" customFormat="1" ht="12.6" customHeight="1">
      <c r="A12" s="338"/>
      <c r="B12" s="12"/>
      <c r="C12" s="12"/>
      <c r="D12" s="12"/>
      <c r="F12" s="318"/>
    </row>
    <row r="13" spans="1:9" s="317" customFormat="1" ht="12.6" customHeight="1">
      <c r="A13" s="320"/>
      <c r="B13" s="12"/>
      <c r="C13" s="12"/>
      <c r="D13" s="12"/>
      <c r="F13" s="318"/>
    </row>
    <row r="14" spans="1:9" s="317" customFormat="1" ht="12.6" customHeight="1">
      <c r="A14" s="339"/>
      <c r="B14" s="18"/>
      <c r="C14" s="18"/>
      <c r="D14" s="18"/>
      <c r="E14" s="340"/>
      <c r="F14" s="341"/>
    </row>
    <row r="15" spans="1:9">
      <c r="A15" s="13"/>
    </row>
    <row r="16" spans="1:9">
      <c r="B16" s="111" t="s">
        <v>269</v>
      </c>
    </row>
    <row r="17" spans="1:4" ht="24.75" customHeight="1">
      <c r="A17" s="143" t="s">
        <v>604</v>
      </c>
      <c r="B17" s="205">
        <f>+'Enterprise Template'!G94+'Enterprise Template'!G95</f>
        <v>0</v>
      </c>
    </row>
    <row r="18" spans="1:4">
      <c r="A18" s="143"/>
      <c r="B18" s="342"/>
    </row>
    <row r="19" spans="1:4">
      <c r="A19" s="12" t="s">
        <v>661</v>
      </c>
      <c r="B19" s="342"/>
    </row>
    <row r="20" spans="1:4">
      <c r="A20" s="12" t="s">
        <v>3370</v>
      </c>
      <c r="B20" s="204"/>
    </row>
    <row r="21" spans="1:4" ht="29.25" customHeight="1">
      <c r="A21" s="143" t="s">
        <v>3787</v>
      </c>
      <c r="B21" s="204"/>
    </row>
    <row r="22" spans="1:4">
      <c r="A22" s="12" t="s">
        <v>605</v>
      </c>
      <c r="B22" s="204"/>
    </row>
    <row r="23" spans="1:4">
      <c r="A23" s="12" t="s">
        <v>3356</v>
      </c>
      <c r="B23" s="204"/>
    </row>
    <row r="24" spans="1:4">
      <c r="A24" s="12" t="s">
        <v>3020</v>
      </c>
      <c r="B24" s="204"/>
    </row>
    <row r="25" spans="1:4">
      <c r="A25" s="12" t="s">
        <v>117</v>
      </c>
      <c r="B25" s="343"/>
    </row>
    <row r="26" spans="1:4">
      <c r="A26" s="6"/>
      <c r="B26" s="204"/>
    </row>
    <row r="27" spans="1:4">
      <c r="A27" s="6"/>
      <c r="B27" s="204"/>
    </row>
    <row r="28" spans="1:4">
      <c r="A28" s="6"/>
      <c r="B28" s="204"/>
    </row>
    <row r="29" spans="1:4">
      <c r="A29" s="6"/>
      <c r="B29" s="204"/>
    </row>
    <row r="30" spans="1:4">
      <c r="A30" s="6"/>
      <c r="B30" s="204"/>
    </row>
    <row r="31" spans="1:4">
      <c r="A31" s="464"/>
      <c r="B31" s="342"/>
    </row>
    <row r="32" spans="1:4" ht="40.5" customHeight="1">
      <c r="A32" s="466" t="s">
        <v>3019</v>
      </c>
      <c r="B32" s="204"/>
      <c r="D32" s="599" t="str">
        <f>IF(B32="","N/A","Answer Required")</f>
        <v>N/A</v>
      </c>
    </row>
    <row r="33" spans="1:12" ht="59.25" customHeight="1">
      <c r="A33" s="466" t="s">
        <v>927</v>
      </c>
      <c r="B33" s="985"/>
      <c r="H33" s="12" t="s">
        <v>845</v>
      </c>
    </row>
    <row r="34" spans="1:12">
      <c r="A34" s="600"/>
      <c r="B34" s="204"/>
      <c r="H34" s="12" t="s">
        <v>846</v>
      </c>
    </row>
    <row r="35" spans="1:12">
      <c r="B35" s="342"/>
      <c r="H35" s="12" t="s">
        <v>456</v>
      </c>
    </row>
    <row r="36" spans="1:12" ht="28.5" hidden="1" customHeight="1">
      <c r="A36" s="467" t="s">
        <v>847</v>
      </c>
      <c r="B36" s="562"/>
    </row>
    <row r="37" spans="1:12" ht="45.75" customHeight="1">
      <c r="A37" s="467" t="s">
        <v>848</v>
      </c>
      <c r="B37" s="204"/>
    </row>
    <row r="38" spans="1:12" ht="60" customHeight="1">
      <c r="A38" s="467" t="s">
        <v>849</v>
      </c>
      <c r="B38" s="465"/>
      <c r="L38" s="12" t="s">
        <v>3351</v>
      </c>
    </row>
    <row r="39" spans="1:12">
      <c r="A39" s="600"/>
      <c r="B39" s="204"/>
    </row>
    <row r="40" spans="1:12">
      <c r="A40" s="468" t="s">
        <v>850</v>
      </c>
      <c r="B40" s="342"/>
    </row>
    <row r="41" spans="1:12">
      <c r="A41" s="600"/>
      <c r="B41" s="204"/>
    </row>
    <row r="42" spans="1:12">
      <c r="A42" s="600"/>
      <c r="B42" s="204"/>
    </row>
    <row r="43" spans="1:12">
      <c r="A43" s="600"/>
      <c r="B43" s="204"/>
    </row>
    <row r="44" spans="1:12">
      <c r="A44" s="600"/>
      <c r="B44" s="204"/>
    </row>
    <row r="45" spans="1:12">
      <c r="B45" s="342"/>
    </row>
    <row r="46" spans="1:12" ht="13.5" thickBot="1">
      <c r="A46" s="143" t="s">
        <v>777</v>
      </c>
      <c r="B46" s="163">
        <f>IF(SUM(B17,B20:B24,B26:B30,B32:B32,B34,B37,B39,B41:B44)='Enterprise Template'!G185,SUM(B17,B20:B24,B26:B30,B32:B32,B34,B37,B39,B41:B44),"ERROR")</f>
        <v>0</v>
      </c>
      <c r="C46" s="142"/>
    </row>
    <row r="47" spans="1:12" ht="13.5" thickTop="1">
      <c r="A47" s="284" t="s">
        <v>440</v>
      </c>
      <c r="B47" s="283">
        <f>SUM(B17:B30,B32:B32,B34,B37,B39,B41:B44)-'Enterprise Template'!G185</f>
        <v>0</v>
      </c>
    </row>
    <row r="50" spans="1:6">
      <c r="A50" s="195" t="s">
        <v>488</v>
      </c>
      <c r="B50" s="195" t="s">
        <v>490</v>
      </c>
      <c r="C50" s="262" t="s">
        <v>520</v>
      </c>
      <c r="D50" s="262"/>
      <c r="E50" s="195" t="s">
        <v>391</v>
      </c>
      <c r="F50" s="195" t="s">
        <v>489</v>
      </c>
    </row>
    <row r="51" spans="1:6">
      <c r="A51" s="195" t="s">
        <v>3370</v>
      </c>
      <c r="B51" s="260">
        <f>'Enterprise Template'!G165+'Enterprise Template'!G139</f>
        <v>0</v>
      </c>
      <c r="C51" s="1340">
        <f>B20</f>
        <v>0</v>
      </c>
      <c r="D51" s="1341"/>
      <c r="E51" s="261">
        <f t="shared" ref="E51:E56" si="0">B51+C51</f>
        <v>0</v>
      </c>
      <c r="F51" s="3" t="str">
        <f>IF(E51=0,"N/A","Answer Required")</f>
        <v>N/A</v>
      </c>
    </row>
    <row r="52" spans="1:6" ht="25.5">
      <c r="A52" s="974" t="s">
        <v>3404</v>
      </c>
      <c r="B52" s="260">
        <f>'Enterprise Template'!G166+'Enterprise Template'!G140</f>
        <v>0</v>
      </c>
      <c r="C52" s="1340">
        <f>B21</f>
        <v>0</v>
      </c>
      <c r="D52" s="1341"/>
      <c r="E52" s="261">
        <f t="shared" si="0"/>
        <v>0</v>
      </c>
      <c r="F52" s="3" t="str">
        <f>IF(E52=0,"N/A","Answer Required")</f>
        <v>N/A</v>
      </c>
    </row>
    <row r="53" spans="1:6">
      <c r="A53" s="195" t="s">
        <v>605</v>
      </c>
      <c r="B53" s="260">
        <f>'Enterprise Template'!G167+'Enterprise Template'!G141</f>
        <v>0</v>
      </c>
      <c r="C53" s="1340">
        <f>B22</f>
        <v>0</v>
      </c>
      <c r="D53" s="1341"/>
      <c r="E53" s="261">
        <f t="shared" si="0"/>
        <v>0</v>
      </c>
      <c r="F53" s="3" t="str">
        <f t="shared" ref="F53:F56" si="1">IF(E53=0,"N/A","Answer Required")</f>
        <v>N/A</v>
      </c>
    </row>
    <row r="54" spans="1:6">
      <c r="A54" s="195" t="s">
        <v>3356</v>
      </c>
      <c r="B54" s="260">
        <f>'Enterprise Template'!G168+'Enterprise Template'!G142</f>
        <v>0</v>
      </c>
      <c r="C54" s="1340">
        <f>B23</f>
        <v>0</v>
      </c>
      <c r="D54" s="1341"/>
      <c r="E54" s="261">
        <f t="shared" si="0"/>
        <v>0</v>
      </c>
      <c r="F54" s="3" t="str">
        <f t="shared" ref="F54" si="2">IF(E54=0,"N/A","Answer Required")</f>
        <v>N/A</v>
      </c>
    </row>
    <row r="55" spans="1:6">
      <c r="A55" s="195" t="s">
        <v>606</v>
      </c>
      <c r="B55" s="260">
        <f>'Enterprise Template'!G169+'Enterprise Template'!G143</f>
        <v>0</v>
      </c>
      <c r="C55" s="1340">
        <f>B24</f>
        <v>0</v>
      </c>
      <c r="D55" s="1341"/>
      <c r="E55" s="261">
        <f t="shared" si="0"/>
        <v>0</v>
      </c>
      <c r="F55" s="3" t="str">
        <f t="shared" si="1"/>
        <v>N/A</v>
      </c>
    </row>
    <row r="56" spans="1:6">
      <c r="A56" s="195" t="s">
        <v>521</v>
      </c>
      <c r="B56" s="260">
        <f>'Enterprise Template'!G170+'Enterprise Template'!G144</f>
        <v>0</v>
      </c>
      <c r="C56" s="1340">
        <f>SUM(B26:B30)</f>
        <v>0</v>
      </c>
      <c r="D56" s="1341"/>
      <c r="E56" s="261">
        <f t="shared" si="0"/>
        <v>0</v>
      </c>
      <c r="F56" s="3" t="str">
        <f t="shared" si="1"/>
        <v>N/A</v>
      </c>
    </row>
    <row r="58" spans="1:6">
      <c r="A58" s="12" t="s">
        <v>994</v>
      </c>
    </row>
  </sheetData>
  <sheetProtection algorithmName="SHA-512" hashValue="vmk7J3WpwzKSf7EQKr/9hqq/u4Ivp/+Zzc5L8ZhE8MqJvHHxu6TJjCio8ANHFKopJKpo6Eacuk2n7q2xAsYpyQ==" saltValue="k9yUeRI7MjPCTf4qy6aiew==" spinCount="100000" sheet="1" objects="1" scenarios="1"/>
  <mergeCells count="13">
    <mergeCell ref="C51:D51"/>
    <mergeCell ref="C53:D53"/>
    <mergeCell ref="C55:D55"/>
    <mergeCell ref="C56:D56"/>
    <mergeCell ref="B1:F1"/>
    <mergeCell ref="B5:F5"/>
    <mergeCell ref="B6:F6"/>
    <mergeCell ref="B7:F7"/>
    <mergeCell ref="B2:F2"/>
    <mergeCell ref="B3:F3"/>
    <mergeCell ref="B4:F4"/>
    <mergeCell ref="C54:D54"/>
    <mergeCell ref="C52:D52"/>
  </mergeCells>
  <phoneticPr fontId="46" type="noConversion"/>
  <conditionalFormatting sqref="D32">
    <cfRule type="cellIs" dxfId="16" priority="4" operator="equal">
      <formula>"Answer Required"</formula>
    </cfRule>
  </conditionalFormatting>
  <conditionalFormatting sqref="F51:F56">
    <cfRule type="cellIs" dxfId="15" priority="1" operator="equal">
      <formula>"Answer Required"</formula>
    </cfRule>
  </conditionalFormatting>
  <dataValidations xWindow="146" yWindow="303" count="8">
    <dataValidation allowBlank="1" showErrorMessage="1" sqref="B46 B17" xr:uid="{00000000-0002-0000-1200-000000000000}"/>
    <dataValidation type="whole" allowBlank="1" showErrorMessage="1" error="Amount must be rounded to the nearest dollar." sqref="B45" xr:uid="{00000000-0002-0000-1200-000001000000}">
      <formula1>-1000000000000</formula1>
      <formula2>1000000000000</formula2>
    </dataValidation>
    <dataValidation type="whole" allowBlank="1" showErrorMessage="1" error="Please enter a whole number." sqref="B40:B44 B35 B31" xr:uid="{00000000-0002-0000-1200-000002000000}">
      <formula1>-999999999999999000000</formula1>
      <formula2>99999999999999900000</formula2>
    </dataValidation>
    <dataValidation type="whole" allowBlank="1" showErrorMessage="1" error="Please enter a negative whole number." sqref="B39 B36:B37 B26:B30 B20:B24" xr:uid="{00000000-0002-0000-1200-000003000000}">
      <formula1>-999999999999999000000</formula1>
      <formula2>0</formula2>
    </dataValidation>
    <dataValidation type="list" allowBlank="1" showInputMessage="1" showErrorMessage="1" error="Please use the drop-down to enter Yes or No." sqref="D32" xr:uid="{00000000-0002-0000-1200-000004000000}">
      <formula1>$H$33:$H$35</formula1>
    </dataValidation>
    <dataValidation type="whole" allowBlank="1" showErrorMessage="1" error="Amount must be rounded to the nearest dollar." sqref="B18:B19" xr:uid="{00000000-0002-0000-1200-000005000000}">
      <formula1>0</formula1>
      <formula2>9.99999999999999E+25</formula2>
    </dataValidation>
    <dataValidation allowBlank="1" showErrorMessage="1" error="Please enter a negative whole number." sqref="B25" xr:uid="{00000000-0002-0000-1200-000006000000}"/>
    <dataValidation type="whole" allowBlank="1" showErrorMessage="1" error="Please enter a positive whole number." sqref="B32 B34" xr:uid="{00000000-0002-0000-1200-000007000000}">
      <formula1>0</formula1>
      <formula2>999999999999999000000</formula2>
    </dataValidation>
  </dataValidations>
  <pageMargins left="0.5" right="0.5" top="1.25" bottom="1" header="0.44" footer="0.5"/>
  <pageSetup scale="65"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7:AL540"/>
  <sheetViews>
    <sheetView topLeftCell="E336" zoomScale="80" zoomScaleNormal="80" zoomScaleSheetLayoutView="96" workbookViewId="0">
      <selection activeCell="AB445" sqref="AB445"/>
    </sheetView>
  </sheetViews>
  <sheetFormatPr defaultColWidth="9.140625" defaultRowHeight="12.75"/>
  <cols>
    <col min="1" max="1" width="5.7109375" style="397" customWidth="1"/>
    <col min="2" max="2" width="2.7109375" style="397" customWidth="1"/>
    <col min="3" max="3" width="3.140625" style="397" customWidth="1"/>
    <col min="4" max="4" width="3" style="397" customWidth="1"/>
    <col min="5" max="5" width="42.140625" style="397" customWidth="1"/>
    <col min="6" max="6" width="9.140625" style="397"/>
    <col min="7" max="7" width="20.5703125" style="397" customWidth="1"/>
    <col min="8" max="8" width="15.42578125" style="397" customWidth="1"/>
    <col min="9" max="9" width="1.7109375" style="397" customWidth="1"/>
    <col min="10" max="10" width="15.85546875" style="397" customWidth="1"/>
    <col min="11" max="11" width="1.7109375" style="397" customWidth="1"/>
    <col min="12" max="12" width="15.28515625" style="397" customWidth="1"/>
    <col min="13" max="13" width="1.7109375" style="397" customWidth="1"/>
    <col min="14" max="14" width="18.85546875" style="397" customWidth="1"/>
    <col min="15" max="15" width="1.7109375" style="397" customWidth="1"/>
    <col min="16" max="16" width="14.28515625" style="397" customWidth="1"/>
    <col min="17" max="17" width="13.42578125" style="397" customWidth="1"/>
    <col min="18" max="18" width="16.5703125" style="397" customWidth="1"/>
    <col min="19" max="19" width="1.7109375" style="397" customWidth="1"/>
    <col min="20" max="20" width="14.85546875" style="397" customWidth="1"/>
    <col min="21" max="21" width="1.7109375" style="397" customWidth="1"/>
    <col min="22" max="22" width="15.85546875" style="397" customWidth="1"/>
    <col min="23" max="23" width="1.7109375" style="397" customWidth="1"/>
    <col min="24" max="24" width="15.140625" style="397" customWidth="1"/>
    <col min="25" max="25" width="1.7109375" style="397" customWidth="1"/>
    <col min="26" max="26" width="17.28515625" style="397" customWidth="1"/>
    <col min="27" max="27" width="1.7109375" style="397" customWidth="1"/>
    <col min="28" max="28" width="17.5703125" style="397" customWidth="1"/>
    <col min="29" max="29" width="1.7109375" style="397" customWidth="1"/>
    <col min="30" max="30" width="14.5703125" style="397" customWidth="1"/>
    <col min="31" max="31" width="1.7109375" style="397" customWidth="1"/>
    <col min="32" max="32" width="13.140625" style="397" customWidth="1"/>
    <col min="33" max="33" width="1.7109375" style="397" hidden="1" customWidth="1"/>
    <col min="34" max="34" width="16" style="397" hidden="1" customWidth="1"/>
    <col min="35" max="35" width="1.7109375" style="397" customWidth="1"/>
    <col min="36" max="36" width="15" style="397" customWidth="1"/>
    <col min="37" max="37" width="1.7109375" style="397" customWidth="1"/>
    <col min="38" max="38" width="15.140625" style="397" bestFit="1" customWidth="1"/>
    <col min="39" max="39" width="12" style="397" bestFit="1" customWidth="1"/>
    <col min="40" max="16384" width="9.140625" style="397"/>
  </cols>
  <sheetData>
    <row r="7" spans="1:38">
      <c r="U7" s="817"/>
    </row>
    <row r="10" spans="1:38">
      <c r="B10" s="398"/>
      <c r="C10" s="398"/>
      <c r="D10" s="398"/>
      <c r="E10" s="398"/>
    </row>
    <row r="11" spans="1:38">
      <c r="B11" s="398"/>
      <c r="C11" s="398"/>
      <c r="D11" s="398"/>
      <c r="E11" s="398"/>
    </row>
    <row r="12" spans="1:38" ht="18" customHeight="1">
      <c r="A12" s="390" t="s">
        <v>303</v>
      </c>
      <c r="B12" s="398"/>
      <c r="C12" s="398"/>
      <c r="D12" s="398"/>
      <c r="E12" s="398"/>
      <c r="F12" s="114"/>
      <c r="G12" s="1006" t="s">
        <v>602</v>
      </c>
    </row>
    <row r="13" spans="1:38" ht="73.5" customHeight="1" thickBot="1">
      <c r="A13" s="397">
        <v>1</v>
      </c>
      <c r="B13" s="399" t="s">
        <v>192</v>
      </c>
      <c r="C13" s="400"/>
      <c r="D13" s="400"/>
      <c r="E13" s="400"/>
      <c r="F13" s="400"/>
      <c r="G13" s="1007"/>
      <c r="H13" s="786" t="s">
        <v>908</v>
      </c>
      <c r="I13" s="198"/>
      <c r="J13" s="786" t="s">
        <v>603</v>
      </c>
      <c r="K13" s="198"/>
      <c r="L13" s="786" t="s">
        <v>399</v>
      </c>
      <c r="M13" s="198"/>
      <c r="N13" s="786" t="s">
        <v>607</v>
      </c>
      <c r="O13" s="198"/>
      <c r="P13" s="786" t="s">
        <v>740</v>
      </c>
      <c r="Q13" s="786" t="s">
        <v>3187</v>
      </c>
      <c r="R13" s="786" t="s">
        <v>741</v>
      </c>
      <c r="S13" s="198"/>
      <c r="T13" s="786" t="s">
        <v>564</v>
      </c>
      <c r="U13" s="198"/>
      <c r="V13" s="786" t="s">
        <v>620</v>
      </c>
      <c r="W13" s="198"/>
      <c r="X13" s="786" t="s">
        <v>622</v>
      </c>
      <c r="Y13" s="198"/>
      <c r="Z13" s="786" t="s">
        <v>614</v>
      </c>
      <c r="AA13" s="198"/>
      <c r="AB13" s="786" t="s">
        <v>3330</v>
      </c>
      <c r="AC13" s="198"/>
      <c r="AD13" s="786" t="s">
        <v>616</v>
      </c>
      <c r="AE13" s="198"/>
      <c r="AF13" s="786" t="s">
        <v>617</v>
      </c>
      <c r="AG13" s="198"/>
      <c r="AH13" s="401" t="s">
        <v>794</v>
      </c>
      <c r="AI13" s="198"/>
      <c r="AJ13" s="786" t="s">
        <v>47</v>
      </c>
      <c r="AK13" s="198"/>
      <c r="AL13" s="949" t="s">
        <v>2975</v>
      </c>
    </row>
    <row r="14" spans="1:38" ht="36" customHeight="1">
      <c r="A14" s="397">
        <v>2</v>
      </c>
      <c r="B14" s="200"/>
      <c r="C14" s="114"/>
      <c r="D14" s="114"/>
      <c r="E14" s="114"/>
      <c r="F14" s="114"/>
      <c r="G14" s="816"/>
      <c r="H14" s="198"/>
      <c r="I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row>
    <row r="15" spans="1:38" ht="11.25" customHeight="1">
      <c r="A15" s="397">
        <v>3</v>
      </c>
      <c r="B15" s="114" t="s">
        <v>265</v>
      </c>
      <c r="C15" s="114"/>
      <c r="D15" s="114"/>
      <c r="E15" s="114"/>
    </row>
    <row r="16" spans="1:38">
      <c r="A16" s="397">
        <v>4</v>
      </c>
      <c r="B16" s="114"/>
      <c r="C16" s="114" t="s">
        <v>185</v>
      </c>
      <c r="D16" s="114"/>
      <c r="E16" s="114"/>
      <c r="H16" s="402">
        <v>137763154</v>
      </c>
      <c r="I16" s="114"/>
      <c r="J16" s="260">
        <v>14926027</v>
      </c>
      <c r="K16" s="114"/>
      <c r="L16" s="260">
        <v>782835</v>
      </c>
      <c r="M16" s="114"/>
      <c r="N16" s="260">
        <v>28795580</v>
      </c>
      <c r="O16" s="114"/>
      <c r="P16" s="260">
        <v>42610918</v>
      </c>
      <c r="Q16" s="260">
        <v>4202859</v>
      </c>
      <c r="R16" s="260">
        <v>150965364</v>
      </c>
      <c r="S16" s="114"/>
      <c r="T16" s="260">
        <v>10090933</v>
      </c>
      <c r="U16" s="114"/>
      <c r="V16" s="260">
        <v>4189231</v>
      </c>
      <c r="W16" s="114"/>
      <c r="X16" s="260">
        <v>15213927</v>
      </c>
      <c r="Y16" s="114"/>
      <c r="Z16" s="260">
        <v>2706456</v>
      </c>
      <c r="AA16" s="114"/>
      <c r="AB16" s="260">
        <v>62792620</v>
      </c>
      <c r="AC16" s="114"/>
      <c r="AD16" s="260">
        <v>356889</v>
      </c>
      <c r="AE16" s="114"/>
      <c r="AF16" s="260">
        <v>0</v>
      </c>
      <c r="AG16" s="114"/>
      <c r="AH16" s="260"/>
      <c r="AI16" s="114"/>
      <c r="AJ16" s="260">
        <v>0</v>
      </c>
      <c r="AL16" s="260">
        <v>2455637</v>
      </c>
    </row>
    <row r="17" spans="1:38">
      <c r="A17" s="397">
        <v>5</v>
      </c>
      <c r="B17" s="114"/>
      <c r="C17" s="114" t="s">
        <v>574</v>
      </c>
      <c r="D17" s="114"/>
      <c r="E17" s="114"/>
      <c r="H17" s="402">
        <v>18602723</v>
      </c>
      <c r="I17" s="114"/>
      <c r="J17" s="260">
        <v>5017501</v>
      </c>
      <c r="K17" s="114"/>
      <c r="L17" s="260">
        <v>0</v>
      </c>
      <c r="M17" s="114"/>
      <c r="N17" s="260">
        <v>0</v>
      </c>
      <c r="O17" s="114"/>
      <c r="P17" s="260">
        <v>0</v>
      </c>
      <c r="Q17" s="260"/>
      <c r="R17" s="260"/>
      <c r="S17" s="114"/>
      <c r="T17" s="260">
        <v>0</v>
      </c>
      <c r="U17" s="114"/>
      <c r="V17" s="260">
        <v>0</v>
      </c>
      <c r="W17" s="114"/>
      <c r="X17" s="260">
        <v>0</v>
      </c>
      <c r="Y17" s="114"/>
      <c r="Z17" s="260"/>
      <c r="AA17" s="114"/>
      <c r="AB17" s="260"/>
      <c r="AC17" s="114"/>
      <c r="AD17" s="260">
        <v>779</v>
      </c>
      <c r="AE17" s="114"/>
      <c r="AF17" s="260">
        <v>1115342</v>
      </c>
      <c r="AG17" s="114"/>
      <c r="AH17" s="260"/>
      <c r="AI17" s="114"/>
      <c r="AJ17" s="260">
        <v>340129</v>
      </c>
      <c r="AL17" s="260"/>
    </row>
    <row r="18" spans="1:38">
      <c r="A18" s="397">
        <v>6</v>
      </c>
      <c r="B18" s="114"/>
      <c r="C18" s="114" t="s">
        <v>413</v>
      </c>
      <c r="D18" s="114"/>
      <c r="E18" s="114"/>
      <c r="H18" s="402"/>
      <c r="I18" s="114"/>
      <c r="J18" s="260"/>
      <c r="K18" s="114"/>
      <c r="L18" s="260">
        <v>0</v>
      </c>
      <c r="M18" s="114"/>
      <c r="N18" s="260">
        <v>0</v>
      </c>
      <c r="O18" s="114"/>
      <c r="P18" s="260">
        <v>0</v>
      </c>
      <c r="Q18" s="260"/>
      <c r="R18" s="260"/>
      <c r="S18" s="114"/>
      <c r="T18" s="260">
        <v>0</v>
      </c>
      <c r="U18" s="114"/>
      <c r="V18" s="260">
        <v>0</v>
      </c>
      <c r="W18" s="114"/>
      <c r="X18" s="260">
        <v>0</v>
      </c>
      <c r="Y18" s="114"/>
      <c r="Z18" s="260"/>
      <c r="AA18" s="114"/>
      <c r="AB18" s="260"/>
      <c r="AC18" s="114"/>
      <c r="AD18" s="260">
        <v>0</v>
      </c>
      <c r="AE18" s="114"/>
      <c r="AF18" s="260">
        <v>0</v>
      </c>
      <c r="AG18" s="114"/>
      <c r="AH18" s="260"/>
      <c r="AI18" s="114"/>
      <c r="AJ18" s="260">
        <v>73604</v>
      </c>
      <c r="AL18" s="260"/>
    </row>
    <row r="19" spans="1:38">
      <c r="A19" s="397">
        <v>7</v>
      </c>
      <c r="B19" s="114"/>
      <c r="C19" s="114" t="s">
        <v>279</v>
      </c>
      <c r="D19" s="114"/>
      <c r="E19" s="114"/>
      <c r="H19" s="402">
        <v>59405278</v>
      </c>
      <c r="I19" s="114"/>
      <c r="J19" s="260">
        <v>1478123</v>
      </c>
      <c r="K19" s="114"/>
      <c r="L19" s="260">
        <v>0</v>
      </c>
      <c r="M19" s="114"/>
      <c r="N19" s="260">
        <v>3141974</v>
      </c>
      <c r="O19" s="114"/>
      <c r="P19" s="260">
        <v>4224688</v>
      </c>
      <c r="Q19" s="260">
        <v>416695</v>
      </c>
      <c r="R19" s="260">
        <v>14967564</v>
      </c>
      <c r="S19" s="114"/>
      <c r="T19" s="260">
        <v>0</v>
      </c>
      <c r="U19" s="114"/>
      <c r="V19" s="260">
        <v>0</v>
      </c>
      <c r="W19" s="114"/>
      <c r="X19" s="260">
        <v>0</v>
      </c>
      <c r="Y19" s="114"/>
      <c r="Z19" s="260">
        <v>268333</v>
      </c>
      <c r="AA19" s="114"/>
      <c r="AB19" s="260">
        <v>6225617</v>
      </c>
      <c r="AC19" s="114"/>
      <c r="AD19" s="260">
        <v>0</v>
      </c>
      <c r="AE19" s="114"/>
      <c r="AF19" s="260">
        <v>0</v>
      </c>
      <c r="AG19" s="114"/>
      <c r="AH19" s="260"/>
      <c r="AI19" s="114"/>
      <c r="AJ19" s="260">
        <v>0</v>
      </c>
      <c r="AL19" s="260">
        <v>243598</v>
      </c>
    </row>
    <row r="20" spans="1:38">
      <c r="A20" s="397">
        <v>8</v>
      </c>
      <c r="B20" s="114"/>
      <c r="C20" s="114" t="s">
        <v>280</v>
      </c>
      <c r="D20" s="114"/>
      <c r="E20" s="114"/>
      <c r="H20" s="402"/>
      <c r="I20" s="114"/>
      <c r="J20" s="260"/>
      <c r="K20" s="114"/>
      <c r="L20" s="260">
        <v>0</v>
      </c>
      <c r="M20" s="114"/>
      <c r="N20" s="260">
        <v>0</v>
      </c>
      <c r="O20" s="114"/>
      <c r="P20" s="260">
        <v>0</v>
      </c>
      <c r="Q20" s="260">
        <v>0</v>
      </c>
      <c r="R20" s="260">
        <v>0</v>
      </c>
      <c r="S20" s="114"/>
      <c r="T20" s="260">
        <v>0</v>
      </c>
      <c r="U20" s="114"/>
      <c r="V20" s="260">
        <v>0</v>
      </c>
      <c r="W20" s="114"/>
      <c r="X20" s="260">
        <v>0</v>
      </c>
      <c r="Y20" s="114"/>
      <c r="Z20" s="260">
        <v>0</v>
      </c>
      <c r="AA20" s="114"/>
      <c r="AB20" s="260">
        <v>0</v>
      </c>
      <c r="AC20" s="114"/>
      <c r="AD20" s="260">
        <v>0</v>
      </c>
      <c r="AE20" s="114"/>
      <c r="AF20" s="260">
        <v>0</v>
      </c>
      <c r="AG20" s="114"/>
      <c r="AH20" s="260"/>
      <c r="AI20" s="114"/>
      <c r="AJ20" s="260">
        <v>0</v>
      </c>
      <c r="AL20" s="260">
        <v>0</v>
      </c>
    </row>
    <row r="21" spans="1:38">
      <c r="A21" s="397">
        <v>9</v>
      </c>
      <c r="B21" s="114"/>
      <c r="C21" s="114" t="s">
        <v>188</v>
      </c>
      <c r="D21" s="114"/>
      <c r="E21" s="114"/>
      <c r="H21" s="403">
        <v>0</v>
      </c>
      <c r="I21" s="114"/>
      <c r="J21" s="260">
        <v>108441880</v>
      </c>
      <c r="K21" s="114"/>
      <c r="L21" s="260">
        <v>1618137747</v>
      </c>
      <c r="M21" s="114"/>
      <c r="N21" s="260">
        <v>0</v>
      </c>
      <c r="O21" s="114"/>
      <c r="P21" s="260">
        <v>0</v>
      </c>
      <c r="Q21" s="260">
        <v>0</v>
      </c>
      <c r="R21" s="260">
        <v>0</v>
      </c>
      <c r="S21" s="114"/>
      <c r="T21" s="260">
        <v>0</v>
      </c>
      <c r="U21" s="114"/>
      <c r="V21" s="260">
        <v>0</v>
      </c>
      <c r="W21" s="114"/>
      <c r="X21" s="260">
        <v>0</v>
      </c>
      <c r="Y21" s="114"/>
      <c r="Z21" s="260">
        <v>0</v>
      </c>
      <c r="AA21" s="114"/>
      <c r="AB21" s="260">
        <v>0</v>
      </c>
      <c r="AC21" s="114"/>
      <c r="AD21" s="260">
        <v>0</v>
      </c>
      <c r="AE21" s="114"/>
      <c r="AF21" s="260">
        <v>0</v>
      </c>
      <c r="AG21" s="114"/>
      <c r="AH21" s="260"/>
      <c r="AI21" s="114"/>
      <c r="AJ21" s="260">
        <v>0</v>
      </c>
      <c r="AL21" s="260">
        <v>0</v>
      </c>
    </row>
    <row r="22" spans="1:38">
      <c r="A22" s="397">
        <v>10</v>
      </c>
      <c r="B22" s="114"/>
      <c r="C22" s="114"/>
      <c r="D22" s="404" t="s">
        <v>226</v>
      </c>
      <c r="E22" s="114"/>
      <c r="H22" s="405">
        <f>SUM(H16:H21)</f>
        <v>215771155</v>
      </c>
      <c r="I22" s="114"/>
      <c r="J22" s="405">
        <f>SUM(J16:J21)</f>
        <v>129863531</v>
      </c>
      <c r="K22" s="114"/>
      <c r="L22" s="405">
        <f>SUM(L16:L21)</f>
        <v>1618920582</v>
      </c>
      <c r="M22" s="114"/>
      <c r="N22" s="405">
        <f>SUM(N16:N21)</f>
        <v>31937554</v>
      </c>
      <c r="O22" s="114"/>
      <c r="P22" s="405">
        <f>SUM(P16:P21)</f>
        <v>46835606</v>
      </c>
      <c r="Q22" s="405">
        <f>SUM(Q16:Q21)</f>
        <v>4619554</v>
      </c>
      <c r="R22" s="405">
        <f>SUM(R16:R21)</f>
        <v>165932928</v>
      </c>
      <c r="S22" s="114"/>
      <c r="T22" s="405">
        <f>SUM(T16:T21)</f>
        <v>10090933</v>
      </c>
      <c r="U22" s="114"/>
      <c r="V22" s="405">
        <f>SUM(V16:V21)</f>
        <v>4189231</v>
      </c>
      <c r="W22" s="114"/>
      <c r="X22" s="405">
        <f>SUM(X16:X21)</f>
        <v>15213927</v>
      </c>
      <c r="Y22" s="114"/>
      <c r="Z22" s="405">
        <f>SUM(Z16:Z21)</f>
        <v>2974789</v>
      </c>
      <c r="AA22" s="114"/>
      <c r="AB22" s="405">
        <f>SUM(AB16:AB21)</f>
        <v>69018237</v>
      </c>
      <c r="AC22" s="114"/>
      <c r="AD22" s="405">
        <f>SUM(AD16:AD21)</f>
        <v>357668</v>
      </c>
      <c r="AE22" s="114"/>
      <c r="AF22" s="405">
        <f>SUM(AF16:AF21)</f>
        <v>1115342</v>
      </c>
      <c r="AG22" s="114"/>
      <c r="AH22" s="405">
        <f>SUM(AH16:AH21)</f>
        <v>0</v>
      </c>
      <c r="AI22" s="114"/>
      <c r="AJ22" s="405">
        <f>SUM(AJ16:AJ21)</f>
        <v>413733</v>
      </c>
      <c r="AL22" s="405">
        <f>SUM(AL16:AL21)</f>
        <v>2699235</v>
      </c>
    </row>
    <row r="23" spans="1:38">
      <c r="A23" s="397">
        <v>11</v>
      </c>
      <c r="B23" s="114"/>
      <c r="C23" s="114"/>
      <c r="D23" s="114"/>
      <c r="E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L23" s="114"/>
    </row>
    <row r="24" spans="1:38">
      <c r="A24" s="397">
        <v>12</v>
      </c>
      <c r="B24" s="114"/>
      <c r="C24" s="114" t="s">
        <v>421</v>
      </c>
      <c r="D24" s="114"/>
      <c r="E24" s="114"/>
      <c r="H24" s="260"/>
      <c r="I24" s="114"/>
      <c r="J24" s="260">
        <v>0</v>
      </c>
      <c r="K24" s="114"/>
      <c r="L24" s="260"/>
      <c r="M24" s="114"/>
      <c r="N24" s="260"/>
      <c r="O24" s="114"/>
      <c r="P24" s="260"/>
      <c r="Q24" s="260"/>
      <c r="R24" s="260">
        <v>0</v>
      </c>
      <c r="S24" s="114"/>
      <c r="T24" s="260"/>
      <c r="U24" s="114"/>
      <c r="V24" s="260"/>
      <c r="W24" s="114"/>
      <c r="X24" s="260"/>
      <c r="Y24" s="114"/>
      <c r="Z24" s="260"/>
      <c r="AA24" s="114"/>
      <c r="AB24" s="260"/>
      <c r="AC24" s="114"/>
      <c r="AD24" s="260"/>
      <c r="AE24" s="114"/>
      <c r="AF24" s="260"/>
      <c r="AG24" s="114"/>
      <c r="AH24" s="260"/>
      <c r="AI24" s="114"/>
      <c r="AJ24" s="260"/>
      <c r="AL24" s="260"/>
    </row>
    <row r="25" spans="1:38">
      <c r="A25" s="397">
        <v>13</v>
      </c>
      <c r="B25" s="114"/>
      <c r="C25" s="114" t="s">
        <v>568</v>
      </c>
      <c r="D25" s="114"/>
      <c r="E25" s="114"/>
      <c r="H25" s="260"/>
      <c r="I25" s="114"/>
      <c r="J25" s="260">
        <v>0</v>
      </c>
      <c r="K25" s="114"/>
      <c r="L25" s="260"/>
      <c r="M25" s="114"/>
      <c r="N25" s="260">
        <v>0</v>
      </c>
      <c r="O25" s="114"/>
      <c r="P25" s="260"/>
      <c r="Q25" s="260"/>
      <c r="R25" s="260">
        <v>0</v>
      </c>
      <c r="S25" s="114"/>
      <c r="T25" s="260"/>
      <c r="U25" s="114"/>
      <c r="V25" s="260"/>
      <c r="W25" s="114"/>
      <c r="X25" s="260"/>
      <c r="Y25" s="114"/>
      <c r="Z25" s="260"/>
      <c r="AA25" s="114"/>
      <c r="AB25" s="260"/>
      <c r="AC25" s="114"/>
      <c r="AD25" s="260"/>
      <c r="AE25" s="114"/>
      <c r="AF25" s="260"/>
      <c r="AG25" s="114"/>
      <c r="AH25" s="260"/>
      <c r="AI25" s="114"/>
      <c r="AJ25" s="260"/>
      <c r="AL25" s="260"/>
    </row>
    <row r="26" spans="1:38">
      <c r="A26" s="397">
        <v>14</v>
      </c>
      <c r="B26" s="114"/>
      <c r="C26" s="114" t="s">
        <v>569</v>
      </c>
      <c r="D26" s="114"/>
      <c r="E26" s="114"/>
      <c r="H26" s="260">
        <v>0</v>
      </c>
      <c r="I26" s="114"/>
      <c r="J26" s="260">
        <v>0</v>
      </c>
      <c r="K26" s="114"/>
      <c r="L26" s="260"/>
      <c r="M26" s="114"/>
      <c r="N26" s="260">
        <v>0</v>
      </c>
      <c r="O26" s="114"/>
      <c r="P26" s="260"/>
      <c r="Q26" s="260"/>
      <c r="R26" s="260">
        <v>0</v>
      </c>
      <c r="S26" s="114"/>
      <c r="T26" s="260"/>
      <c r="U26" s="114"/>
      <c r="V26" s="260"/>
      <c r="W26" s="114"/>
      <c r="X26" s="260"/>
      <c r="Y26" s="114"/>
      <c r="Z26" s="260"/>
      <c r="AA26" s="114"/>
      <c r="AB26" s="260"/>
      <c r="AC26" s="114"/>
      <c r="AD26" s="260"/>
      <c r="AE26" s="114"/>
      <c r="AF26" s="260"/>
      <c r="AG26" s="114"/>
      <c r="AH26" s="260"/>
      <c r="AI26" s="114"/>
      <c r="AJ26" s="260"/>
      <c r="AL26" s="260"/>
    </row>
    <row r="27" spans="1:38">
      <c r="A27" s="397">
        <v>15</v>
      </c>
      <c r="B27" s="114"/>
      <c r="C27" s="114" t="s">
        <v>189</v>
      </c>
      <c r="D27" s="114"/>
      <c r="E27" s="114"/>
      <c r="H27" s="260">
        <v>0</v>
      </c>
      <c r="I27" s="114"/>
      <c r="J27" s="406">
        <v>0</v>
      </c>
      <c r="K27" s="114"/>
      <c r="L27" s="406"/>
      <c r="M27" s="114"/>
      <c r="N27" s="406">
        <v>0</v>
      </c>
      <c r="O27" s="114"/>
      <c r="P27" s="406"/>
      <c r="Q27" s="406"/>
      <c r="R27" s="406">
        <v>0</v>
      </c>
      <c r="S27" s="114"/>
      <c r="T27" s="406"/>
      <c r="U27" s="114"/>
      <c r="V27" s="406"/>
      <c r="W27" s="114"/>
      <c r="X27" s="406"/>
      <c r="Y27" s="114"/>
      <c r="Z27" s="406"/>
      <c r="AA27" s="114"/>
      <c r="AB27" s="406"/>
      <c r="AC27" s="114"/>
      <c r="AD27" s="406"/>
      <c r="AE27" s="114"/>
      <c r="AF27" s="260"/>
      <c r="AG27" s="114"/>
      <c r="AH27" s="441"/>
      <c r="AI27" s="114"/>
      <c r="AJ27" s="406"/>
      <c r="AL27" s="406"/>
    </row>
    <row r="28" spans="1:38">
      <c r="A28" s="397">
        <v>16</v>
      </c>
      <c r="B28" s="114"/>
      <c r="C28" s="114"/>
      <c r="D28" s="407" t="s">
        <v>225</v>
      </c>
      <c r="E28" s="114"/>
      <c r="H28" s="405">
        <f>SUM(H24:H27)</f>
        <v>0</v>
      </c>
      <c r="I28" s="114"/>
      <c r="J28" s="405">
        <f>SUM(J24:J27)</f>
        <v>0</v>
      </c>
      <c r="K28" s="114"/>
      <c r="L28" s="405">
        <v>0</v>
      </c>
      <c r="M28" s="114"/>
      <c r="N28" s="405">
        <f>SUM(N24:N27)</f>
        <v>0</v>
      </c>
      <c r="O28" s="114"/>
      <c r="P28" s="405">
        <f>SUM(P24:P27)</f>
        <v>0</v>
      </c>
      <c r="Q28" s="405">
        <f>SUM(Q24:Q27)</f>
        <v>0</v>
      </c>
      <c r="R28" s="405">
        <f>SUM(R24:R27)</f>
        <v>0</v>
      </c>
      <c r="S28" s="114"/>
      <c r="T28" s="405">
        <v>0</v>
      </c>
      <c r="U28" s="114"/>
      <c r="V28" s="405">
        <v>0</v>
      </c>
      <c r="W28" s="114"/>
      <c r="X28" s="405">
        <v>0</v>
      </c>
      <c r="Y28" s="114"/>
      <c r="Z28" s="405"/>
      <c r="AA28" s="114"/>
      <c r="AB28" s="405"/>
      <c r="AC28" s="114"/>
      <c r="AD28" s="405">
        <v>0</v>
      </c>
      <c r="AE28" s="114"/>
      <c r="AF28" s="405">
        <v>0</v>
      </c>
      <c r="AG28" s="114"/>
      <c r="AH28" s="405">
        <f>SUM(AH24:AH27)</f>
        <v>0</v>
      </c>
      <c r="AI28" s="114"/>
      <c r="AJ28" s="405">
        <f>SUM(AJ24:AJ27)</f>
        <v>0</v>
      </c>
      <c r="AL28" s="405">
        <f>SUM(AL24:AL27)</f>
        <v>0</v>
      </c>
    </row>
    <row r="29" spans="1:38">
      <c r="A29" s="397">
        <v>17</v>
      </c>
      <c r="B29" s="114"/>
      <c r="C29" s="114"/>
      <c r="D29" s="407"/>
      <c r="E29" s="114"/>
      <c r="H29" s="114"/>
      <c r="I29" s="114"/>
      <c r="J29" s="114"/>
      <c r="K29" s="114"/>
      <c r="L29" s="114"/>
      <c r="M29" s="114"/>
      <c r="N29" s="114"/>
      <c r="O29" s="114"/>
      <c r="P29" s="114"/>
      <c r="Q29" s="114"/>
      <c r="R29" s="114"/>
      <c r="S29" s="114"/>
      <c r="T29" s="114"/>
      <c r="U29" s="114"/>
      <c r="V29" s="114"/>
      <c r="W29" s="114"/>
      <c r="X29" s="114"/>
      <c r="Y29" s="114"/>
      <c r="Z29" s="405"/>
      <c r="AA29" s="114"/>
      <c r="AB29" s="114"/>
      <c r="AC29" s="114"/>
      <c r="AD29" s="114"/>
      <c r="AE29" s="114"/>
      <c r="AF29" s="114"/>
      <c r="AG29" s="114"/>
      <c r="AH29" s="114"/>
      <c r="AI29" s="114"/>
      <c r="AJ29" s="114"/>
      <c r="AL29" s="114"/>
    </row>
    <row r="30" spans="1:38">
      <c r="A30" s="397">
        <v>18</v>
      </c>
      <c r="B30" s="114"/>
      <c r="C30" s="404" t="s">
        <v>2817</v>
      </c>
      <c r="D30" s="407"/>
      <c r="E30" s="114"/>
      <c r="H30" s="260">
        <v>13562113</v>
      </c>
      <c r="I30" s="114"/>
      <c r="J30" s="260"/>
      <c r="K30" s="114"/>
      <c r="L30" s="260"/>
      <c r="M30" s="114"/>
      <c r="N30" s="260"/>
      <c r="O30" s="114"/>
      <c r="P30" s="260"/>
      <c r="Q30" s="260"/>
      <c r="R30" s="260"/>
      <c r="S30" s="114"/>
      <c r="T30" s="260"/>
      <c r="U30" s="114"/>
      <c r="V30" s="260"/>
      <c r="W30" s="114"/>
      <c r="X30" s="260"/>
      <c r="Y30" s="114"/>
      <c r="Z30" s="260"/>
      <c r="AA30" s="114"/>
      <c r="AB30" s="260"/>
      <c r="AC30" s="114"/>
      <c r="AD30" s="260"/>
      <c r="AE30" s="114"/>
      <c r="AF30" s="260"/>
      <c r="AG30" s="114"/>
      <c r="AH30" s="260"/>
      <c r="AI30" s="114"/>
      <c r="AJ30" s="260"/>
      <c r="AL30" s="260"/>
    </row>
    <row r="31" spans="1:38">
      <c r="A31" s="397">
        <v>19</v>
      </c>
      <c r="B31" s="114"/>
      <c r="C31" s="114"/>
      <c r="D31" s="114"/>
      <c r="E31" s="114"/>
      <c r="H31" s="114"/>
      <c r="I31" s="114"/>
      <c r="J31" s="114"/>
      <c r="K31" s="114"/>
      <c r="L31" s="114"/>
      <c r="M31" s="114"/>
      <c r="N31" s="114"/>
      <c r="O31" s="114"/>
      <c r="P31" s="114"/>
      <c r="Q31" s="114"/>
      <c r="R31" s="114"/>
      <c r="S31" s="114"/>
      <c r="T31" s="114"/>
      <c r="U31" s="114"/>
      <c r="V31" s="114"/>
      <c r="W31" s="114"/>
      <c r="X31" s="114"/>
      <c r="Y31" s="114"/>
      <c r="Z31" s="405"/>
      <c r="AA31" s="114"/>
      <c r="AB31" s="114"/>
      <c r="AC31" s="114"/>
      <c r="AD31" s="114"/>
      <c r="AE31" s="114"/>
      <c r="AF31" s="114"/>
      <c r="AG31" s="114"/>
      <c r="AH31" s="114"/>
      <c r="AI31" s="114"/>
      <c r="AJ31" s="114"/>
      <c r="AL31" s="114"/>
    </row>
    <row r="32" spans="1:38">
      <c r="A32" s="397">
        <v>20</v>
      </c>
      <c r="B32" s="114"/>
      <c r="C32" s="114" t="s">
        <v>2979</v>
      </c>
      <c r="D32" s="114"/>
      <c r="E32" s="114"/>
      <c r="H32" s="260">
        <v>75964454</v>
      </c>
      <c r="I32" s="114"/>
      <c r="J32" s="260">
        <v>12878085</v>
      </c>
      <c r="K32" s="114"/>
      <c r="L32" s="260">
        <v>62441473</v>
      </c>
      <c r="M32" s="114"/>
      <c r="N32" s="260">
        <v>14797330</v>
      </c>
      <c r="O32" s="114"/>
      <c r="P32" s="260">
        <v>1798</v>
      </c>
      <c r="Q32" s="260">
        <v>60547</v>
      </c>
      <c r="R32" s="260">
        <v>43097826</v>
      </c>
      <c r="S32" s="114"/>
      <c r="T32" s="260">
        <v>1906666</v>
      </c>
      <c r="U32" s="114"/>
      <c r="V32" s="260">
        <v>184783</v>
      </c>
      <c r="W32" s="114"/>
      <c r="X32" s="260">
        <v>5514366</v>
      </c>
      <c r="Y32" s="114"/>
      <c r="Z32" s="408">
        <f>1475-1475</f>
        <v>0</v>
      </c>
      <c r="AA32" s="114"/>
      <c r="AB32" s="260"/>
      <c r="AC32" s="114"/>
      <c r="AD32" s="260">
        <v>152126</v>
      </c>
      <c r="AE32" s="114"/>
      <c r="AF32" s="260">
        <v>13780</v>
      </c>
      <c r="AG32" s="114"/>
      <c r="AH32" s="260"/>
      <c r="AI32" s="114"/>
      <c r="AJ32" s="260"/>
      <c r="AL32" s="260">
        <v>207365</v>
      </c>
    </row>
    <row r="33" spans="1:38">
      <c r="A33" s="397">
        <v>21</v>
      </c>
      <c r="B33" s="114"/>
      <c r="C33" s="114" t="s">
        <v>2978</v>
      </c>
      <c r="D33" s="114"/>
      <c r="E33" s="114"/>
      <c r="H33" s="260"/>
      <c r="I33" s="114"/>
      <c r="J33" s="260"/>
      <c r="K33" s="114"/>
      <c r="L33" s="260">
        <v>0</v>
      </c>
      <c r="M33" s="114"/>
      <c r="N33" s="260"/>
      <c r="O33" s="114"/>
      <c r="P33" s="260"/>
      <c r="Q33" s="260"/>
      <c r="R33" s="260"/>
      <c r="S33" s="114"/>
      <c r="T33" s="260"/>
      <c r="U33" s="114"/>
      <c r="V33" s="260"/>
      <c r="W33" s="114"/>
      <c r="X33" s="260"/>
      <c r="Y33" s="114"/>
      <c r="Z33" s="408"/>
      <c r="AA33" s="114"/>
      <c r="AB33" s="260"/>
      <c r="AC33" s="114"/>
      <c r="AD33" s="260"/>
      <c r="AE33" s="114"/>
      <c r="AF33" s="260"/>
      <c r="AG33" s="114"/>
      <c r="AH33" s="260"/>
      <c r="AI33" s="114"/>
      <c r="AJ33" s="260"/>
      <c r="AL33" s="260"/>
    </row>
    <row r="34" spans="1:38">
      <c r="A34" s="397">
        <v>22</v>
      </c>
      <c r="B34" s="114"/>
      <c r="C34" s="114" t="s">
        <v>182</v>
      </c>
      <c r="D34" s="114"/>
      <c r="E34" s="114"/>
      <c r="H34" s="260"/>
      <c r="I34" s="114"/>
      <c r="J34" s="260">
        <v>0</v>
      </c>
      <c r="K34" s="114"/>
      <c r="L34" s="260">
        <v>0</v>
      </c>
      <c r="M34" s="114"/>
      <c r="N34" s="260">
        <v>0</v>
      </c>
      <c r="O34" s="114"/>
      <c r="P34" s="260"/>
      <c r="Q34" s="260"/>
      <c r="R34" s="260">
        <v>0</v>
      </c>
      <c r="S34" s="114"/>
      <c r="T34" s="260"/>
      <c r="U34" s="114"/>
      <c r="V34" s="260"/>
      <c r="W34" s="114"/>
      <c r="X34" s="260"/>
      <c r="Y34" s="114"/>
      <c r="Z34" s="260"/>
      <c r="AA34" s="114"/>
      <c r="AB34" s="260"/>
      <c r="AC34" s="114"/>
      <c r="AD34" s="260"/>
      <c r="AE34" s="114"/>
      <c r="AF34" s="260"/>
      <c r="AG34" s="114"/>
      <c r="AH34" s="260"/>
      <c r="AI34" s="114"/>
      <c r="AJ34" s="260"/>
      <c r="AL34" s="260"/>
    </row>
    <row r="35" spans="1:38">
      <c r="A35" s="397">
        <v>23</v>
      </c>
      <c r="B35" s="114"/>
      <c r="C35" s="114" t="s">
        <v>2977</v>
      </c>
      <c r="D35" s="114"/>
      <c r="E35" s="114"/>
      <c r="H35" s="260"/>
      <c r="I35" s="114"/>
      <c r="J35" s="260">
        <v>9181977</v>
      </c>
      <c r="K35" s="114"/>
      <c r="L35" s="260">
        <v>0</v>
      </c>
      <c r="M35" s="114"/>
      <c r="N35" s="260"/>
      <c r="O35" s="114"/>
      <c r="P35" s="260"/>
      <c r="Q35" s="260"/>
      <c r="R35" s="260"/>
      <c r="S35" s="114"/>
      <c r="T35" s="260"/>
      <c r="U35" s="114"/>
      <c r="V35" s="260"/>
      <c r="W35" s="114"/>
      <c r="X35" s="260"/>
      <c r="Y35" s="114"/>
      <c r="Z35" s="260"/>
      <c r="AA35" s="114"/>
      <c r="AB35" s="260"/>
      <c r="AC35" s="114"/>
      <c r="AD35" s="260"/>
      <c r="AE35" s="114"/>
      <c r="AF35" s="260"/>
      <c r="AG35" s="114"/>
      <c r="AH35" s="260"/>
      <c r="AI35" s="114"/>
      <c r="AJ35" s="260"/>
      <c r="AL35" s="260"/>
    </row>
    <row r="36" spans="1:38">
      <c r="A36" s="397">
        <v>24</v>
      </c>
      <c r="B36" s="114"/>
      <c r="C36" s="114" t="s">
        <v>2980</v>
      </c>
      <c r="D36" s="114"/>
      <c r="E36" s="114"/>
      <c r="H36" s="260"/>
      <c r="I36" s="114"/>
      <c r="J36" s="260">
        <v>17828178</v>
      </c>
      <c r="K36" s="114"/>
      <c r="L36" s="260">
        <v>0</v>
      </c>
      <c r="M36" s="114"/>
      <c r="N36" s="260"/>
      <c r="O36" s="114"/>
      <c r="P36" s="260"/>
      <c r="Q36" s="260"/>
      <c r="R36" s="260"/>
      <c r="S36" s="114"/>
      <c r="T36" s="260"/>
      <c r="U36" s="114"/>
      <c r="V36" s="260"/>
      <c r="W36" s="114"/>
      <c r="X36" s="260"/>
      <c r="Y36" s="114"/>
      <c r="Z36" s="260"/>
      <c r="AA36" s="114"/>
      <c r="AB36" s="260"/>
      <c r="AC36" s="114"/>
      <c r="AD36" s="260"/>
      <c r="AE36" s="114"/>
      <c r="AF36" s="260"/>
      <c r="AG36" s="114"/>
      <c r="AH36" s="260"/>
      <c r="AI36" s="114"/>
      <c r="AJ36" s="260"/>
      <c r="AL36" s="260"/>
    </row>
    <row r="37" spans="1:38">
      <c r="A37" s="397">
        <v>25</v>
      </c>
      <c r="B37" s="114"/>
      <c r="C37" s="114" t="s">
        <v>183</v>
      </c>
      <c r="D37" s="114"/>
      <c r="E37" s="114"/>
      <c r="H37" s="260"/>
      <c r="I37" s="114"/>
      <c r="J37" s="260">
        <v>25517770</v>
      </c>
      <c r="K37" s="114"/>
      <c r="L37" s="260">
        <v>0</v>
      </c>
      <c r="M37" s="114"/>
      <c r="N37" s="260">
        <v>0</v>
      </c>
      <c r="O37" s="114"/>
      <c r="P37" s="260"/>
      <c r="Q37" s="260"/>
      <c r="R37" s="260">
        <v>0</v>
      </c>
      <c r="S37" s="114"/>
      <c r="T37" s="260">
        <v>928535</v>
      </c>
      <c r="U37" s="114"/>
      <c r="V37" s="260">
        <v>31020</v>
      </c>
      <c r="W37" s="114"/>
      <c r="X37" s="260">
        <v>22195</v>
      </c>
      <c r="Y37" s="114"/>
      <c r="Z37" s="260"/>
      <c r="AA37" s="114"/>
      <c r="AB37" s="260"/>
      <c r="AC37" s="114"/>
      <c r="AD37" s="260"/>
      <c r="AE37" s="114"/>
      <c r="AF37" s="260"/>
      <c r="AG37" s="114"/>
      <c r="AH37" s="260"/>
      <c r="AI37" s="114"/>
      <c r="AJ37" s="260"/>
      <c r="AL37" s="260"/>
    </row>
    <row r="38" spans="1:38">
      <c r="A38" s="397">
        <v>26</v>
      </c>
      <c r="B38" s="114"/>
      <c r="C38" s="114"/>
      <c r="D38" s="404" t="s">
        <v>227</v>
      </c>
      <c r="E38" s="114"/>
      <c r="H38" s="405">
        <f>SUM(H32:H37)</f>
        <v>75964454</v>
      </c>
      <c r="I38" s="114"/>
      <c r="J38" s="405">
        <f>SUM(J32:J37)</f>
        <v>65406010</v>
      </c>
      <c r="K38" s="114"/>
      <c r="L38" s="405">
        <f>SUM(L32:L37)</f>
        <v>62441473</v>
      </c>
      <c r="M38" s="114"/>
      <c r="N38" s="405">
        <f>SUM(N32:N37)</f>
        <v>14797330</v>
      </c>
      <c r="O38" s="114"/>
      <c r="P38" s="405">
        <f>SUM(P32:P37)</f>
        <v>1798</v>
      </c>
      <c r="Q38" s="405">
        <f>SUM(Q32:Q37)</f>
        <v>60547</v>
      </c>
      <c r="R38" s="405">
        <f>SUM(R32:R37)</f>
        <v>43097826</v>
      </c>
      <c r="S38" s="114"/>
      <c r="T38" s="405">
        <f>SUM(T32:T37)</f>
        <v>2835201</v>
      </c>
      <c r="U38" s="114"/>
      <c r="V38" s="405">
        <f>SUM(V32:V37)</f>
        <v>215803</v>
      </c>
      <c r="W38" s="114"/>
      <c r="X38" s="405">
        <f>SUM(X32:X37)</f>
        <v>5536561</v>
      </c>
      <c r="Y38" s="114"/>
      <c r="Z38" s="405">
        <f>SUM(Z32:Z37)</f>
        <v>0</v>
      </c>
      <c r="AA38" s="114"/>
      <c r="AB38" s="405">
        <f>SUM(AB32:AB37)</f>
        <v>0</v>
      </c>
      <c r="AC38" s="114"/>
      <c r="AD38" s="405">
        <f>SUM(AD32:AD37)</f>
        <v>152126</v>
      </c>
      <c r="AE38" s="114"/>
      <c r="AF38" s="405">
        <f>SUM(AF32:AF37)</f>
        <v>13780</v>
      </c>
      <c r="AG38" s="114"/>
      <c r="AH38" s="405">
        <f>SUM(AH32:AH37)</f>
        <v>0</v>
      </c>
      <c r="AI38" s="114"/>
      <c r="AJ38" s="405">
        <v>0</v>
      </c>
      <c r="AL38" s="405">
        <f>SUM(AL32:AL37)</f>
        <v>207365</v>
      </c>
    </row>
    <row r="39" spans="1:38">
      <c r="A39" s="397">
        <v>27</v>
      </c>
      <c r="B39" s="114"/>
      <c r="C39" s="114"/>
      <c r="D39" s="114"/>
      <c r="E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L39" s="114"/>
    </row>
    <row r="40" spans="1:38">
      <c r="A40" s="397">
        <v>28</v>
      </c>
      <c r="B40" s="114"/>
      <c r="C40" s="114" t="s">
        <v>575</v>
      </c>
      <c r="D40" s="114"/>
      <c r="E40" s="114"/>
      <c r="H40" s="260">
        <v>324333</v>
      </c>
      <c r="I40" s="114"/>
      <c r="J40" s="260"/>
      <c r="K40" s="114"/>
      <c r="L40" s="260">
        <v>2342194</v>
      </c>
      <c r="M40" s="114"/>
      <c r="N40" s="260">
        <v>0</v>
      </c>
      <c r="O40" s="114"/>
      <c r="P40" s="260">
        <v>0</v>
      </c>
      <c r="Q40" s="260">
        <v>0</v>
      </c>
      <c r="R40" s="260">
        <v>0</v>
      </c>
      <c r="S40" s="114"/>
      <c r="T40" s="260"/>
      <c r="U40" s="114"/>
      <c r="V40" s="260">
        <v>200000</v>
      </c>
      <c r="W40" s="114"/>
      <c r="X40" s="260">
        <v>25754</v>
      </c>
      <c r="Y40" s="114"/>
      <c r="Z40" s="260"/>
      <c r="AA40" s="114"/>
      <c r="AB40" s="260"/>
      <c r="AC40" s="114"/>
      <c r="AD40" s="260"/>
      <c r="AE40" s="114"/>
      <c r="AF40" s="260">
        <v>0</v>
      </c>
      <c r="AG40" s="114"/>
      <c r="AH40" s="260"/>
      <c r="AI40" s="114"/>
      <c r="AJ40" s="260"/>
      <c r="AL40" s="260"/>
    </row>
    <row r="41" spans="1:38">
      <c r="A41" s="397">
        <v>29</v>
      </c>
      <c r="B41" s="114"/>
      <c r="C41" s="114" t="s">
        <v>179</v>
      </c>
      <c r="D41" s="114"/>
      <c r="E41" s="114"/>
      <c r="H41" s="260"/>
      <c r="I41" s="114"/>
      <c r="J41" s="260">
        <v>0</v>
      </c>
      <c r="K41" s="114"/>
      <c r="L41" s="260">
        <v>2266306</v>
      </c>
      <c r="M41" s="114"/>
      <c r="N41" s="260">
        <v>0</v>
      </c>
      <c r="O41" s="114"/>
      <c r="P41" s="260"/>
      <c r="Q41" s="260"/>
      <c r="R41" s="260">
        <v>0</v>
      </c>
      <c r="S41" s="114"/>
      <c r="T41" s="260">
        <v>609128</v>
      </c>
      <c r="U41" s="114"/>
      <c r="V41" s="260">
        <v>20</v>
      </c>
      <c r="W41" s="114"/>
      <c r="X41" s="260">
        <v>1965759</v>
      </c>
      <c r="Y41" s="114"/>
      <c r="Z41" s="260"/>
      <c r="AA41" s="114"/>
      <c r="AB41" s="260"/>
      <c r="AC41" s="114"/>
      <c r="AD41" s="260"/>
      <c r="AE41" s="114"/>
      <c r="AF41" s="260"/>
      <c r="AG41" s="114"/>
      <c r="AH41" s="260"/>
      <c r="AI41" s="114"/>
      <c r="AJ41" s="260"/>
      <c r="AL41" s="260">
        <v>85486</v>
      </c>
    </row>
    <row r="42" spans="1:38">
      <c r="A42" s="397">
        <v>30</v>
      </c>
      <c r="B42" s="114"/>
      <c r="C42" s="404"/>
      <c r="D42" s="404" t="s">
        <v>913</v>
      </c>
      <c r="E42" s="114"/>
      <c r="H42" s="114">
        <f>SUM(H40:H41)</f>
        <v>324333</v>
      </c>
      <c r="I42" s="114"/>
      <c r="J42" s="114">
        <f>SUM(J40:J41)</f>
        <v>0</v>
      </c>
      <c r="K42" s="114"/>
      <c r="L42" s="114">
        <f>SUM(L40:L41)</f>
        <v>4608500</v>
      </c>
      <c r="M42" s="114"/>
      <c r="N42" s="114">
        <f>SUM(N40:N41)</f>
        <v>0</v>
      </c>
      <c r="O42" s="114"/>
      <c r="P42" s="114">
        <f>SUM(P40:P41)</f>
        <v>0</v>
      </c>
      <c r="Q42" s="114">
        <f>SUM(Q40:Q41)</f>
        <v>0</v>
      </c>
      <c r="R42" s="114">
        <f>SUM(R40:R41)</f>
        <v>0</v>
      </c>
      <c r="S42" s="114"/>
      <c r="T42" s="114">
        <f>SUM(T40:T41)</f>
        <v>609128</v>
      </c>
      <c r="U42" s="114"/>
      <c r="V42" s="114">
        <f>SUM(V40:V41)</f>
        <v>200020</v>
      </c>
      <c r="W42" s="114"/>
      <c r="X42" s="114">
        <f>SUM(X40:X41)</f>
        <v>1991513</v>
      </c>
      <c r="Y42" s="114"/>
      <c r="Z42" s="114">
        <f>SUM(Z40:Z41)</f>
        <v>0</v>
      </c>
      <c r="AA42" s="114"/>
      <c r="AB42" s="114">
        <f>SUM(AB40:AB41)</f>
        <v>0</v>
      </c>
      <c r="AC42" s="114"/>
      <c r="AD42" s="114">
        <f>SUM(AD40:AD41)</f>
        <v>0</v>
      </c>
      <c r="AE42" s="114"/>
      <c r="AF42" s="114">
        <f>SUM(AF40:AF41)</f>
        <v>0</v>
      </c>
      <c r="AG42" s="114"/>
      <c r="AH42" s="114">
        <f>SUM(AH40:AH41)</f>
        <v>0</v>
      </c>
      <c r="AI42" s="114"/>
      <c r="AJ42" s="114">
        <f>SUM(AJ40:AJ41)</f>
        <v>0</v>
      </c>
      <c r="AL42" s="114">
        <f>SUM(AL40:AL41)</f>
        <v>85486</v>
      </c>
    </row>
    <row r="43" spans="1:38">
      <c r="A43" s="397">
        <v>31</v>
      </c>
      <c r="B43" s="114"/>
      <c r="C43" s="404" t="s">
        <v>586</v>
      </c>
      <c r="D43" s="114"/>
      <c r="E43" s="114"/>
      <c r="H43" s="260"/>
      <c r="I43" s="114"/>
      <c r="J43" s="260"/>
      <c r="K43" s="114"/>
      <c r="L43" s="260"/>
      <c r="M43" s="114"/>
      <c r="N43" s="260">
        <v>0</v>
      </c>
      <c r="O43" s="114"/>
      <c r="P43" s="260">
        <v>0</v>
      </c>
      <c r="Q43" s="260">
        <v>0</v>
      </c>
      <c r="R43" s="260">
        <v>0</v>
      </c>
      <c r="S43" s="114"/>
      <c r="T43" s="260"/>
      <c r="U43" s="114"/>
      <c r="V43" s="260"/>
      <c r="W43" s="114"/>
      <c r="X43" s="260"/>
      <c r="Y43" s="114"/>
      <c r="Z43" s="260"/>
      <c r="AA43" s="114"/>
      <c r="AB43" s="260"/>
      <c r="AC43" s="114"/>
      <c r="AD43" s="260"/>
      <c r="AE43" s="114"/>
      <c r="AF43" s="260"/>
      <c r="AG43" s="114"/>
      <c r="AH43" s="260"/>
      <c r="AI43" s="114"/>
      <c r="AJ43" s="260"/>
      <c r="AL43" s="260"/>
    </row>
    <row r="44" spans="1:38">
      <c r="A44" s="397">
        <v>32</v>
      </c>
      <c r="B44" s="114"/>
      <c r="C44" s="404" t="s">
        <v>587</v>
      </c>
      <c r="D44" s="114"/>
      <c r="E44" s="114"/>
      <c r="H44" s="260">
        <v>201340</v>
      </c>
      <c r="I44" s="114"/>
      <c r="J44" s="260"/>
      <c r="K44" s="114"/>
      <c r="L44" s="260"/>
      <c r="M44" s="114"/>
      <c r="N44" s="260">
        <v>103860816</v>
      </c>
      <c r="O44" s="114"/>
      <c r="P44" s="260">
        <v>0</v>
      </c>
      <c r="Q44" s="260">
        <v>0</v>
      </c>
      <c r="R44" s="260">
        <v>0</v>
      </c>
      <c r="S44" s="114"/>
      <c r="T44" s="260">
        <v>7744907</v>
      </c>
      <c r="U44" s="114"/>
      <c r="V44" s="260">
        <v>56905</v>
      </c>
      <c r="W44" s="114"/>
      <c r="X44" s="260"/>
      <c r="Y44" s="114"/>
      <c r="Z44" s="260"/>
      <c r="AA44" s="114"/>
      <c r="AB44" s="260"/>
      <c r="AC44" s="114"/>
      <c r="AD44" s="260">
        <v>317281</v>
      </c>
      <c r="AE44" s="114"/>
      <c r="AF44" s="260">
        <v>56099</v>
      </c>
      <c r="AG44" s="114"/>
      <c r="AH44" s="260"/>
      <c r="AI44" s="114"/>
      <c r="AJ44" s="260"/>
      <c r="AL44" s="260"/>
    </row>
    <row r="45" spans="1:38">
      <c r="A45" s="397">
        <v>33</v>
      </c>
      <c r="B45" s="114"/>
      <c r="C45" s="404" t="s">
        <v>588</v>
      </c>
      <c r="D45" s="114"/>
      <c r="E45" s="114"/>
      <c r="H45" s="260">
        <v>588653</v>
      </c>
      <c r="I45" s="114"/>
      <c r="J45" s="260">
        <v>3497096</v>
      </c>
      <c r="K45" s="114"/>
      <c r="L45" s="260"/>
      <c r="M45" s="114"/>
      <c r="N45" s="260">
        <v>1289233</v>
      </c>
      <c r="O45" s="114"/>
      <c r="P45" s="260">
        <v>105589</v>
      </c>
      <c r="Q45" s="260">
        <v>10</v>
      </c>
      <c r="R45" s="260">
        <v>0</v>
      </c>
      <c r="S45" s="114"/>
      <c r="T45" s="260"/>
      <c r="U45" s="114"/>
      <c r="V45" s="260"/>
      <c r="W45" s="114"/>
      <c r="X45" s="260"/>
      <c r="Y45" s="114"/>
      <c r="Z45" s="260"/>
      <c r="AA45" s="114"/>
      <c r="AB45" s="260"/>
      <c r="AC45" s="114"/>
      <c r="AD45" s="260"/>
      <c r="AE45" s="114"/>
      <c r="AF45" s="260">
        <v>0</v>
      </c>
      <c r="AG45" s="114"/>
      <c r="AH45" s="260"/>
      <c r="AI45" s="114"/>
      <c r="AJ45" s="260"/>
      <c r="AL45" s="260"/>
    </row>
    <row r="46" spans="1:38">
      <c r="A46" s="397">
        <v>34</v>
      </c>
      <c r="B46" s="114"/>
      <c r="C46" s="114"/>
      <c r="D46" s="114"/>
      <c r="E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L46" s="114"/>
    </row>
    <row r="47" spans="1:38">
      <c r="A47" s="397">
        <v>35</v>
      </c>
      <c r="B47" s="114"/>
      <c r="C47" s="114" t="s">
        <v>589</v>
      </c>
      <c r="D47" s="404"/>
      <c r="E47" s="114"/>
      <c r="H47" s="260">
        <v>1065</v>
      </c>
      <c r="I47" s="114"/>
      <c r="J47" s="260"/>
      <c r="K47" s="114"/>
      <c r="L47" s="260"/>
      <c r="M47" s="114"/>
      <c r="N47" s="260">
        <v>423550</v>
      </c>
      <c r="O47" s="114"/>
      <c r="P47" s="260"/>
      <c r="Q47" s="260"/>
      <c r="R47" s="260">
        <v>0</v>
      </c>
      <c r="S47" s="114"/>
      <c r="T47" s="260"/>
      <c r="U47" s="114"/>
      <c r="V47" s="260"/>
      <c r="W47" s="114"/>
      <c r="X47" s="260"/>
      <c r="Y47" s="114"/>
      <c r="Z47" s="260"/>
      <c r="AA47" s="114"/>
      <c r="AB47" s="260"/>
      <c r="AC47" s="114"/>
      <c r="AD47" s="260">
        <v>5500</v>
      </c>
      <c r="AE47" s="114"/>
      <c r="AF47" s="260"/>
      <c r="AG47" s="114"/>
      <c r="AH47" s="260"/>
      <c r="AI47" s="114"/>
      <c r="AJ47" s="260"/>
      <c r="AL47" s="260"/>
    </row>
    <row r="48" spans="1:38">
      <c r="A48" s="397">
        <v>36</v>
      </c>
      <c r="B48" s="114"/>
      <c r="C48" s="114" t="s">
        <v>570</v>
      </c>
      <c r="D48" s="404"/>
      <c r="E48" s="114"/>
      <c r="H48" s="260"/>
      <c r="I48" s="114"/>
      <c r="J48" s="260"/>
      <c r="K48" s="114"/>
      <c r="L48" s="260"/>
      <c r="M48" s="114"/>
      <c r="N48" s="260"/>
      <c r="O48" s="114"/>
      <c r="P48" s="260"/>
      <c r="Q48" s="260"/>
      <c r="R48" s="260">
        <v>0</v>
      </c>
      <c r="S48" s="114"/>
      <c r="T48" s="260"/>
      <c r="U48" s="114"/>
      <c r="V48" s="260"/>
      <c r="W48" s="114"/>
      <c r="X48" s="260"/>
      <c r="Y48" s="114"/>
      <c r="Z48" s="260"/>
      <c r="AA48" s="114"/>
      <c r="AB48" s="260"/>
      <c r="AC48" s="114"/>
      <c r="AD48" s="260"/>
      <c r="AE48" s="114"/>
      <c r="AF48" s="260"/>
      <c r="AG48" s="114"/>
      <c r="AH48" s="260"/>
      <c r="AI48" s="114"/>
      <c r="AJ48" s="260"/>
      <c r="AL48" s="260"/>
    </row>
    <row r="49" spans="1:38">
      <c r="A49" s="397">
        <v>37</v>
      </c>
      <c r="B49" s="114"/>
      <c r="C49" s="114" t="s">
        <v>591</v>
      </c>
      <c r="D49" s="114"/>
      <c r="E49" s="114"/>
      <c r="H49" s="260"/>
      <c r="I49" s="114"/>
      <c r="J49" s="260"/>
      <c r="K49" s="114"/>
      <c r="L49" s="260"/>
      <c r="M49" s="114"/>
      <c r="N49" s="260"/>
      <c r="O49" s="114"/>
      <c r="P49" s="260"/>
      <c r="Q49" s="260"/>
      <c r="R49" s="260">
        <v>0</v>
      </c>
      <c r="S49" s="114"/>
      <c r="T49" s="260"/>
      <c r="U49" s="114"/>
      <c r="V49" s="260"/>
      <c r="W49" s="114"/>
      <c r="X49" s="260"/>
      <c r="Y49" s="114"/>
      <c r="Z49" s="260"/>
      <c r="AA49" s="114"/>
      <c r="AB49" s="260"/>
      <c r="AC49" s="114"/>
      <c r="AD49" s="260"/>
      <c r="AE49" s="114"/>
      <c r="AF49" s="260"/>
      <c r="AG49" s="114"/>
      <c r="AH49" s="260"/>
      <c r="AI49" s="114"/>
      <c r="AJ49" s="260"/>
      <c r="AL49" s="260"/>
    </row>
    <row r="50" spans="1:38">
      <c r="A50" s="397">
        <v>38</v>
      </c>
      <c r="B50" s="114"/>
      <c r="C50" s="114" t="s">
        <v>590</v>
      </c>
      <c r="D50" s="114"/>
      <c r="E50" s="114"/>
      <c r="H50" s="406"/>
      <c r="I50" s="114"/>
      <c r="J50" s="406">
        <v>0</v>
      </c>
      <c r="K50" s="114"/>
      <c r="L50" s="406"/>
      <c r="M50" s="114"/>
      <c r="N50" s="406"/>
      <c r="O50" s="114"/>
      <c r="P50" s="406"/>
      <c r="Q50" s="406">
        <v>28545</v>
      </c>
      <c r="R50" s="406">
        <v>0</v>
      </c>
      <c r="S50" s="114"/>
      <c r="T50" s="406"/>
      <c r="U50" s="114"/>
      <c r="V50" s="406"/>
      <c r="W50" s="114"/>
      <c r="X50" s="406"/>
      <c r="Y50" s="114"/>
      <c r="Z50" s="406"/>
      <c r="AA50" s="114"/>
      <c r="AB50" s="406"/>
      <c r="AC50" s="114"/>
      <c r="AD50" s="406"/>
      <c r="AE50" s="114"/>
      <c r="AF50" s="260">
        <v>0</v>
      </c>
      <c r="AG50" s="114"/>
      <c r="AH50" s="260"/>
      <c r="AI50" s="114"/>
      <c r="AJ50" s="406"/>
      <c r="AL50" s="406"/>
    </row>
    <row r="51" spans="1:38">
      <c r="A51" s="397">
        <v>39</v>
      </c>
      <c r="B51" s="114"/>
      <c r="C51" s="114"/>
      <c r="D51" s="404" t="s">
        <v>234</v>
      </c>
      <c r="E51" s="114"/>
      <c r="H51" s="405">
        <f>SUM(H47:H50)</f>
        <v>1065</v>
      </c>
      <c r="I51" s="114"/>
      <c r="J51" s="405">
        <f>SUM(J47:J50)</f>
        <v>0</v>
      </c>
      <c r="K51" s="114"/>
      <c r="L51" s="405">
        <v>0</v>
      </c>
      <c r="M51" s="114"/>
      <c r="N51" s="405">
        <f>SUM(N47:N50)</f>
        <v>423550</v>
      </c>
      <c r="O51" s="114"/>
      <c r="P51" s="405">
        <v>0</v>
      </c>
      <c r="Q51" s="405">
        <f>SUM(Q47:Q50)</f>
        <v>28545</v>
      </c>
      <c r="R51" s="405">
        <v>0</v>
      </c>
      <c r="S51" s="114"/>
      <c r="T51" s="405">
        <f>SUM(T47:T50)</f>
        <v>0</v>
      </c>
      <c r="U51" s="114"/>
      <c r="V51" s="405">
        <f>SUM(V47:V50)</f>
        <v>0</v>
      </c>
      <c r="W51" s="114"/>
      <c r="X51" s="405">
        <f>SUM(X47:X50)</f>
        <v>0</v>
      </c>
      <c r="Y51" s="114"/>
      <c r="Z51" s="405">
        <f>SUM(Z47:Z50)</f>
        <v>0</v>
      </c>
      <c r="AA51" s="114"/>
      <c r="AB51" s="405">
        <v>0</v>
      </c>
      <c r="AC51" s="114"/>
      <c r="AD51" s="405">
        <f>SUM(AD47:AD50)</f>
        <v>5500</v>
      </c>
      <c r="AE51" s="114"/>
      <c r="AF51" s="405">
        <f>SUM(AF47:AF50)</f>
        <v>0</v>
      </c>
      <c r="AG51" s="114"/>
      <c r="AH51" s="405">
        <f>SUM(AH47:AH50)</f>
        <v>0</v>
      </c>
      <c r="AI51" s="114"/>
      <c r="AJ51" s="405">
        <v>0</v>
      </c>
      <c r="AL51" s="405">
        <v>0</v>
      </c>
    </row>
    <row r="52" spans="1:38">
      <c r="A52" s="397">
        <v>40</v>
      </c>
      <c r="B52" s="114"/>
      <c r="C52" s="114"/>
      <c r="D52" s="404"/>
      <c r="E52" s="114"/>
      <c r="H52" s="114"/>
      <c r="I52" s="114"/>
      <c r="J52" s="114"/>
      <c r="K52" s="114"/>
      <c r="L52" s="114"/>
      <c r="M52" s="114"/>
      <c r="N52" s="114"/>
      <c r="O52" s="114"/>
      <c r="P52" s="114"/>
      <c r="Q52" s="114"/>
      <c r="R52" s="114"/>
      <c r="S52" s="114"/>
      <c r="T52" s="114"/>
      <c r="U52" s="114"/>
      <c r="V52" s="114"/>
      <c r="W52" s="114"/>
      <c r="X52" s="114"/>
      <c r="Y52" s="114"/>
      <c r="Z52" s="209"/>
      <c r="AA52" s="114"/>
      <c r="AB52" s="114"/>
      <c r="AC52" s="114"/>
      <c r="AD52" s="114"/>
      <c r="AE52" s="114"/>
      <c r="AF52" s="114"/>
      <c r="AG52" s="114"/>
      <c r="AH52" s="114"/>
      <c r="AI52" s="114"/>
      <c r="AJ52" s="114"/>
      <c r="AL52" s="114"/>
    </row>
    <row r="53" spans="1:38">
      <c r="A53" s="397">
        <v>41</v>
      </c>
      <c r="B53" s="114"/>
      <c r="C53" s="114"/>
      <c r="D53" s="114"/>
      <c r="E53" s="404" t="s">
        <v>592</v>
      </c>
      <c r="H53" s="405">
        <f>SUM(H22,H28,H30,H38,H42:H45,H51)</f>
        <v>306413113</v>
      </c>
      <c r="I53" s="114"/>
      <c r="J53" s="405">
        <f>SUM(J22,J28,J38,J42:J45,J51)</f>
        <v>198766637</v>
      </c>
      <c r="K53" s="114"/>
      <c r="L53" s="405">
        <f>SUM(L22,L28,L38,L42:L45,L51)</f>
        <v>1685970555</v>
      </c>
      <c r="M53" s="114"/>
      <c r="N53" s="405">
        <f>SUM(N22,N28,N38,N42:N45,N51)</f>
        <v>152308483</v>
      </c>
      <c r="O53" s="114"/>
      <c r="P53" s="405">
        <f>SUM(P22,P28,P38,P42:P45,P51)</f>
        <v>46942993</v>
      </c>
      <c r="Q53" s="405">
        <f>SUM(Q22,Q28,Q38,Q42:Q45,Q51)</f>
        <v>4708656</v>
      </c>
      <c r="R53" s="405">
        <f>SUM(R22,R28,R38,R42:R45,R51)</f>
        <v>209030754</v>
      </c>
      <c r="S53" s="114"/>
      <c r="T53" s="405">
        <f>SUM(T22,T28,T38,T42:T45,T51)</f>
        <v>21280169</v>
      </c>
      <c r="U53" s="114"/>
      <c r="V53" s="405">
        <f>SUM(V22,V28,V38,V42:V45,V51)</f>
        <v>4661959</v>
      </c>
      <c r="W53" s="114"/>
      <c r="X53" s="405">
        <f>SUM(X22,X28,X38,X42:X45,X51)</f>
        <v>22742001</v>
      </c>
      <c r="Y53" s="114"/>
      <c r="Z53" s="405">
        <f>SUM(Z22,Z28,Z38,Z42:Z45,Z51)</f>
        <v>2974789</v>
      </c>
      <c r="AA53" s="114"/>
      <c r="AB53" s="405">
        <f>SUM(AB22,AB28,AB38,AB42:AB45,AB51)</f>
        <v>69018237</v>
      </c>
      <c r="AC53" s="114"/>
      <c r="AD53" s="405">
        <f>SUM(AD22,AD28,AD38,AD42:AD45,AD51)</f>
        <v>832575</v>
      </c>
      <c r="AE53" s="114"/>
      <c r="AF53" s="405">
        <f>SUM(AF22,AF28,AF38,AF42:AF45,AF51)</f>
        <v>1185221</v>
      </c>
      <c r="AG53" s="114"/>
      <c r="AH53" s="405">
        <f>SUM(AH22,AH28,AH38,AH42:AH45,AH51)</f>
        <v>0</v>
      </c>
      <c r="AI53" s="114"/>
      <c r="AJ53" s="405">
        <f>SUM(AJ22,AJ28,AJ38,AJ42:AJ45,AJ51)</f>
        <v>413733</v>
      </c>
      <c r="AL53" s="405">
        <f>SUM(AL22,AL28,AL38,AL42:AL45,AL51)</f>
        <v>2992086</v>
      </c>
    </row>
    <row r="54" spans="1:38">
      <c r="A54" s="397">
        <v>42</v>
      </c>
      <c r="B54" s="114"/>
      <c r="C54" s="114"/>
      <c r="D54" s="114"/>
      <c r="E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L54" s="114"/>
    </row>
    <row r="55" spans="1:38">
      <c r="A55" s="397">
        <v>43</v>
      </c>
      <c r="B55" s="114" t="s">
        <v>266</v>
      </c>
      <c r="C55" s="114"/>
      <c r="D55" s="114"/>
      <c r="E55" s="114"/>
      <c r="H55" s="114"/>
      <c r="I55" s="114"/>
      <c r="J55" s="114"/>
      <c r="K55" s="114"/>
      <c r="L55" s="400"/>
      <c r="M55" s="114"/>
      <c r="N55" s="114"/>
      <c r="O55" s="114"/>
      <c r="P55" s="400"/>
      <c r="Q55" s="400"/>
      <c r="R55" s="114"/>
      <c r="S55" s="114"/>
      <c r="T55" s="114"/>
      <c r="U55" s="114"/>
      <c r="V55" s="114"/>
      <c r="W55" s="114"/>
      <c r="X55" s="114"/>
      <c r="Y55" s="114"/>
      <c r="Z55" s="114"/>
      <c r="AA55" s="114"/>
      <c r="AB55" s="114"/>
      <c r="AC55" s="114"/>
      <c r="AD55" s="114"/>
      <c r="AE55" s="114"/>
      <c r="AF55" s="114"/>
      <c r="AG55" s="114"/>
      <c r="AH55" s="114"/>
      <c r="AI55" s="114"/>
      <c r="AJ55" s="114"/>
      <c r="AL55" s="114"/>
    </row>
    <row r="56" spans="1:38">
      <c r="A56" s="397">
        <v>44</v>
      </c>
      <c r="B56" s="114"/>
      <c r="C56" s="114" t="s">
        <v>568</v>
      </c>
      <c r="D56" s="114"/>
      <c r="E56" s="114"/>
      <c r="H56" s="260"/>
      <c r="I56" s="114"/>
      <c r="J56" s="260"/>
      <c r="K56" s="114"/>
      <c r="L56" s="260"/>
      <c r="M56" s="114"/>
      <c r="N56" s="260"/>
      <c r="O56" s="114"/>
      <c r="P56" s="260"/>
      <c r="Q56" s="260"/>
      <c r="R56" s="260">
        <v>0</v>
      </c>
      <c r="S56" s="114"/>
      <c r="T56" s="260"/>
      <c r="U56" s="114"/>
      <c r="V56" s="260"/>
      <c r="W56" s="114"/>
      <c r="X56" s="260"/>
      <c r="Y56" s="114"/>
      <c r="Z56" s="260">
        <v>0</v>
      </c>
      <c r="AA56" s="114"/>
      <c r="AB56" s="260"/>
      <c r="AC56" s="114"/>
      <c r="AD56" s="260"/>
      <c r="AE56" s="114"/>
      <c r="AF56" s="260"/>
      <c r="AG56" s="114"/>
      <c r="AH56" s="260"/>
      <c r="AI56" s="114"/>
      <c r="AJ56" s="260"/>
      <c r="AL56" s="260"/>
    </row>
    <row r="57" spans="1:38">
      <c r="A57" s="397">
        <v>45</v>
      </c>
      <c r="B57" s="114"/>
      <c r="C57" s="114" t="s">
        <v>569</v>
      </c>
      <c r="D57" s="114"/>
      <c r="E57" s="114"/>
      <c r="H57" s="260"/>
      <c r="I57" s="114"/>
      <c r="J57" s="260"/>
      <c r="K57" s="114"/>
      <c r="L57" s="260"/>
      <c r="M57" s="114"/>
      <c r="N57" s="260"/>
      <c r="O57" s="114"/>
      <c r="P57" s="260"/>
      <c r="Q57" s="260"/>
      <c r="R57" s="260">
        <v>0</v>
      </c>
      <c r="S57" s="114"/>
      <c r="T57" s="260"/>
      <c r="U57" s="114"/>
      <c r="V57" s="260"/>
      <c r="W57" s="114"/>
      <c r="X57" s="260"/>
      <c r="Y57" s="114"/>
      <c r="Z57" s="260"/>
      <c r="AA57" s="114"/>
      <c r="AB57" s="260"/>
      <c r="AC57" s="114"/>
      <c r="AD57" s="260"/>
      <c r="AE57" s="114"/>
      <c r="AF57" s="260"/>
      <c r="AG57" s="114"/>
      <c r="AH57" s="260"/>
      <c r="AI57" s="114"/>
      <c r="AJ57" s="260"/>
      <c r="AL57" s="260"/>
    </row>
    <row r="58" spans="1:38">
      <c r="A58" s="397">
        <v>46</v>
      </c>
      <c r="B58" s="114"/>
      <c r="C58" s="114" t="s">
        <v>189</v>
      </c>
      <c r="D58" s="114"/>
      <c r="E58" s="114"/>
      <c r="H58" s="260">
        <v>0</v>
      </c>
      <c r="I58" s="114"/>
      <c r="J58" s="260">
        <v>2843362580</v>
      </c>
      <c r="K58" s="114"/>
      <c r="L58" s="260"/>
      <c r="M58" s="114"/>
      <c r="N58" s="260"/>
      <c r="O58" s="114"/>
      <c r="P58" s="260"/>
      <c r="Q58" s="260"/>
      <c r="R58" s="260">
        <v>0</v>
      </c>
      <c r="S58" s="114"/>
      <c r="T58" s="260"/>
      <c r="U58" s="114"/>
      <c r="V58" s="260"/>
      <c r="W58" s="114"/>
      <c r="X58" s="260"/>
      <c r="Y58" s="114"/>
      <c r="Z58" s="260"/>
      <c r="AA58" s="114"/>
      <c r="AB58" s="260"/>
      <c r="AC58" s="114"/>
      <c r="AD58" s="260"/>
      <c r="AE58" s="114"/>
      <c r="AF58" s="260"/>
      <c r="AG58" s="114"/>
      <c r="AH58" s="441"/>
      <c r="AI58" s="114"/>
      <c r="AJ58" s="260">
        <v>0</v>
      </c>
      <c r="AL58" s="260">
        <v>0</v>
      </c>
    </row>
    <row r="59" spans="1:38">
      <c r="A59" s="397">
        <v>47</v>
      </c>
      <c r="B59" s="114"/>
      <c r="C59" s="114"/>
      <c r="D59" s="407" t="s">
        <v>228</v>
      </c>
      <c r="E59" s="114"/>
      <c r="H59" s="405">
        <f>SUM(H56:H58)</f>
        <v>0</v>
      </c>
      <c r="I59" s="114"/>
      <c r="J59" s="405">
        <f>SUM(J56:J58)</f>
        <v>2843362580</v>
      </c>
      <c r="K59" s="114"/>
      <c r="L59" s="405">
        <v>0</v>
      </c>
      <c r="M59" s="114"/>
      <c r="N59" s="405">
        <v>0</v>
      </c>
      <c r="O59" s="114"/>
      <c r="P59" s="405">
        <v>0</v>
      </c>
      <c r="Q59" s="405">
        <v>0</v>
      </c>
      <c r="R59" s="405">
        <v>0</v>
      </c>
      <c r="S59" s="114"/>
      <c r="T59" s="405">
        <v>0</v>
      </c>
      <c r="U59" s="114"/>
      <c r="V59" s="405">
        <v>0</v>
      </c>
      <c r="W59" s="114"/>
      <c r="X59" s="405">
        <v>0</v>
      </c>
      <c r="Y59" s="114"/>
      <c r="Z59" s="405">
        <v>0</v>
      </c>
      <c r="AA59" s="114"/>
      <c r="AB59" s="405">
        <v>0</v>
      </c>
      <c r="AC59" s="114"/>
      <c r="AD59" s="405">
        <v>0</v>
      </c>
      <c r="AE59" s="114"/>
      <c r="AF59" s="405">
        <v>0</v>
      </c>
      <c r="AG59" s="114"/>
      <c r="AH59" s="405">
        <f>SUM(AH56:AH58)</f>
        <v>0</v>
      </c>
      <c r="AI59" s="114"/>
      <c r="AJ59" s="405">
        <v>0</v>
      </c>
      <c r="AL59" s="405">
        <v>0</v>
      </c>
    </row>
    <row r="60" spans="1:38">
      <c r="A60" s="397">
        <v>48</v>
      </c>
      <c r="B60" s="114"/>
      <c r="C60" s="404"/>
      <c r="D60" s="114"/>
      <c r="E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L60" s="114"/>
    </row>
    <row r="61" spans="1:38">
      <c r="A61" s="397">
        <v>49</v>
      </c>
      <c r="B61" s="114"/>
      <c r="C61" s="404" t="s">
        <v>2817</v>
      </c>
      <c r="D61" s="114"/>
      <c r="E61" s="114"/>
      <c r="H61" s="260">
        <v>184566155</v>
      </c>
      <c r="I61" s="114"/>
      <c r="J61" s="260"/>
      <c r="K61" s="114"/>
      <c r="L61" s="260"/>
      <c r="M61" s="114"/>
      <c r="N61" s="260"/>
      <c r="O61" s="114"/>
      <c r="P61" s="260"/>
      <c r="Q61" s="260"/>
      <c r="R61" s="260"/>
      <c r="S61" s="114"/>
      <c r="T61" s="260"/>
      <c r="U61" s="114"/>
      <c r="V61" s="260"/>
      <c r="W61" s="114"/>
      <c r="X61" s="260"/>
      <c r="Y61" s="114"/>
      <c r="Z61" s="260"/>
      <c r="AA61" s="114"/>
      <c r="AB61" s="260"/>
      <c r="AC61" s="114"/>
      <c r="AD61" s="260"/>
      <c r="AE61" s="114"/>
      <c r="AF61" s="260"/>
      <c r="AG61" s="114"/>
      <c r="AH61" s="260"/>
      <c r="AI61" s="114"/>
      <c r="AJ61" s="260"/>
      <c r="AL61" s="260"/>
    </row>
    <row r="62" spans="1:38">
      <c r="A62" s="397">
        <v>50</v>
      </c>
      <c r="B62" s="114"/>
      <c r="C62" s="404"/>
      <c r="D62" s="114"/>
      <c r="E62" s="114"/>
      <c r="H62" s="114">
        <v>3</v>
      </c>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L62" s="114"/>
    </row>
    <row r="63" spans="1:38">
      <c r="A63" s="397">
        <v>51</v>
      </c>
      <c r="B63" s="114"/>
      <c r="C63" s="114" t="s">
        <v>2979</v>
      </c>
      <c r="D63" s="114"/>
      <c r="E63" s="114"/>
      <c r="H63" s="260"/>
      <c r="I63" s="114"/>
      <c r="J63" s="260">
        <v>0</v>
      </c>
      <c r="K63" s="114"/>
      <c r="L63" s="260"/>
      <c r="M63" s="114"/>
      <c r="N63" s="260"/>
      <c r="O63" s="114"/>
      <c r="P63" s="260"/>
      <c r="Q63" s="260"/>
      <c r="R63" s="260">
        <v>0</v>
      </c>
      <c r="S63" s="114"/>
      <c r="T63" s="260"/>
      <c r="U63" s="114"/>
      <c r="V63" s="260"/>
      <c r="W63" s="114"/>
      <c r="X63" s="260"/>
      <c r="Y63" s="114"/>
      <c r="Z63" s="260"/>
      <c r="AA63" s="114"/>
      <c r="AB63" s="260"/>
      <c r="AC63" s="114"/>
      <c r="AD63" s="260"/>
      <c r="AE63" s="114"/>
      <c r="AF63" s="260"/>
      <c r="AG63" s="114"/>
      <c r="AH63" s="260"/>
      <c r="AI63" s="114"/>
      <c r="AJ63" s="260"/>
      <c r="AL63" s="260"/>
    </row>
    <row r="64" spans="1:38">
      <c r="A64" s="397">
        <v>52</v>
      </c>
      <c r="B64" s="114"/>
      <c r="C64" s="114" t="s">
        <v>2978</v>
      </c>
      <c r="D64" s="114"/>
      <c r="E64" s="114"/>
      <c r="H64" s="260"/>
      <c r="I64" s="114"/>
      <c r="J64" s="260"/>
      <c r="K64" s="114"/>
      <c r="L64" s="260"/>
      <c r="M64" s="114"/>
      <c r="N64" s="260"/>
      <c r="O64" s="114"/>
      <c r="P64" s="260"/>
      <c r="Q64" s="260"/>
      <c r="R64" s="260"/>
      <c r="S64" s="114"/>
      <c r="T64" s="260"/>
      <c r="U64" s="114"/>
      <c r="V64" s="260"/>
      <c r="W64" s="114"/>
      <c r="X64" s="260"/>
      <c r="Y64" s="114"/>
      <c r="Z64" s="260"/>
      <c r="AA64" s="114"/>
      <c r="AB64" s="260"/>
      <c r="AC64" s="114"/>
      <c r="AD64" s="260"/>
      <c r="AE64" s="114"/>
      <c r="AF64" s="260"/>
      <c r="AG64" s="114"/>
      <c r="AH64" s="260"/>
      <c r="AI64" s="114"/>
      <c r="AJ64" s="260"/>
      <c r="AL64" s="260"/>
    </row>
    <row r="65" spans="1:38">
      <c r="A65" s="397">
        <v>53</v>
      </c>
      <c r="B65" s="114"/>
      <c r="C65" s="114" t="s">
        <v>182</v>
      </c>
      <c r="D65" s="114"/>
      <c r="E65" s="114"/>
      <c r="H65" s="260"/>
      <c r="I65" s="114"/>
      <c r="J65" s="260">
        <v>0</v>
      </c>
      <c r="K65" s="114"/>
      <c r="L65" s="260"/>
      <c r="M65" s="114"/>
      <c r="N65" s="260"/>
      <c r="O65" s="114"/>
      <c r="P65" s="260"/>
      <c r="Q65" s="260"/>
      <c r="R65" s="260">
        <v>0</v>
      </c>
      <c r="S65" s="114"/>
      <c r="T65" s="260"/>
      <c r="U65" s="114"/>
      <c r="V65" s="260"/>
      <c r="W65" s="114"/>
      <c r="X65" s="260"/>
      <c r="Y65" s="114"/>
      <c r="Z65" s="260"/>
      <c r="AA65" s="114"/>
      <c r="AB65" s="260"/>
      <c r="AC65" s="114"/>
      <c r="AD65" s="260"/>
      <c r="AE65" s="114"/>
      <c r="AF65" s="260"/>
      <c r="AG65" s="114"/>
      <c r="AH65" s="260"/>
      <c r="AI65" s="114"/>
      <c r="AJ65" s="260"/>
      <c r="AL65" s="260"/>
    </row>
    <row r="66" spans="1:38">
      <c r="A66" s="397">
        <v>54</v>
      </c>
      <c r="B66" s="114"/>
      <c r="C66" s="114" t="s">
        <v>2977</v>
      </c>
      <c r="D66" s="114"/>
      <c r="E66" s="114"/>
      <c r="H66" s="260"/>
      <c r="I66" s="114"/>
      <c r="J66" s="260"/>
      <c r="K66" s="114"/>
      <c r="L66" s="260"/>
      <c r="M66" s="114"/>
      <c r="N66" s="260"/>
      <c r="O66" s="114"/>
      <c r="P66" s="260"/>
      <c r="Q66" s="260"/>
      <c r="R66" s="260"/>
      <c r="S66" s="114"/>
      <c r="T66" s="260"/>
      <c r="U66" s="114"/>
      <c r="V66" s="260"/>
      <c r="W66" s="114"/>
      <c r="X66" s="260"/>
      <c r="Y66" s="114"/>
      <c r="Z66" s="260"/>
      <c r="AA66" s="114"/>
      <c r="AB66" s="260"/>
      <c r="AC66" s="114"/>
      <c r="AD66" s="260"/>
      <c r="AE66" s="114"/>
      <c r="AF66" s="260"/>
      <c r="AG66" s="114"/>
      <c r="AH66" s="260"/>
      <c r="AI66" s="114"/>
      <c r="AJ66" s="260"/>
      <c r="AL66" s="260"/>
    </row>
    <row r="67" spans="1:38">
      <c r="A67" s="397">
        <v>55</v>
      </c>
      <c r="B67" s="114"/>
      <c r="C67" s="114" t="s">
        <v>3192</v>
      </c>
      <c r="D67" s="114"/>
      <c r="E67" s="114"/>
      <c r="H67" s="260"/>
      <c r="I67" s="114"/>
      <c r="J67" s="260">
        <v>51670337</v>
      </c>
      <c r="K67" s="114"/>
      <c r="L67" s="260"/>
      <c r="M67" s="114"/>
      <c r="N67" s="260"/>
      <c r="O67" s="114"/>
      <c r="P67" s="260"/>
      <c r="Q67" s="260"/>
      <c r="R67" s="260"/>
      <c r="S67" s="114"/>
      <c r="T67" s="260"/>
      <c r="U67" s="114"/>
      <c r="V67" s="260"/>
      <c r="W67" s="114"/>
      <c r="X67" s="260"/>
      <c r="Y67" s="114"/>
      <c r="Z67" s="260"/>
      <c r="AA67" s="114"/>
      <c r="AB67" s="260"/>
      <c r="AC67" s="114"/>
      <c r="AD67" s="260"/>
      <c r="AE67" s="114"/>
      <c r="AF67" s="260"/>
      <c r="AG67" s="114"/>
      <c r="AH67" s="260"/>
      <c r="AI67" s="114"/>
      <c r="AJ67" s="260"/>
      <c r="AL67" s="260"/>
    </row>
    <row r="68" spans="1:38">
      <c r="A68" s="397">
        <v>56</v>
      </c>
      <c r="B68" s="114"/>
      <c r="C68" s="114" t="s">
        <v>183</v>
      </c>
      <c r="D68" s="114"/>
      <c r="E68" s="114"/>
      <c r="H68" s="260"/>
      <c r="I68" s="114"/>
      <c r="J68" s="260"/>
      <c r="K68" s="114"/>
      <c r="L68" s="260"/>
      <c r="M68" s="114"/>
      <c r="N68" s="260"/>
      <c r="O68" s="114"/>
      <c r="P68" s="260"/>
      <c r="Q68" s="260"/>
      <c r="R68" s="260">
        <v>0</v>
      </c>
      <c r="S68" s="114"/>
      <c r="T68" s="260"/>
      <c r="U68" s="114"/>
      <c r="V68" s="260"/>
      <c r="W68" s="114"/>
      <c r="X68" s="260"/>
      <c r="Y68" s="114"/>
      <c r="Z68" s="260"/>
      <c r="AA68" s="114"/>
      <c r="AB68" s="260"/>
      <c r="AC68" s="114"/>
      <c r="AD68" s="260"/>
      <c r="AE68" s="114"/>
      <c r="AF68" s="260"/>
      <c r="AG68" s="114"/>
      <c r="AH68" s="260"/>
      <c r="AI68" s="114"/>
      <c r="AJ68" s="260"/>
      <c r="AL68" s="260"/>
    </row>
    <row r="69" spans="1:38">
      <c r="A69" s="397">
        <v>57</v>
      </c>
      <c r="B69" s="114"/>
      <c r="C69" s="114" t="s">
        <v>179</v>
      </c>
      <c r="D69" s="114"/>
      <c r="E69" s="114"/>
      <c r="H69" s="260"/>
      <c r="I69" s="114"/>
      <c r="J69" s="260">
        <v>0</v>
      </c>
      <c r="K69" s="114"/>
      <c r="L69" s="260"/>
      <c r="M69" s="114"/>
      <c r="N69" s="260"/>
      <c r="O69" s="114"/>
      <c r="P69" s="260"/>
      <c r="Q69" s="260"/>
      <c r="R69" s="260">
        <v>0</v>
      </c>
      <c r="S69" s="114"/>
      <c r="T69" s="260"/>
      <c r="U69" s="114"/>
      <c r="V69" s="260"/>
      <c r="W69" s="114"/>
      <c r="X69" s="260"/>
      <c r="Y69" s="114"/>
      <c r="Z69" s="260"/>
      <c r="AA69" s="114"/>
      <c r="AB69" s="260"/>
      <c r="AC69" s="114"/>
      <c r="AD69" s="260"/>
      <c r="AE69" s="114"/>
      <c r="AF69" s="260"/>
      <c r="AG69" s="114"/>
      <c r="AH69" s="260"/>
      <c r="AI69" s="114"/>
      <c r="AJ69" s="260"/>
      <c r="AL69" s="260"/>
    </row>
    <row r="70" spans="1:38">
      <c r="A70" s="397">
        <v>58</v>
      </c>
      <c r="B70" s="114"/>
      <c r="C70" s="114"/>
      <c r="D70" s="404" t="s">
        <v>227</v>
      </c>
      <c r="E70" s="114"/>
      <c r="H70" s="405">
        <v>0</v>
      </c>
      <c r="I70" s="114"/>
      <c r="J70" s="405">
        <f>SUM(J63:J69)</f>
        <v>51670337</v>
      </c>
      <c r="K70" s="114"/>
      <c r="L70" s="405">
        <v>0</v>
      </c>
      <c r="M70" s="114"/>
      <c r="N70" s="405">
        <v>0</v>
      </c>
      <c r="O70" s="114"/>
      <c r="P70" s="405">
        <v>0</v>
      </c>
      <c r="Q70" s="405">
        <v>0</v>
      </c>
      <c r="R70" s="405">
        <v>0</v>
      </c>
      <c r="S70" s="114"/>
      <c r="T70" s="405">
        <v>0</v>
      </c>
      <c r="U70" s="114"/>
      <c r="V70" s="405">
        <v>0</v>
      </c>
      <c r="W70" s="114"/>
      <c r="X70" s="405">
        <v>0</v>
      </c>
      <c r="Y70" s="114"/>
      <c r="Z70" s="405">
        <v>0</v>
      </c>
      <c r="AA70" s="114"/>
      <c r="AB70" s="405">
        <v>0</v>
      </c>
      <c r="AC70" s="114"/>
      <c r="AD70" s="405">
        <v>0</v>
      </c>
      <c r="AE70" s="114"/>
      <c r="AF70" s="405">
        <v>0</v>
      </c>
      <c r="AG70" s="114"/>
      <c r="AH70" s="405">
        <v>0</v>
      </c>
      <c r="AI70" s="114"/>
      <c r="AJ70" s="405">
        <v>0</v>
      </c>
      <c r="AL70" s="405">
        <v>0</v>
      </c>
    </row>
    <row r="71" spans="1:38">
      <c r="A71" s="397">
        <v>59</v>
      </c>
      <c r="B71" s="114"/>
      <c r="C71" s="404"/>
      <c r="D71" s="114"/>
      <c r="E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L71" s="114"/>
    </row>
    <row r="72" spans="1:38">
      <c r="A72" s="397">
        <v>60</v>
      </c>
      <c r="B72" s="114"/>
      <c r="C72" s="404" t="s">
        <v>588</v>
      </c>
      <c r="D72" s="114"/>
      <c r="E72" s="114"/>
      <c r="H72" s="400"/>
      <c r="I72" s="114"/>
      <c r="J72" s="400"/>
      <c r="K72" s="114"/>
      <c r="L72" s="400"/>
      <c r="M72" s="114"/>
      <c r="N72" s="114"/>
      <c r="O72" s="114"/>
      <c r="P72" s="400"/>
      <c r="Q72" s="400"/>
      <c r="R72" s="400">
        <v>0</v>
      </c>
      <c r="S72" s="114"/>
      <c r="T72" s="400"/>
      <c r="U72" s="114"/>
      <c r="V72" s="400"/>
      <c r="W72" s="114"/>
      <c r="X72" s="400"/>
      <c r="Y72" s="114"/>
      <c r="Z72" s="400"/>
      <c r="AA72" s="114"/>
      <c r="AB72" s="400"/>
      <c r="AC72" s="114"/>
      <c r="AD72" s="400"/>
      <c r="AE72" s="114"/>
      <c r="AF72" s="260">
        <v>0</v>
      </c>
      <c r="AG72" s="114"/>
      <c r="AH72" s="260"/>
      <c r="AI72" s="114"/>
      <c r="AJ72" s="400"/>
      <c r="AL72" s="400"/>
    </row>
    <row r="73" spans="1:38">
      <c r="A73" s="397">
        <v>61</v>
      </c>
      <c r="B73" s="114"/>
      <c r="C73" s="404"/>
      <c r="D73" s="114"/>
      <c r="E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400"/>
      <c r="AE73" s="114"/>
      <c r="AF73" s="114"/>
      <c r="AG73" s="114"/>
      <c r="AH73" s="114"/>
      <c r="AI73" s="114"/>
      <c r="AJ73" s="114"/>
      <c r="AL73" s="114"/>
    </row>
    <row r="74" spans="1:38">
      <c r="A74" s="397">
        <v>62</v>
      </c>
      <c r="B74" s="114"/>
      <c r="C74" s="114" t="s">
        <v>591</v>
      </c>
      <c r="D74" s="404"/>
      <c r="E74" s="114"/>
      <c r="H74" s="260"/>
      <c r="I74" s="114"/>
      <c r="J74" s="260"/>
      <c r="K74" s="114"/>
      <c r="L74" s="260"/>
      <c r="M74" s="114"/>
      <c r="N74" s="260"/>
      <c r="O74" s="114"/>
      <c r="P74" s="260"/>
      <c r="Q74" s="260"/>
      <c r="R74" s="260">
        <v>0</v>
      </c>
      <c r="S74" s="114"/>
      <c r="T74" s="260">
        <v>0</v>
      </c>
      <c r="U74" s="114"/>
      <c r="V74" s="260"/>
      <c r="W74" s="114"/>
      <c r="X74" s="260"/>
      <c r="Y74" s="114"/>
      <c r="Z74" s="260"/>
      <c r="AA74" s="114"/>
      <c r="AB74" s="260"/>
      <c r="AC74" s="114"/>
      <c r="AD74" s="260"/>
      <c r="AE74" s="114"/>
      <c r="AF74" s="260"/>
      <c r="AG74" s="114"/>
      <c r="AH74" s="260"/>
      <c r="AI74" s="114"/>
      <c r="AJ74" s="260"/>
      <c r="AL74" s="260"/>
    </row>
    <row r="75" spans="1:38">
      <c r="A75" s="397">
        <v>63</v>
      </c>
      <c r="B75" s="114"/>
      <c r="C75" s="114" t="s">
        <v>590</v>
      </c>
      <c r="D75" s="404"/>
      <c r="E75" s="114"/>
      <c r="H75" s="260">
        <v>1378006</v>
      </c>
      <c r="I75" s="114"/>
      <c r="J75" s="260">
        <v>706123</v>
      </c>
      <c r="K75" s="114"/>
      <c r="L75" s="260"/>
      <c r="M75" s="114"/>
      <c r="N75" s="260">
        <v>4961602</v>
      </c>
      <c r="O75" s="114"/>
      <c r="P75" s="260"/>
      <c r="Q75" s="260"/>
      <c r="R75" s="260"/>
      <c r="S75" s="114"/>
      <c r="T75" s="260"/>
      <c r="U75" s="114"/>
      <c r="V75" s="260"/>
      <c r="W75" s="114"/>
      <c r="X75" s="260"/>
      <c r="Y75" s="114"/>
      <c r="Z75" s="260"/>
      <c r="AA75" s="114"/>
      <c r="AB75" s="260"/>
      <c r="AC75" s="114"/>
      <c r="AD75" s="260"/>
      <c r="AE75" s="114"/>
      <c r="AF75" s="260"/>
      <c r="AG75" s="114"/>
      <c r="AH75" s="260"/>
      <c r="AI75" s="114"/>
      <c r="AJ75" s="260"/>
      <c r="AL75" s="260"/>
    </row>
    <row r="76" spans="1:38">
      <c r="A76" s="397">
        <v>64</v>
      </c>
      <c r="B76" s="114"/>
      <c r="C76" s="114"/>
      <c r="D76" s="114"/>
      <c r="E76" s="404" t="s">
        <v>229</v>
      </c>
      <c r="H76" s="405">
        <f>SUM(H74:H75)</f>
        <v>1378006</v>
      </c>
      <c r="I76" s="114"/>
      <c r="J76" s="405">
        <f>SUM(J74:J75)</f>
        <v>706123</v>
      </c>
      <c r="K76" s="114"/>
      <c r="L76" s="405">
        <v>0</v>
      </c>
      <c r="M76" s="114"/>
      <c r="N76" s="405">
        <f>SUM(N74:N75)</f>
        <v>4961602</v>
      </c>
      <c r="O76" s="114"/>
      <c r="P76" s="405">
        <f>SUM(P74:P75)</f>
        <v>0</v>
      </c>
      <c r="Q76" s="405">
        <v>0</v>
      </c>
      <c r="R76" s="405">
        <f>SUM(R74:R75)</f>
        <v>0</v>
      </c>
      <c r="S76" s="114"/>
      <c r="T76" s="405">
        <f>SUM(T74:T75)</f>
        <v>0</v>
      </c>
      <c r="U76" s="114"/>
      <c r="V76" s="405">
        <f>SUM(V74:V75)</f>
        <v>0</v>
      </c>
      <c r="W76" s="114"/>
      <c r="X76" s="405">
        <f>SUM(X74:X75)</f>
        <v>0</v>
      </c>
      <c r="Y76" s="114"/>
      <c r="Z76" s="405">
        <v>0</v>
      </c>
      <c r="AA76" s="114"/>
      <c r="AB76" s="405">
        <f>SUM(AB74:AB75)</f>
        <v>0</v>
      </c>
      <c r="AC76" s="114"/>
      <c r="AD76" s="405">
        <f>SUM(AD74:AD75)</f>
        <v>0</v>
      </c>
      <c r="AE76" s="114"/>
      <c r="AF76" s="405">
        <f>SUM(AF74:AF75)</f>
        <v>0</v>
      </c>
      <c r="AG76" s="114"/>
      <c r="AH76" s="405">
        <f>SUM(AH74:AH75)</f>
        <v>0</v>
      </c>
      <c r="AI76" s="114"/>
      <c r="AJ76" s="405">
        <v>0</v>
      </c>
      <c r="AL76" s="405">
        <v>0</v>
      </c>
    </row>
    <row r="77" spans="1:38">
      <c r="A77" s="397">
        <v>65</v>
      </c>
      <c r="B77" s="114"/>
      <c r="C77" s="404"/>
      <c r="D77" s="114"/>
      <c r="E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L77" s="114"/>
    </row>
    <row r="78" spans="1:38">
      <c r="A78" s="397">
        <v>66</v>
      </c>
      <c r="B78" s="114"/>
      <c r="C78" s="404" t="s">
        <v>191</v>
      </c>
      <c r="D78" s="114"/>
      <c r="E78" s="114"/>
      <c r="H78" s="260">
        <v>79073</v>
      </c>
      <c r="I78" s="114"/>
      <c r="J78" s="260"/>
      <c r="K78" s="114"/>
      <c r="L78" s="260"/>
      <c r="M78" s="114"/>
      <c r="N78" s="260">
        <v>13915932</v>
      </c>
      <c r="O78" s="114"/>
      <c r="P78" s="260">
        <v>0</v>
      </c>
      <c r="Q78" s="260"/>
      <c r="R78" s="260">
        <v>0</v>
      </c>
      <c r="S78" s="114"/>
      <c r="T78" s="260">
        <v>148800</v>
      </c>
      <c r="U78" s="114"/>
      <c r="V78" s="260">
        <v>0</v>
      </c>
      <c r="W78" s="114"/>
      <c r="X78" s="260">
        <v>15064200</v>
      </c>
      <c r="Y78" s="114"/>
      <c r="Z78" s="260"/>
      <c r="AA78" s="114"/>
      <c r="AB78" s="260"/>
      <c r="AC78" s="114"/>
      <c r="AD78" s="260"/>
      <c r="AE78" s="114"/>
      <c r="AF78" s="260">
        <f>22719-22719</f>
        <v>0</v>
      </c>
      <c r="AG78" s="114"/>
      <c r="AH78" s="260">
        <v>0</v>
      </c>
      <c r="AI78" s="114"/>
      <c r="AJ78" s="260"/>
      <c r="AL78" s="260"/>
    </row>
    <row r="79" spans="1:38">
      <c r="A79" s="397">
        <v>67</v>
      </c>
      <c r="B79" s="114"/>
      <c r="C79" s="404" t="s">
        <v>3741</v>
      </c>
      <c r="D79" s="114"/>
      <c r="E79" s="114"/>
      <c r="H79" s="260">
        <v>22867782</v>
      </c>
      <c r="I79" s="114"/>
      <c r="J79" s="260">
        <v>2553556</v>
      </c>
      <c r="K79" s="114"/>
      <c r="L79" s="260"/>
      <c r="M79" s="114"/>
      <c r="N79" s="260">
        <v>299130550</v>
      </c>
      <c r="O79" s="114"/>
      <c r="P79" s="260">
        <v>54737</v>
      </c>
      <c r="Q79" s="260">
        <v>680</v>
      </c>
      <c r="R79" s="260">
        <v>0</v>
      </c>
      <c r="S79" s="114"/>
      <c r="T79" s="260">
        <v>8468667</v>
      </c>
      <c r="U79" s="114"/>
      <c r="V79" s="260">
        <v>1914773</v>
      </c>
      <c r="W79" s="114"/>
      <c r="X79" s="260">
        <v>192654740</v>
      </c>
      <c r="Y79" s="114"/>
      <c r="Z79" s="260">
        <v>0</v>
      </c>
      <c r="AA79" s="114"/>
      <c r="AB79" s="260">
        <v>110680</v>
      </c>
      <c r="AC79" s="114"/>
      <c r="AD79" s="260"/>
      <c r="AE79" s="114"/>
      <c r="AF79" s="260"/>
      <c r="AG79" s="114"/>
      <c r="AH79" s="260"/>
      <c r="AI79" s="114"/>
      <c r="AJ79" s="260"/>
      <c r="AL79" s="260"/>
    </row>
    <row r="80" spans="1:38">
      <c r="A80" s="397">
        <v>68</v>
      </c>
      <c r="B80" s="114"/>
      <c r="C80" s="114"/>
      <c r="D80" s="404"/>
      <c r="E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L80" s="114"/>
    </row>
    <row r="81" spans="1:38">
      <c r="A81" s="397">
        <v>69</v>
      </c>
      <c r="B81" s="114"/>
      <c r="C81" s="114"/>
      <c r="D81" s="404"/>
      <c r="E81" s="407" t="s">
        <v>593</v>
      </c>
      <c r="H81" s="400">
        <f>SUM(H59,H61,H70,H76,H78:H79)</f>
        <v>208891016</v>
      </c>
      <c r="I81" s="114"/>
      <c r="J81" s="400">
        <f>SUM(J59,J70,J76,J78:J79)</f>
        <v>2898292596</v>
      </c>
      <c r="K81" s="114"/>
      <c r="L81" s="400">
        <f>SUM(L59,L70,L76,L78:L79)</f>
        <v>0</v>
      </c>
      <c r="M81" s="114"/>
      <c r="N81" s="400">
        <f>SUM(N59,N70,N76,N78:N79)</f>
        <v>318008084</v>
      </c>
      <c r="O81" s="114"/>
      <c r="P81" s="400">
        <f>SUM(P59,P70,P76,P78:P79)</f>
        <v>54737</v>
      </c>
      <c r="Q81" s="400">
        <f>SUM(Q59,Q70,Q76,Q78:Q79)</f>
        <v>680</v>
      </c>
      <c r="R81" s="400">
        <f>SUM(R59,R70,R76,R78:R79)</f>
        <v>0</v>
      </c>
      <c r="S81" s="114"/>
      <c r="T81" s="400">
        <f>SUM(T59,T70,T76,T78:T79)</f>
        <v>8617467</v>
      </c>
      <c r="U81" s="114"/>
      <c r="V81" s="400">
        <f>SUM(V59,V70,V76,V78:V79)</f>
        <v>1914773</v>
      </c>
      <c r="W81" s="114"/>
      <c r="X81" s="400">
        <f>SUM(X59,X70,X76,X78:X79)</f>
        <v>207718940</v>
      </c>
      <c r="Y81" s="114"/>
      <c r="Z81" s="400">
        <v>0</v>
      </c>
      <c r="AA81" s="114"/>
      <c r="AB81" s="400">
        <f>SUM(AB59,AB70,AB76,AB78:AB79)</f>
        <v>110680</v>
      </c>
      <c r="AC81" s="114"/>
      <c r="AD81" s="400">
        <f>SUM(AD59,AD70,AD76,AD78:AD79)</f>
        <v>0</v>
      </c>
      <c r="AE81" s="114"/>
      <c r="AF81" s="400">
        <f>SUM(AF59,AF70,AF76,AF78:AF79)</f>
        <v>0</v>
      </c>
      <c r="AG81" s="400">
        <f t="shared" ref="AG81" si="0">SUM(AG59,AG70,AG76,AG78:AG79)</f>
        <v>0</v>
      </c>
      <c r="AH81" s="400">
        <f>SUM(AH59,AH70,AH76,AH78:AH79)</f>
        <v>0</v>
      </c>
      <c r="AI81" s="114"/>
      <c r="AJ81" s="400">
        <v>0</v>
      </c>
      <c r="AL81" s="400">
        <v>0</v>
      </c>
    </row>
    <row r="82" spans="1:38">
      <c r="A82" s="397">
        <v>70</v>
      </c>
      <c r="B82" s="114"/>
      <c r="C82" s="114"/>
      <c r="D82" s="404"/>
      <c r="E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L82" s="114"/>
    </row>
    <row r="83" spans="1:38">
      <c r="A83" s="397">
        <v>71</v>
      </c>
      <c r="B83" s="114"/>
      <c r="C83" s="114"/>
      <c r="D83" s="114"/>
      <c r="E83" s="114"/>
      <c r="F83" s="409" t="s">
        <v>594</v>
      </c>
      <c r="H83" s="405">
        <f>SUM(H53,H81)</f>
        <v>515304129</v>
      </c>
      <c r="I83" s="114"/>
      <c r="J83" s="405">
        <f>SUM(J53,J81)</f>
        <v>3097059233</v>
      </c>
      <c r="K83" s="114"/>
      <c r="L83" s="405">
        <f>SUM(L53,L81)</f>
        <v>1685970555</v>
      </c>
      <c r="M83" s="114"/>
      <c r="N83" s="405">
        <f>SUM(N53,N81)</f>
        <v>470316567</v>
      </c>
      <c r="O83" s="114"/>
      <c r="P83" s="405">
        <f>SUM(P53,P81)</f>
        <v>46997730</v>
      </c>
      <c r="Q83" s="405">
        <f>SUM(Q53,Q81)</f>
        <v>4709336</v>
      </c>
      <c r="R83" s="405">
        <f>SUM(R53,R81)</f>
        <v>209030754</v>
      </c>
      <c r="S83" s="114"/>
      <c r="T83" s="405">
        <f>SUM(T53,T81)</f>
        <v>29897636</v>
      </c>
      <c r="U83" s="114"/>
      <c r="V83" s="405">
        <f>SUM(V53,V81)</f>
        <v>6576732</v>
      </c>
      <c r="W83" s="114"/>
      <c r="X83" s="405">
        <f>SUM(X53,X81)</f>
        <v>230460941</v>
      </c>
      <c r="Y83" s="114"/>
      <c r="Z83" s="405">
        <f>SUM(Z53,Z81)</f>
        <v>2974789</v>
      </c>
      <c r="AA83" s="114"/>
      <c r="AB83" s="405">
        <f>SUM(AB53,AB81)</f>
        <v>69128917</v>
      </c>
      <c r="AC83" s="114"/>
      <c r="AD83" s="405">
        <f>SUM(AD53,AD81)</f>
        <v>832575</v>
      </c>
      <c r="AE83" s="114"/>
      <c r="AF83" s="405">
        <f>SUM(AF53,AF81)</f>
        <v>1185221</v>
      </c>
      <c r="AG83" s="114"/>
      <c r="AH83" s="405">
        <f>SUM(AH53,AH81)</f>
        <v>0</v>
      </c>
      <c r="AI83" s="114"/>
      <c r="AJ83" s="405">
        <f>SUM(AJ53,AJ81)</f>
        <v>413733</v>
      </c>
      <c r="AL83" s="405">
        <f>SUM(AL53,AL81)</f>
        <v>2992086</v>
      </c>
    </row>
    <row r="84" spans="1:38">
      <c r="A84" s="397">
        <v>72</v>
      </c>
      <c r="B84" s="114"/>
      <c r="D84" s="114"/>
      <c r="E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L84" s="114"/>
    </row>
    <row r="85" spans="1:38">
      <c r="A85" s="397">
        <v>73</v>
      </c>
      <c r="B85" s="814"/>
      <c r="C85" s="404" t="s">
        <v>958</v>
      </c>
      <c r="D85" s="814"/>
      <c r="E85" s="814"/>
      <c r="H85" s="400">
        <v>8876931</v>
      </c>
      <c r="I85" s="114"/>
      <c r="J85" s="400">
        <v>4124214</v>
      </c>
      <c r="K85" s="114"/>
      <c r="L85" s="400">
        <v>0</v>
      </c>
      <c r="M85" s="114"/>
      <c r="N85" s="400">
        <v>38534884</v>
      </c>
      <c r="O85" s="114"/>
      <c r="P85" s="400"/>
      <c r="Q85" s="400">
        <v>0</v>
      </c>
      <c r="R85" s="400"/>
      <c r="S85" s="114"/>
      <c r="T85" s="400"/>
      <c r="U85" s="114"/>
      <c r="V85" s="400"/>
      <c r="W85" s="114"/>
      <c r="X85" s="400"/>
      <c r="Y85" s="114"/>
      <c r="Z85" s="400"/>
      <c r="AA85" s="114"/>
      <c r="AB85" s="400"/>
      <c r="AC85" s="114"/>
      <c r="AD85" s="400">
        <v>0</v>
      </c>
      <c r="AE85" s="114"/>
      <c r="AF85" s="400"/>
      <c r="AG85" s="114"/>
      <c r="AH85" s="400">
        <v>0</v>
      </c>
      <c r="AI85" s="114"/>
      <c r="AJ85" s="400">
        <v>0</v>
      </c>
      <c r="AL85" s="400">
        <v>0</v>
      </c>
    </row>
    <row r="86" spans="1:38">
      <c r="A86" s="397">
        <v>74</v>
      </c>
      <c r="B86" s="200"/>
      <c r="C86" s="114"/>
      <c r="D86" s="114"/>
      <c r="E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L86" s="114"/>
    </row>
    <row r="87" spans="1:38">
      <c r="A87" s="397">
        <v>75</v>
      </c>
      <c r="B87" s="200"/>
      <c r="C87" s="200"/>
      <c r="D87" s="200"/>
      <c r="E87" s="200"/>
      <c r="F87" s="409" t="s">
        <v>959</v>
      </c>
      <c r="H87" s="405">
        <f>H83+H85</f>
        <v>524181060</v>
      </c>
      <c r="I87" s="114"/>
      <c r="J87" s="405">
        <f>J83+J85</f>
        <v>3101183447</v>
      </c>
      <c r="K87" s="114"/>
      <c r="L87" s="405">
        <f>L83+L85</f>
        <v>1685970555</v>
      </c>
      <c r="M87" s="114"/>
      <c r="N87" s="405">
        <f>N83+N85</f>
        <v>508851451</v>
      </c>
      <c r="O87" s="114"/>
      <c r="P87" s="405">
        <f>P83+P85</f>
        <v>46997730</v>
      </c>
      <c r="Q87" s="405">
        <f>Q83+Q85</f>
        <v>4709336</v>
      </c>
      <c r="R87" s="405">
        <f>R83+R85</f>
        <v>209030754</v>
      </c>
      <c r="S87" s="114"/>
      <c r="T87" s="405">
        <f>T83+T85</f>
        <v>29897636</v>
      </c>
      <c r="U87" s="114"/>
      <c r="V87" s="405">
        <f>V83+V85</f>
        <v>6576732</v>
      </c>
      <c r="W87" s="114"/>
      <c r="X87" s="405">
        <f>X83+X85</f>
        <v>230460941</v>
      </c>
      <c r="Y87" s="114"/>
      <c r="Z87" s="405">
        <f>Z83+Z85</f>
        <v>2974789</v>
      </c>
      <c r="AA87" s="114"/>
      <c r="AB87" s="405">
        <f>AB83+AB85</f>
        <v>69128917</v>
      </c>
      <c r="AC87" s="114"/>
      <c r="AD87" s="405">
        <f>AD83+AD85</f>
        <v>832575</v>
      </c>
      <c r="AE87" s="114"/>
      <c r="AF87" s="405">
        <f>AF83+AF85</f>
        <v>1185221</v>
      </c>
      <c r="AG87" s="114"/>
      <c r="AH87" s="405">
        <f>AH83+AH85</f>
        <v>0</v>
      </c>
      <c r="AI87" s="114"/>
      <c r="AJ87" s="405">
        <f>AJ83+AJ85</f>
        <v>413733</v>
      </c>
      <c r="AL87" s="405">
        <f>AL83+AL85</f>
        <v>2992086</v>
      </c>
    </row>
    <row r="88" spans="1:38">
      <c r="A88" s="397">
        <v>76</v>
      </c>
      <c r="B88" s="399"/>
      <c r="C88" s="400"/>
      <c r="D88" s="400"/>
      <c r="E88" s="400"/>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1"/>
      <c r="AG88" s="114"/>
      <c r="AH88" s="111"/>
      <c r="AI88" s="114"/>
      <c r="AJ88" s="114"/>
      <c r="AL88" s="114"/>
    </row>
    <row r="89" spans="1:38">
      <c r="A89" s="397">
        <v>77</v>
      </c>
      <c r="B89" s="410"/>
      <c r="C89" s="114"/>
      <c r="D89" s="114"/>
      <c r="E89" s="114"/>
      <c r="H89" s="411"/>
      <c r="I89" s="114"/>
      <c r="J89" s="411"/>
      <c r="K89" s="114"/>
      <c r="L89" s="411"/>
      <c r="M89" s="114"/>
      <c r="N89" s="411"/>
      <c r="O89" s="114"/>
      <c r="P89" s="411"/>
      <c r="Q89" s="411"/>
      <c r="R89" s="411"/>
      <c r="S89" s="114"/>
      <c r="T89" s="411"/>
      <c r="U89" s="114"/>
      <c r="V89" s="411"/>
      <c r="W89" s="114"/>
      <c r="X89" s="411"/>
      <c r="Y89" s="114"/>
      <c r="Z89" s="411"/>
      <c r="AA89" s="114"/>
      <c r="AB89" s="411"/>
      <c r="AC89" s="114"/>
      <c r="AD89" s="411"/>
      <c r="AE89" s="114"/>
      <c r="AF89" s="111"/>
      <c r="AG89" s="114"/>
      <c r="AH89" s="111"/>
      <c r="AI89" s="114"/>
      <c r="AJ89" s="411"/>
      <c r="AL89" s="411"/>
    </row>
    <row r="90" spans="1:38" ht="13.5" thickBot="1">
      <c r="A90" s="397">
        <v>78</v>
      </c>
      <c r="B90" s="399" t="s">
        <v>595</v>
      </c>
      <c r="C90" s="400"/>
      <c r="D90" s="400"/>
      <c r="E90" s="400"/>
      <c r="H90" s="412" t="s">
        <v>301</v>
      </c>
      <c r="I90" s="114"/>
      <c r="J90" s="412" t="s">
        <v>301</v>
      </c>
      <c r="K90" s="114"/>
      <c r="L90" s="412" t="s">
        <v>301</v>
      </c>
      <c r="M90" s="114"/>
      <c r="N90" s="412" t="s">
        <v>301</v>
      </c>
      <c r="O90" s="114"/>
      <c r="P90" s="412" t="s">
        <v>301</v>
      </c>
      <c r="Q90" s="412" t="s">
        <v>301</v>
      </c>
      <c r="R90" s="412" t="s">
        <v>301</v>
      </c>
      <c r="S90" s="114"/>
      <c r="T90" s="412" t="s">
        <v>301</v>
      </c>
      <c r="U90" s="114"/>
      <c r="V90" s="412" t="s">
        <v>301</v>
      </c>
      <c r="W90" s="114"/>
      <c r="X90" s="412" t="s">
        <v>301</v>
      </c>
      <c r="Y90" s="114"/>
      <c r="Z90" s="412" t="s">
        <v>301</v>
      </c>
      <c r="AA90" s="114"/>
      <c r="AB90" s="412" t="s">
        <v>301</v>
      </c>
      <c r="AC90" s="114"/>
      <c r="AD90" s="412" t="s">
        <v>301</v>
      </c>
      <c r="AE90" s="114"/>
      <c r="AF90" s="113" t="s">
        <v>301</v>
      </c>
      <c r="AG90" s="114"/>
      <c r="AH90" s="113" t="s">
        <v>301</v>
      </c>
      <c r="AI90" s="114"/>
      <c r="AJ90" s="412" t="s">
        <v>301</v>
      </c>
      <c r="AL90" s="412" t="s">
        <v>301</v>
      </c>
    </row>
    <row r="91" spans="1:38">
      <c r="A91" s="397">
        <v>79</v>
      </c>
      <c r="B91" s="114" t="s">
        <v>267</v>
      </c>
      <c r="C91" s="114"/>
      <c r="D91" s="114"/>
      <c r="E91" s="114"/>
      <c r="H91" s="114"/>
      <c r="I91" s="114"/>
      <c r="J91" s="114"/>
      <c r="K91" s="114"/>
      <c r="L91" s="114"/>
      <c r="M91" s="114"/>
      <c r="N91" s="114"/>
      <c r="O91" s="114"/>
      <c r="P91" s="114"/>
      <c r="Q91" s="114"/>
      <c r="R91" s="114"/>
      <c r="S91" s="114"/>
      <c r="T91" s="114"/>
      <c r="U91" s="114"/>
      <c r="V91" s="114"/>
      <c r="W91" s="114"/>
      <c r="X91" s="442"/>
      <c r="Y91" s="114"/>
      <c r="Z91" s="114"/>
      <c r="AA91" s="114"/>
      <c r="AB91" s="114"/>
      <c r="AC91" s="114"/>
      <c r="AD91" s="114"/>
      <c r="AE91" s="114"/>
      <c r="AF91" s="12"/>
      <c r="AG91" s="114"/>
      <c r="AH91" s="12"/>
      <c r="AI91" s="114"/>
      <c r="AJ91" s="114"/>
      <c r="AL91" s="114"/>
    </row>
    <row r="92" spans="1:38">
      <c r="A92" s="397">
        <v>80</v>
      </c>
      <c r="B92" s="114"/>
      <c r="C92" s="12" t="s">
        <v>450</v>
      </c>
      <c r="D92" s="12"/>
      <c r="E92" s="12"/>
      <c r="H92" s="260">
        <v>23770078</v>
      </c>
      <c r="I92" s="114"/>
      <c r="J92" s="260">
        <v>222855</v>
      </c>
      <c r="K92" s="114"/>
      <c r="L92" s="260">
        <v>0</v>
      </c>
      <c r="M92" s="114"/>
      <c r="N92" s="260">
        <v>76721489</v>
      </c>
      <c r="O92" s="114"/>
      <c r="P92" s="260">
        <v>747632</v>
      </c>
      <c r="Q92" s="260">
        <v>0</v>
      </c>
      <c r="R92" s="260">
        <v>14001826</v>
      </c>
      <c r="S92" s="114"/>
      <c r="T92" s="260">
        <v>2951332</v>
      </c>
      <c r="U92" s="114"/>
      <c r="V92" s="785">
        <f>175258-8666</f>
        <v>166592</v>
      </c>
      <c r="W92" s="114"/>
      <c r="X92" s="785">
        <f>1094977-6874</f>
        <v>1088103</v>
      </c>
      <c r="Y92" s="114"/>
      <c r="Z92" s="260">
        <v>17584</v>
      </c>
      <c r="AA92" s="114"/>
      <c r="AB92" s="785">
        <f>927347-2260</f>
        <v>925087</v>
      </c>
      <c r="AC92" s="114"/>
      <c r="AD92" s="260">
        <v>207073</v>
      </c>
      <c r="AE92" s="114"/>
      <c r="AF92" s="260">
        <v>36580</v>
      </c>
      <c r="AG92" s="114"/>
      <c r="AH92" s="260"/>
      <c r="AI92" s="114"/>
      <c r="AJ92" s="260"/>
      <c r="AL92" s="260">
        <v>645031</v>
      </c>
    </row>
    <row r="93" spans="1:38">
      <c r="A93" s="397">
        <v>81</v>
      </c>
      <c r="B93" s="114"/>
      <c r="C93" s="12" t="s">
        <v>425</v>
      </c>
      <c r="D93" s="12"/>
      <c r="E93" s="12"/>
      <c r="H93" s="785">
        <f>2949075-426813</f>
        <v>2522262</v>
      </c>
      <c r="I93" s="114"/>
      <c r="J93" s="785">
        <f>966779-934</f>
        <v>965845</v>
      </c>
      <c r="K93" s="114"/>
      <c r="L93" s="260"/>
      <c r="M93" s="114"/>
      <c r="N93" s="785">
        <f>8654553+533</f>
        <v>8655086</v>
      </c>
      <c r="O93" s="114"/>
      <c r="P93" s="260">
        <v>49692</v>
      </c>
      <c r="Q93" s="260">
        <v>807</v>
      </c>
      <c r="R93" s="785">
        <f>113196-434</f>
        <v>112762</v>
      </c>
      <c r="S93" s="114"/>
      <c r="T93" s="785">
        <f>676486+65052</f>
        <v>741538</v>
      </c>
      <c r="U93" s="114"/>
      <c r="V93" s="785">
        <f>220215+15685</f>
        <v>235900</v>
      </c>
      <c r="W93" s="114"/>
      <c r="X93" s="785">
        <f>203967+14714</f>
        <v>218681</v>
      </c>
      <c r="Y93" s="114"/>
      <c r="Z93" s="785">
        <f>532669-3124</f>
        <v>529545</v>
      </c>
      <c r="AA93" s="114"/>
      <c r="AB93" s="785">
        <f>63690+3587</f>
        <v>67277</v>
      </c>
      <c r="AC93" s="114"/>
      <c r="AD93" s="785">
        <f>181968+9827</f>
        <v>191795</v>
      </c>
      <c r="AE93" s="114"/>
      <c r="AF93" s="260">
        <v>590281</v>
      </c>
      <c r="AG93" s="114"/>
      <c r="AH93" s="260"/>
      <c r="AI93" s="114"/>
      <c r="AJ93" s="260"/>
      <c r="AL93" s="260"/>
    </row>
    <row r="94" spans="1:38">
      <c r="A94" s="397">
        <v>82</v>
      </c>
      <c r="B94" s="114"/>
      <c r="C94" s="12" t="s">
        <v>451</v>
      </c>
      <c r="D94" s="12"/>
      <c r="E94" s="12"/>
      <c r="H94" s="260"/>
      <c r="I94" s="114"/>
      <c r="J94" s="260">
        <v>0</v>
      </c>
      <c r="K94" s="114"/>
      <c r="L94" s="260"/>
      <c r="M94" s="114"/>
      <c r="N94" s="260">
        <v>0</v>
      </c>
      <c r="O94" s="114"/>
      <c r="P94" s="260">
        <v>0</v>
      </c>
      <c r="Q94" s="260">
        <v>0</v>
      </c>
      <c r="R94" s="260">
        <v>0</v>
      </c>
      <c r="S94" s="114"/>
      <c r="T94" s="260">
        <v>0</v>
      </c>
      <c r="U94" s="114"/>
      <c r="V94" s="260">
        <v>0</v>
      </c>
      <c r="W94" s="114"/>
      <c r="X94" s="260">
        <v>0</v>
      </c>
      <c r="Y94" s="114"/>
      <c r="Z94" s="260">
        <v>0</v>
      </c>
      <c r="AA94" s="114"/>
      <c r="AB94" s="260">
        <v>0</v>
      </c>
      <c r="AC94" s="114"/>
      <c r="AD94" s="260">
        <v>0</v>
      </c>
      <c r="AE94" s="114"/>
      <c r="AF94" s="260">
        <v>0</v>
      </c>
      <c r="AG94" s="114"/>
      <c r="AH94" s="260"/>
      <c r="AI94" s="114"/>
      <c r="AJ94" s="260"/>
      <c r="AL94" s="260"/>
    </row>
    <row r="95" spans="1:38">
      <c r="A95" s="397">
        <v>83</v>
      </c>
      <c r="B95" s="114"/>
      <c r="C95" s="12" t="s">
        <v>452</v>
      </c>
      <c r="D95" s="12"/>
      <c r="E95" s="12"/>
      <c r="H95" s="260">
        <v>13597148</v>
      </c>
      <c r="I95" s="114"/>
      <c r="J95" s="260">
        <v>266049</v>
      </c>
      <c r="K95" s="114"/>
      <c r="L95" s="260">
        <v>0</v>
      </c>
      <c r="M95" s="114"/>
      <c r="N95" s="260">
        <v>0</v>
      </c>
      <c r="O95" s="114"/>
      <c r="P95" s="260">
        <v>0</v>
      </c>
      <c r="Q95" s="260">
        <v>0</v>
      </c>
      <c r="R95" s="260">
        <v>0</v>
      </c>
      <c r="S95" s="114"/>
      <c r="T95" s="260">
        <v>-3</v>
      </c>
      <c r="U95" s="114"/>
      <c r="V95" s="260">
        <v>0</v>
      </c>
      <c r="W95" s="114"/>
      <c r="X95" s="260">
        <v>0</v>
      </c>
      <c r="Y95" s="114"/>
      <c r="Z95" s="260">
        <v>0</v>
      </c>
      <c r="AA95" s="114"/>
      <c r="AB95" s="260">
        <v>0</v>
      </c>
      <c r="AC95" s="114"/>
      <c r="AD95" s="260">
        <v>55494</v>
      </c>
      <c r="AE95" s="114"/>
      <c r="AF95" s="260">
        <v>0</v>
      </c>
      <c r="AG95" s="114"/>
      <c r="AH95" s="260"/>
      <c r="AI95" s="114"/>
      <c r="AJ95" s="260"/>
      <c r="AL95" s="260"/>
    </row>
    <row r="96" spans="1:38">
      <c r="A96" s="397">
        <v>84</v>
      </c>
      <c r="B96" s="114"/>
      <c r="C96" s="413"/>
      <c r="D96" s="414" t="s">
        <v>426</v>
      </c>
      <c r="E96" s="12"/>
      <c r="H96" s="405">
        <f>SUM(H92:H95)</f>
        <v>39889488</v>
      </c>
      <c r="I96" s="114"/>
      <c r="J96" s="405">
        <f>SUM(J92:J95)</f>
        <v>1454749</v>
      </c>
      <c r="K96" s="114"/>
      <c r="L96" s="405">
        <f>SUM(L92:L95)</f>
        <v>0</v>
      </c>
      <c r="M96" s="114"/>
      <c r="N96" s="405">
        <f>SUM(N92:N95)</f>
        <v>85376575</v>
      </c>
      <c r="O96" s="114"/>
      <c r="P96" s="405">
        <f>SUM(P92:P95)</f>
        <v>797324</v>
      </c>
      <c r="Q96" s="405">
        <f>SUM(Q92:Q95)</f>
        <v>807</v>
      </c>
      <c r="R96" s="405">
        <f>SUM(R92:R95)</f>
        <v>14114588</v>
      </c>
      <c r="S96" s="114"/>
      <c r="T96" s="405">
        <f>SUM(T92:T95)</f>
        <v>3692867</v>
      </c>
      <c r="U96" s="114"/>
      <c r="V96" s="405">
        <f>SUM(V92:V95)</f>
        <v>402492</v>
      </c>
      <c r="W96" s="114"/>
      <c r="X96" s="405">
        <f>SUM(X92:X95)</f>
        <v>1306784</v>
      </c>
      <c r="Y96" s="114"/>
      <c r="Z96" s="405">
        <f>SUM(Z92:Z95)</f>
        <v>547129</v>
      </c>
      <c r="AA96" s="114"/>
      <c r="AB96" s="405">
        <f>SUM(AB92:AB95)</f>
        <v>992364</v>
      </c>
      <c r="AC96" s="114"/>
      <c r="AD96" s="405">
        <f>SUM(AD92:AD95)</f>
        <v>454362</v>
      </c>
      <c r="AE96" s="114"/>
      <c r="AF96" s="405">
        <f>SUM(AF92:AF95)</f>
        <v>626861</v>
      </c>
      <c r="AG96" s="114"/>
      <c r="AH96" s="405">
        <f>SUM(AH92:AH95)</f>
        <v>0</v>
      </c>
      <c r="AI96" s="114"/>
      <c r="AJ96" s="405">
        <v>0</v>
      </c>
      <c r="AL96" s="405">
        <f>SUM(AL92:AL95)</f>
        <v>645031</v>
      </c>
    </row>
    <row r="97" spans="1:38">
      <c r="A97" s="397">
        <v>85</v>
      </c>
      <c r="B97" s="114"/>
      <c r="C97" s="404"/>
      <c r="D97" s="114"/>
      <c r="E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L97" s="114"/>
    </row>
    <row r="98" spans="1:38">
      <c r="A98" s="397">
        <v>86</v>
      </c>
      <c r="B98" s="114"/>
      <c r="C98" s="12" t="s">
        <v>597</v>
      </c>
      <c r="D98" s="114"/>
      <c r="E98" s="114"/>
      <c r="H98" s="785">
        <f>86170708+171458</f>
        <v>86342166</v>
      </c>
      <c r="I98" s="114"/>
      <c r="J98" s="260"/>
      <c r="K98" s="114"/>
      <c r="L98" s="260">
        <v>230532</v>
      </c>
      <c r="M98" s="114"/>
      <c r="N98" s="260">
        <v>4283287</v>
      </c>
      <c r="O98" s="114"/>
      <c r="P98" s="260">
        <v>0</v>
      </c>
      <c r="Q98" s="260">
        <v>0</v>
      </c>
      <c r="R98" s="260">
        <v>6195</v>
      </c>
      <c r="S98" s="114"/>
      <c r="T98" s="260"/>
      <c r="U98" s="114"/>
      <c r="V98" s="785">
        <f>242081-9206</f>
        <v>232875</v>
      </c>
      <c r="W98" s="114"/>
      <c r="X98" s="260">
        <v>22</v>
      </c>
      <c r="Y98" s="114"/>
      <c r="Z98" s="260">
        <v>985876</v>
      </c>
      <c r="AA98" s="114"/>
      <c r="AB98" s="260">
        <v>0</v>
      </c>
      <c r="AC98" s="114"/>
      <c r="AD98" s="260">
        <v>0</v>
      </c>
      <c r="AE98" s="114"/>
      <c r="AF98" s="260">
        <v>0</v>
      </c>
      <c r="AG98" s="114"/>
      <c r="AH98" s="260"/>
      <c r="AI98" s="114"/>
      <c r="AJ98" s="260"/>
      <c r="AL98" s="260"/>
    </row>
    <row r="99" spans="1:38">
      <c r="A99" s="397">
        <v>87</v>
      </c>
      <c r="B99" s="114"/>
      <c r="C99" s="12" t="s">
        <v>221</v>
      </c>
      <c r="D99" s="114"/>
      <c r="E99" s="114"/>
      <c r="H99" s="260"/>
      <c r="I99" s="114"/>
      <c r="J99" s="785">
        <f>134917-33121</f>
        <v>101796</v>
      </c>
      <c r="K99" s="114"/>
      <c r="L99" s="260">
        <v>562247</v>
      </c>
      <c r="M99" s="114"/>
      <c r="N99" s="260">
        <v>6392274</v>
      </c>
      <c r="O99" s="114"/>
      <c r="P99" s="260">
        <v>5319</v>
      </c>
      <c r="Q99" s="260">
        <v>86</v>
      </c>
      <c r="R99" s="260"/>
      <c r="S99" s="114"/>
      <c r="T99" s="785">
        <f>119434-61543</f>
        <v>57891</v>
      </c>
      <c r="U99" s="114"/>
      <c r="V99" s="260">
        <v>31019</v>
      </c>
      <c r="W99" s="114"/>
      <c r="X99" s="785">
        <f>219907-10248</f>
        <v>209659</v>
      </c>
      <c r="Y99" s="114"/>
      <c r="Z99" s="260">
        <v>48231</v>
      </c>
      <c r="AA99" s="114"/>
      <c r="AB99" s="785">
        <f>7816-1859</f>
        <v>5957</v>
      </c>
      <c r="AC99" s="114"/>
      <c r="AD99" s="785">
        <f>24743-7983</f>
        <v>16760</v>
      </c>
      <c r="AE99" s="114"/>
      <c r="AF99" s="260">
        <v>90268</v>
      </c>
      <c r="AG99" s="114"/>
      <c r="AH99" s="260"/>
      <c r="AI99" s="114"/>
      <c r="AJ99" s="260"/>
      <c r="AL99" s="260"/>
    </row>
    <row r="100" spans="1:38">
      <c r="A100" s="397">
        <v>88</v>
      </c>
      <c r="B100" s="114"/>
      <c r="C100" s="404"/>
      <c r="D100" s="414" t="s">
        <v>914</v>
      </c>
      <c r="E100" s="114"/>
      <c r="H100" s="114">
        <f>SUM(H98:H99)</f>
        <v>86342166</v>
      </c>
      <c r="I100" s="114"/>
      <c r="J100" s="114">
        <f>SUM(J98:J99)</f>
        <v>101796</v>
      </c>
      <c r="K100" s="114"/>
      <c r="L100" s="114">
        <f>SUM(L98:L99)</f>
        <v>792779</v>
      </c>
      <c r="M100" s="114"/>
      <c r="N100" s="114">
        <f>SUM(N98:N99)</f>
        <v>10675561</v>
      </c>
      <c r="O100" s="114"/>
      <c r="P100" s="114">
        <f>SUM(P98:P99)</f>
        <v>5319</v>
      </c>
      <c r="Q100" s="114">
        <f>SUM(Q98:Q99)</f>
        <v>86</v>
      </c>
      <c r="R100" s="114">
        <f>SUM(R98:R99)</f>
        <v>6195</v>
      </c>
      <c r="S100" s="114"/>
      <c r="T100" s="114">
        <f>SUM(T98:T99)</f>
        <v>57891</v>
      </c>
      <c r="U100" s="114"/>
      <c r="V100" s="114">
        <f>SUM(V98:V99)</f>
        <v>263894</v>
      </c>
      <c r="W100" s="114"/>
      <c r="X100" s="114">
        <f>SUM(X98:X99)</f>
        <v>209681</v>
      </c>
      <c r="Y100" s="114"/>
      <c r="Z100" s="114">
        <f>SUM(Z98:Z99)</f>
        <v>1034107</v>
      </c>
      <c r="AA100" s="114"/>
      <c r="AB100" s="114">
        <f>SUM(AB98:AB99)</f>
        <v>5957</v>
      </c>
      <c r="AC100" s="114"/>
      <c r="AD100" s="114">
        <f>SUM(AD98:AD99)</f>
        <v>16760</v>
      </c>
      <c r="AE100" s="114"/>
      <c r="AF100" s="114">
        <f>SUM(AF98:AF99)</f>
        <v>90268</v>
      </c>
      <c r="AG100" s="114"/>
      <c r="AH100" s="114">
        <f>SUM(AH98:AH99)</f>
        <v>0</v>
      </c>
      <c r="AI100" s="114"/>
      <c r="AJ100" s="114">
        <f>SUM(AJ98:AJ99)</f>
        <v>0</v>
      </c>
      <c r="AL100" s="114">
        <f>SUM(AL98:AL99)</f>
        <v>0</v>
      </c>
    </row>
    <row r="101" spans="1:38">
      <c r="A101" s="397">
        <v>89</v>
      </c>
      <c r="B101" s="114"/>
      <c r="C101" s="404" t="s">
        <v>596</v>
      </c>
      <c r="D101" s="114"/>
      <c r="E101" s="114"/>
      <c r="H101" s="260"/>
      <c r="I101" s="114"/>
      <c r="J101" s="260">
        <v>0</v>
      </c>
      <c r="K101" s="114"/>
      <c r="L101" s="260">
        <v>66983550</v>
      </c>
      <c r="M101" s="114"/>
      <c r="N101" s="260">
        <v>0</v>
      </c>
      <c r="O101" s="114"/>
      <c r="P101" s="260">
        <v>0</v>
      </c>
      <c r="Q101" s="260">
        <v>0</v>
      </c>
      <c r="R101" s="260"/>
      <c r="S101" s="114"/>
      <c r="T101" s="260"/>
      <c r="U101" s="114"/>
      <c r="V101" s="260"/>
      <c r="W101" s="114"/>
      <c r="X101" s="260"/>
      <c r="Y101" s="114"/>
      <c r="Z101" s="260"/>
      <c r="AA101" s="114"/>
      <c r="AB101" s="260">
        <v>3330028</v>
      </c>
      <c r="AC101" s="114"/>
      <c r="AD101" s="260"/>
      <c r="AE101" s="114"/>
      <c r="AF101" s="260"/>
      <c r="AG101" s="114"/>
      <c r="AH101" s="260"/>
      <c r="AI101" s="114"/>
      <c r="AJ101" s="260"/>
      <c r="AL101" s="260"/>
    </row>
    <row r="102" spans="1:38">
      <c r="A102" s="397">
        <v>90</v>
      </c>
      <c r="B102" s="114"/>
      <c r="C102" s="404" t="s">
        <v>598</v>
      </c>
      <c r="D102" s="114"/>
      <c r="E102" s="114"/>
      <c r="H102" s="260"/>
      <c r="I102" s="114"/>
      <c r="J102" s="785">
        <v>4000000</v>
      </c>
      <c r="K102" s="114"/>
      <c r="L102" s="260">
        <v>0</v>
      </c>
      <c r="M102" s="114"/>
      <c r="N102" s="260">
        <v>52507189</v>
      </c>
      <c r="O102" s="114"/>
      <c r="P102" s="260">
        <v>0</v>
      </c>
      <c r="Q102" s="260">
        <v>0</v>
      </c>
      <c r="R102" s="260"/>
      <c r="S102" s="114"/>
      <c r="T102" s="260"/>
      <c r="U102" s="114"/>
      <c r="V102" s="260"/>
      <c r="W102" s="114"/>
      <c r="X102" s="260">
        <v>5500000</v>
      </c>
      <c r="Y102" s="114"/>
      <c r="Z102" s="260"/>
      <c r="AA102" s="114"/>
      <c r="AB102" s="260"/>
      <c r="AC102" s="114"/>
      <c r="AD102" s="260"/>
      <c r="AE102" s="114"/>
      <c r="AF102" s="260"/>
      <c r="AG102" s="114"/>
      <c r="AH102" s="260"/>
      <c r="AI102" s="114"/>
      <c r="AJ102" s="260"/>
      <c r="AL102" s="260"/>
    </row>
    <row r="103" spans="1:38">
      <c r="A103" s="397">
        <v>91</v>
      </c>
      <c r="B103" s="114"/>
      <c r="C103" s="404" t="s">
        <v>302</v>
      </c>
      <c r="D103" s="114"/>
      <c r="E103" s="114"/>
      <c r="H103" s="785">
        <v>255355</v>
      </c>
      <c r="I103" s="114"/>
      <c r="J103" s="260">
        <f>96610+34055</f>
        <v>130665</v>
      </c>
      <c r="K103" s="114"/>
      <c r="L103" s="260">
        <v>0</v>
      </c>
      <c r="M103" s="114"/>
      <c r="N103" s="785">
        <f>993152-533</f>
        <v>992619</v>
      </c>
      <c r="O103" s="114"/>
      <c r="P103" s="260">
        <v>7524</v>
      </c>
      <c r="Q103" s="260">
        <v>122</v>
      </c>
      <c r="R103" s="785">
        <f>10555+434</f>
        <v>10989</v>
      </c>
      <c r="S103" s="114"/>
      <c r="T103" s="785">
        <f>15454-3509</f>
        <v>11945</v>
      </c>
      <c r="U103" s="114"/>
      <c r="V103" s="785">
        <f>29058+2187</f>
        <v>31245</v>
      </c>
      <c r="W103" s="114"/>
      <c r="X103" s="785">
        <f>30500+2408</f>
        <v>32908</v>
      </c>
      <c r="Y103" s="114"/>
      <c r="Z103" s="785">
        <f>58077+3124</f>
        <v>61201</v>
      </c>
      <c r="AA103" s="114"/>
      <c r="AB103" s="785">
        <f>9615+532</f>
        <v>10147</v>
      </c>
      <c r="AC103" s="114"/>
      <c r="AD103" s="785">
        <f>19103-1844</f>
        <v>17259</v>
      </c>
      <c r="AE103" s="114"/>
      <c r="AF103" s="260"/>
      <c r="AG103" s="114"/>
      <c r="AH103" s="260"/>
      <c r="AI103" s="114"/>
      <c r="AJ103" s="260"/>
      <c r="AL103" s="260"/>
    </row>
    <row r="104" spans="1:38">
      <c r="A104" s="397">
        <v>92</v>
      </c>
      <c r="B104" s="114"/>
      <c r="C104" s="404" t="s">
        <v>186</v>
      </c>
      <c r="D104" s="114"/>
      <c r="E104" s="114"/>
      <c r="H104" s="260">
        <v>2426704</v>
      </c>
      <c r="I104" s="114"/>
      <c r="J104" s="260">
        <v>0</v>
      </c>
      <c r="K104" s="114"/>
      <c r="L104" s="260">
        <v>0</v>
      </c>
      <c r="M104" s="114"/>
      <c r="N104" s="260">
        <v>1881090</v>
      </c>
      <c r="O104" s="114"/>
      <c r="P104" s="260">
        <v>6029</v>
      </c>
      <c r="Q104" s="260"/>
      <c r="R104" s="260">
        <v>0</v>
      </c>
      <c r="S104" s="114"/>
      <c r="T104" s="260">
        <v>186913</v>
      </c>
      <c r="U104" s="114"/>
      <c r="V104" s="260">
        <v>4670344</v>
      </c>
      <c r="W104" s="114"/>
      <c r="X104" s="260">
        <v>0</v>
      </c>
      <c r="Y104" s="114"/>
      <c r="Z104" s="260">
        <v>69767</v>
      </c>
      <c r="AA104" s="114"/>
      <c r="AB104" s="260"/>
      <c r="AC104" s="114"/>
      <c r="AD104" s="260">
        <v>177858</v>
      </c>
      <c r="AE104" s="114"/>
      <c r="AF104" s="260">
        <v>897</v>
      </c>
      <c r="AG104" s="114"/>
      <c r="AH104" s="260"/>
      <c r="AI104" s="114"/>
      <c r="AJ104" s="260"/>
      <c r="AL104" s="260"/>
    </row>
    <row r="105" spans="1:38">
      <c r="A105" s="397">
        <v>93</v>
      </c>
      <c r="B105" s="114"/>
      <c r="C105" s="404" t="s">
        <v>745</v>
      </c>
      <c r="D105" s="114"/>
      <c r="E105" s="114"/>
      <c r="H105" s="260">
        <v>0</v>
      </c>
      <c r="I105" s="114"/>
      <c r="J105" s="260">
        <v>0</v>
      </c>
      <c r="K105" s="114"/>
      <c r="L105" s="260">
        <v>0</v>
      </c>
      <c r="M105" s="114"/>
      <c r="N105" s="260">
        <v>0</v>
      </c>
      <c r="O105" s="114"/>
      <c r="P105" s="260">
        <v>12120000</v>
      </c>
      <c r="Q105" s="260"/>
      <c r="R105" s="260">
        <v>48711713</v>
      </c>
      <c r="S105" s="114"/>
      <c r="T105" s="260"/>
      <c r="U105" s="114"/>
      <c r="V105" s="260"/>
      <c r="W105" s="114"/>
      <c r="X105" s="260"/>
      <c r="Y105" s="114"/>
      <c r="Z105" s="260"/>
      <c r="AA105" s="114"/>
      <c r="AB105" s="260"/>
      <c r="AC105" s="114"/>
      <c r="AD105" s="260"/>
      <c r="AE105" s="114"/>
      <c r="AF105" s="260"/>
      <c r="AG105" s="114"/>
      <c r="AH105" s="260"/>
      <c r="AI105" s="114"/>
      <c r="AJ105" s="260">
        <v>0</v>
      </c>
      <c r="AL105" s="260">
        <v>988866</v>
      </c>
    </row>
    <row r="106" spans="1:38">
      <c r="A106" s="397">
        <v>94</v>
      </c>
      <c r="B106" s="114"/>
      <c r="C106" s="404" t="s">
        <v>599</v>
      </c>
      <c r="D106" s="114"/>
      <c r="E106" s="114"/>
      <c r="H106" s="260">
        <v>59405278</v>
      </c>
      <c r="I106" s="114"/>
      <c r="J106" s="260">
        <v>1478123</v>
      </c>
      <c r="K106" s="114"/>
      <c r="L106" s="260">
        <v>0</v>
      </c>
      <c r="M106" s="114"/>
      <c r="N106" s="260">
        <v>3141974</v>
      </c>
      <c r="O106" s="114"/>
      <c r="P106" s="260">
        <v>4224688</v>
      </c>
      <c r="Q106" s="260">
        <v>416695</v>
      </c>
      <c r="R106" s="260">
        <v>14967564</v>
      </c>
      <c r="S106" s="114"/>
      <c r="T106" s="260"/>
      <c r="U106" s="114"/>
      <c r="V106" s="260"/>
      <c r="W106" s="114"/>
      <c r="X106" s="260"/>
      <c r="Y106" s="114"/>
      <c r="Z106" s="260">
        <v>268333</v>
      </c>
      <c r="AA106" s="114"/>
      <c r="AB106" s="260">
        <v>6225617</v>
      </c>
      <c r="AC106" s="114"/>
      <c r="AD106" s="406"/>
      <c r="AE106" s="114"/>
      <c r="AF106" s="260"/>
      <c r="AG106" s="114"/>
      <c r="AH106" s="260"/>
      <c r="AI106" s="114"/>
      <c r="AJ106" s="260"/>
      <c r="AL106" s="260">
        <v>243598</v>
      </c>
    </row>
    <row r="107" spans="1:38">
      <c r="A107" s="397">
        <v>95</v>
      </c>
      <c r="B107" s="114"/>
      <c r="C107" s="404" t="s">
        <v>193</v>
      </c>
      <c r="D107" s="114"/>
      <c r="E107" s="114"/>
      <c r="H107" s="260"/>
      <c r="I107" s="114"/>
      <c r="J107" s="260">
        <v>93359</v>
      </c>
      <c r="K107" s="114"/>
      <c r="L107" s="260">
        <v>121464970</v>
      </c>
      <c r="M107" s="114"/>
      <c r="N107" s="260"/>
      <c r="O107" s="114"/>
      <c r="P107" s="260">
        <v>0</v>
      </c>
      <c r="Q107" s="260">
        <v>0</v>
      </c>
      <c r="R107" s="260"/>
      <c r="S107" s="114"/>
      <c r="T107" s="260"/>
      <c r="U107" s="114"/>
      <c r="V107" s="260"/>
      <c r="W107" s="114"/>
      <c r="X107" s="260"/>
      <c r="Y107" s="114"/>
      <c r="Z107" s="260"/>
      <c r="AA107" s="114"/>
      <c r="AB107" s="260"/>
      <c r="AC107" s="114"/>
      <c r="AD107" s="260"/>
      <c r="AE107" s="114"/>
      <c r="AF107" s="260"/>
      <c r="AG107" s="114"/>
      <c r="AH107" s="260"/>
      <c r="AI107" s="114"/>
      <c r="AJ107" s="260"/>
      <c r="AL107" s="260"/>
    </row>
    <row r="108" spans="1:38">
      <c r="A108" s="397">
        <v>96</v>
      </c>
      <c r="B108" s="114"/>
      <c r="C108" s="404"/>
      <c r="D108" s="114"/>
      <c r="E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405"/>
      <c r="AE108" s="114"/>
      <c r="AF108" s="114"/>
      <c r="AG108" s="114"/>
      <c r="AH108" s="114"/>
      <c r="AI108" s="114"/>
      <c r="AJ108" s="114"/>
      <c r="AL108" s="114"/>
    </row>
    <row r="109" spans="1:38">
      <c r="A109" s="397">
        <v>97</v>
      </c>
      <c r="B109" s="114"/>
      <c r="C109" s="114" t="s">
        <v>600</v>
      </c>
      <c r="D109" s="114"/>
      <c r="E109" s="114"/>
      <c r="H109" s="260">
        <v>52098</v>
      </c>
      <c r="I109" s="114"/>
      <c r="J109" s="260">
        <v>35950</v>
      </c>
      <c r="K109" s="114"/>
      <c r="L109" s="260"/>
      <c r="M109" s="114"/>
      <c r="N109" s="260"/>
      <c r="O109" s="114"/>
      <c r="P109" s="260"/>
      <c r="Q109" s="260"/>
      <c r="R109" s="260"/>
      <c r="S109" s="114"/>
      <c r="T109" s="260"/>
      <c r="U109" s="114"/>
      <c r="V109" s="260"/>
      <c r="W109" s="114"/>
      <c r="X109" s="260"/>
      <c r="Y109" s="114"/>
      <c r="Z109" s="260"/>
      <c r="AA109" s="114"/>
      <c r="AB109" s="260"/>
      <c r="AC109" s="114"/>
      <c r="AD109" s="260"/>
      <c r="AE109" s="114"/>
      <c r="AF109" s="260"/>
      <c r="AG109" s="114"/>
      <c r="AH109" s="260"/>
      <c r="AI109" s="114"/>
      <c r="AJ109" s="260"/>
      <c r="AL109" s="260"/>
    </row>
    <row r="110" spans="1:38">
      <c r="A110" s="397">
        <v>98</v>
      </c>
      <c r="B110" s="114"/>
      <c r="C110" s="114" t="s">
        <v>743</v>
      </c>
      <c r="D110" s="114"/>
      <c r="E110" s="114"/>
      <c r="H110" s="260">
        <v>113552321</v>
      </c>
      <c r="I110" s="114"/>
      <c r="J110" s="260">
        <v>32527732</v>
      </c>
      <c r="K110" s="114"/>
      <c r="L110" s="260"/>
      <c r="M110" s="114"/>
      <c r="N110" s="260"/>
      <c r="O110" s="114"/>
      <c r="P110" s="260"/>
      <c r="Q110" s="260"/>
      <c r="R110" s="260"/>
      <c r="S110" s="114"/>
      <c r="T110" s="260"/>
      <c r="U110" s="114"/>
      <c r="V110" s="260"/>
      <c r="W110" s="114"/>
      <c r="X110" s="260"/>
      <c r="Y110" s="114"/>
      <c r="Z110" s="260"/>
      <c r="AA110" s="114"/>
      <c r="AB110" s="260"/>
      <c r="AC110" s="114"/>
      <c r="AD110" s="260"/>
      <c r="AE110" s="114"/>
      <c r="AF110" s="260"/>
      <c r="AG110" s="114"/>
      <c r="AH110" s="260"/>
      <c r="AI110" s="114"/>
      <c r="AJ110" s="260"/>
      <c r="AL110" s="260"/>
    </row>
    <row r="111" spans="1:38">
      <c r="A111" s="397">
        <v>99</v>
      </c>
      <c r="B111" s="114"/>
      <c r="C111" s="114" t="s">
        <v>744</v>
      </c>
      <c r="D111" s="114"/>
      <c r="E111" s="114"/>
      <c r="H111" s="260"/>
      <c r="I111" s="114"/>
      <c r="J111" s="260">
        <v>0</v>
      </c>
      <c r="K111" s="114"/>
      <c r="L111" s="260"/>
      <c r="M111" s="114"/>
      <c r="N111" s="260"/>
      <c r="O111" s="114"/>
      <c r="P111" s="260"/>
      <c r="Q111" s="260"/>
      <c r="R111" s="260"/>
      <c r="S111" s="114"/>
      <c r="T111" s="260"/>
      <c r="U111" s="114"/>
      <c r="V111" s="260"/>
      <c r="W111" s="114"/>
      <c r="X111" s="260"/>
      <c r="Y111" s="114"/>
      <c r="Z111" s="260"/>
      <c r="AA111" s="114"/>
      <c r="AB111" s="260"/>
      <c r="AC111" s="114"/>
      <c r="AD111" s="260"/>
      <c r="AE111" s="114"/>
      <c r="AF111" s="260"/>
      <c r="AG111" s="114"/>
      <c r="AH111" s="260"/>
      <c r="AI111" s="114"/>
      <c r="AJ111" s="260">
        <v>121574</v>
      </c>
      <c r="AL111" s="260"/>
    </row>
    <row r="112" spans="1:38">
      <c r="A112" s="397">
        <v>100</v>
      </c>
      <c r="B112" s="114"/>
      <c r="C112" s="114"/>
      <c r="D112" s="404" t="s">
        <v>230</v>
      </c>
      <c r="E112" s="114"/>
      <c r="H112" s="405">
        <f>SUM(H109:H111)</f>
        <v>113604419</v>
      </c>
      <c r="I112" s="114"/>
      <c r="J112" s="405">
        <f>SUM(J109:J111)</f>
        <v>32563682</v>
      </c>
      <c r="K112" s="114"/>
      <c r="L112" s="405">
        <f>SUM(L109:L111)</f>
        <v>0</v>
      </c>
      <c r="M112" s="114"/>
      <c r="N112" s="405">
        <f>SUM(N109:N111)</f>
        <v>0</v>
      </c>
      <c r="O112" s="114"/>
      <c r="P112" s="405">
        <f>SUM(P109:P111)</f>
        <v>0</v>
      </c>
      <c r="Q112" s="405">
        <f>SUM(Q109:Q111)</f>
        <v>0</v>
      </c>
      <c r="R112" s="405">
        <f>SUM(R109:R111)</f>
        <v>0</v>
      </c>
      <c r="S112" s="114"/>
      <c r="T112" s="405">
        <f>SUM(T109:T111)</f>
        <v>0</v>
      </c>
      <c r="U112" s="114"/>
      <c r="V112" s="405">
        <f>SUM(V109:V111)</f>
        <v>0</v>
      </c>
      <c r="W112" s="114"/>
      <c r="X112" s="405">
        <f>SUM(X109:X111)</f>
        <v>0</v>
      </c>
      <c r="Y112" s="114"/>
      <c r="Z112" s="405">
        <f>SUM(Z109:Z111)</f>
        <v>0</v>
      </c>
      <c r="AA112" s="114"/>
      <c r="AB112" s="405">
        <f>SUM(AB109:AB111)</f>
        <v>0</v>
      </c>
      <c r="AC112" s="114"/>
      <c r="AD112" s="405">
        <f>SUM(AD109:AD111)</f>
        <v>0</v>
      </c>
      <c r="AE112" s="114"/>
      <c r="AF112" s="405">
        <f>SUM(AF109:AF111)</f>
        <v>0</v>
      </c>
      <c r="AG112" s="114"/>
      <c r="AH112" s="405">
        <f>SUM(AH107:AH111)</f>
        <v>0</v>
      </c>
      <c r="AI112" s="114"/>
      <c r="AJ112" s="405">
        <f>SUM(AJ109:AJ111)</f>
        <v>121574</v>
      </c>
      <c r="AL112" s="405">
        <f>SUM(AL109:AL111)</f>
        <v>0</v>
      </c>
    </row>
    <row r="113" spans="1:38">
      <c r="A113" s="397">
        <v>101</v>
      </c>
      <c r="B113" s="114"/>
      <c r="C113" s="114"/>
      <c r="D113" s="404"/>
      <c r="E113" s="114"/>
      <c r="H113" s="114"/>
      <c r="I113" s="114"/>
      <c r="J113" s="114"/>
      <c r="K113" s="114"/>
      <c r="L113" s="114"/>
      <c r="M113" s="114"/>
      <c r="N113" s="114"/>
      <c r="O113" s="114"/>
      <c r="P113" s="114"/>
      <c r="Q113" s="114"/>
      <c r="R113" s="114"/>
      <c r="S113" s="114"/>
      <c r="T113" s="260"/>
      <c r="U113" s="114"/>
      <c r="V113" s="114"/>
      <c r="W113" s="114"/>
      <c r="X113" s="114"/>
      <c r="Y113" s="114"/>
      <c r="Z113" s="114"/>
      <c r="AA113" s="114"/>
      <c r="AB113" s="114"/>
      <c r="AC113" s="114"/>
      <c r="AD113" s="114"/>
      <c r="AE113" s="114"/>
      <c r="AF113" s="114"/>
      <c r="AG113" s="114"/>
      <c r="AH113" s="114"/>
      <c r="AI113" s="114"/>
      <c r="AJ113" s="114"/>
      <c r="AL113" s="114"/>
    </row>
    <row r="114" spans="1:38">
      <c r="A114" s="397">
        <v>102</v>
      </c>
      <c r="B114" s="114"/>
      <c r="C114" s="114" t="s">
        <v>3195</v>
      </c>
      <c r="D114" s="409"/>
      <c r="E114" s="417"/>
      <c r="H114" s="260"/>
      <c r="I114" s="114"/>
      <c r="J114" s="260">
        <v>184018545</v>
      </c>
      <c r="K114" s="114"/>
      <c r="L114" s="260"/>
      <c r="M114" s="114"/>
      <c r="N114" s="260">
        <v>0</v>
      </c>
      <c r="O114" s="114"/>
      <c r="P114" s="260">
        <v>0</v>
      </c>
      <c r="Q114" s="260">
        <v>0</v>
      </c>
      <c r="R114" s="260"/>
      <c r="S114" s="114"/>
      <c r="T114" s="260"/>
      <c r="U114" s="114"/>
      <c r="V114" s="260"/>
      <c r="W114" s="114"/>
      <c r="X114" s="260"/>
      <c r="Y114" s="114"/>
      <c r="Z114" s="260"/>
      <c r="AA114" s="114"/>
      <c r="AB114" s="260"/>
      <c r="AC114" s="114"/>
      <c r="AD114" s="260"/>
      <c r="AE114" s="114"/>
      <c r="AF114" s="260"/>
      <c r="AG114" s="114"/>
      <c r="AH114" s="260"/>
      <c r="AI114" s="114"/>
      <c r="AJ114" s="260"/>
      <c r="AL114" s="260"/>
    </row>
    <row r="115" spans="1:38">
      <c r="A115" s="397">
        <v>103</v>
      </c>
      <c r="B115" s="114"/>
      <c r="C115" s="417" t="s">
        <v>194</v>
      </c>
      <c r="D115" s="409"/>
      <c r="E115" s="417"/>
      <c r="H115" s="260">
        <v>13562113</v>
      </c>
      <c r="I115" s="114"/>
      <c r="J115" s="260"/>
      <c r="K115" s="114"/>
      <c r="L115" s="260"/>
      <c r="M115" s="114"/>
      <c r="N115" s="260">
        <v>0</v>
      </c>
      <c r="O115" s="114"/>
      <c r="P115" s="260">
        <v>0</v>
      </c>
      <c r="Q115" s="260">
        <v>0</v>
      </c>
      <c r="R115" s="260"/>
      <c r="S115" s="114"/>
      <c r="T115" s="260"/>
      <c r="U115" s="114"/>
      <c r="V115" s="260"/>
      <c r="W115" s="114"/>
      <c r="X115" s="260"/>
      <c r="Y115" s="114"/>
      <c r="Z115" s="260"/>
      <c r="AA115" s="114"/>
      <c r="AB115" s="260"/>
      <c r="AC115" s="114"/>
      <c r="AD115" s="260"/>
      <c r="AE115" s="114"/>
      <c r="AF115" s="260"/>
      <c r="AG115" s="114"/>
      <c r="AH115" s="260"/>
      <c r="AI115" s="114"/>
      <c r="AJ115" s="260"/>
      <c r="AL115" s="260"/>
    </row>
    <row r="116" spans="1:38">
      <c r="A116" s="397">
        <v>104</v>
      </c>
      <c r="B116" s="114"/>
      <c r="C116" s="417" t="s">
        <v>742</v>
      </c>
      <c r="D116" s="409"/>
      <c r="E116" s="417"/>
      <c r="H116" s="260">
        <v>1990807</v>
      </c>
      <c r="I116" s="114"/>
      <c r="J116" s="260">
        <v>843179</v>
      </c>
      <c r="K116" s="114"/>
      <c r="L116" s="260"/>
      <c r="M116" s="114"/>
      <c r="N116" s="260">
        <v>8041852</v>
      </c>
      <c r="O116" s="114"/>
      <c r="P116" s="260">
        <v>10090</v>
      </c>
      <c r="Q116" s="260">
        <v>164</v>
      </c>
      <c r="R116" s="260">
        <v>134354</v>
      </c>
      <c r="S116" s="114"/>
      <c r="T116" s="260">
        <v>190</v>
      </c>
      <c r="U116" s="114"/>
      <c r="V116" s="260">
        <v>85970</v>
      </c>
      <c r="W116" s="114"/>
      <c r="X116" s="260">
        <v>99372</v>
      </c>
      <c r="Y116" s="114"/>
      <c r="Z116" s="260">
        <v>507430</v>
      </c>
      <c r="AA116" s="114"/>
      <c r="AB116" s="260">
        <v>64901</v>
      </c>
      <c r="AC116" s="114"/>
      <c r="AD116" s="260">
        <v>0</v>
      </c>
      <c r="AE116" s="114"/>
      <c r="AF116" s="260"/>
      <c r="AG116" s="114"/>
      <c r="AH116" s="260"/>
      <c r="AI116" s="114"/>
      <c r="AJ116" s="260"/>
      <c r="AL116" s="260"/>
    </row>
    <row r="117" spans="1:38">
      <c r="A117" s="397">
        <v>105</v>
      </c>
      <c r="B117" s="114"/>
      <c r="C117" s="166" t="s">
        <v>3551</v>
      </c>
      <c r="D117" s="409"/>
      <c r="E117" s="417"/>
      <c r="H117" s="260">
        <v>4547578</v>
      </c>
      <c r="I117" s="114"/>
      <c r="J117" s="260">
        <v>37690</v>
      </c>
      <c r="K117" s="114"/>
      <c r="L117" s="260"/>
      <c r="M117" s="114"/>
      <c r="N117" s="260">
        <v>20806232</v>
      </c>
      <c r="O117" s="114"/>
      <c r="P117" s="260">
        <v>0</v>
      </c>
      <c r="Q117" s="260">
        <v>0</v>
      </c>
      <c r="R117" s="260"/>
      <c r="S117" s="114"/>
      <c r="T117" s="260"/>
      <c r="U117" s="114"/>
      <c r="V117" s="260"/>
      <c r="W117" s="114"/>
      <c r="X117" s="260"/>
      <c r="Y117" s="114"/>
      <c r="Z117" s="260"/>
      <c r="AA117" s="114"/>
      <c r="AB117" s="260"/>
      <c r="AC117" s="114"/>
      <c r="AD117" s="260"/>
      <c r="AE117" s="114"/>
      <c r="AF117" s="260"/>
      <c r="AG117" s="114"/>
      <c r="AH117" s="260"/>
      <c r="AI117" s="114"/>
      <c r="AJ117" s="260"/>
      <c r="AL117" s="260"/>
    </row>
    <row r="118" spans="1:38">
      <c r="A118" s="397">
        <v>106</v>
      </c>
      <c r="B118" s="114"/>
      <c r="C118" s="166" t="s">
        <v>3553</v>
      </c>
      <c r="D118" s="409"/>
      <c r="E118" s="417"/>
      <c r="H118" s="260">
        <v>1327609</v>
      </c>
      <c r="I118" s="114"/>
      <c r="J118" s="260">
        <v>897488</v>
      </c>
      <c r="K118" s="114"/>
      <c r="L118" s="260"/>
      <c r="M118" s="114"/>
      <c r="N118" s="260">
        <v>2185538</v>
      </c>
      <c r="O118" s="114"/>
      <c r="P118" s="260"/>
      <c r="Q118" s="260"/>
      <c r="R118" s="260"/>
      <c r="S118" s="114"/>
      <c r="T118" s="260"/>
      <c r="U118" s="114"/>
      <c r="V118" s="260"/>
      <c r="W118" s="114"/>
      <c r="X118" s="260">
        <v>6748644</v>
      </c>
      <c r="Y118" s="114"/>
      <c r="Z118" s="260"/>
      <c r="AA118" s="114"/>
      <c r="AB118" s="260"/>
      <c r="AC118" s="114"/>
      <c r="AD118" s="260"/>
      <c r="AE118" s="114"/>
      <c r="AF118" s="260"/>
      <c r="AG118" s="114"/>
      <c r="AH118" s="260"/>
      <c r="AI118" s="114"/>
      <c r="AJ118" s="260"/>
      <c r="AL118" s="260"/>
    </row>
    <row r="119" spans="1:38">
      <c r="A119" s="397">
        <v>107</v>
      </c>
      <c r="B119" s="114"/>
      <c r="C119" s="417" t="s">
        <v>747</v>
      </c>
      <c r="D119" s="409"/>
      <c r="E119" s="417"/>
      <c r="H119" s="260"/>
      <c r="I119" s="114"/>
      <c r="J119" s="260"/>
      <c r="K119" s="114"/>
      <c r="L119" s="260"/>
      <c r="M119" s="114"/>
      <c r="N119" s="260">
        <v>0</v>
      </c>
      <c r="O119" s="114"/>
      <c r="P119" s="260">
        <v>0</v>
      </c>
      <c r="Q119" s="260">
        <v>0</v>
      </c>
      <c r="R119" s="260"/>
      <c r="S119" s="114"/>
      <c r="T119" s="260"/>
      <c r="U119" s="114"/>
      <c r="V119" s="260"/>
      <c r="W119" s="114"/>
      <c r="X119" s="260"/>
      <c r="Y119" s="114"/>
      <c r="Z119" s="260"/>
      <c r="AA119" s="114"/>
      <c r="AB119" s="260"/>
      <c r="AC119" s="114"/>
      <c r="AD119" s="260"/>
      <c r="AE119" s="114"/>
      <c r="AF119" s="260"/>
      <c r="AG119" s="114"/>
      <c r="AH119" s="260"/>
      <c r="AI119" s="114"/>
      <c r="AJ119" s="260"/>
      <c r="AL119" s="260"/>
    </row>
    <row r="120" spans="1:38">
      <c r="A120" s="397">
        <v>108</v>
      </c>
      <c r="B120" s="114"/>
      <c r="C120" s="166" t="s">
        <v>3552</v>
      </c>
      <c r="D120" s="409"/>
      <c r="E120" s="417"/>
      <c r="H120" s="260"/>
      <c r="I120" s="114"/>
      <c r="J120" s="260"/>
      <c r="K120" s="114"/>
      <c r="L120" s="260"/>
      <c r="M120" s="114"/>
      <c r="N120" s="260"/>
      <c r="O120" s="114"/>
      <c r="P120" s="260"/>
      <c r="Q120" s="260"/>
      <c r="R120" s="260"/>
      <c r="S120" s="114"/>
      <c r="T120" s="260"/>
      <c r="U120" s="114"/>
      <c r="V120" s="260"/>
      <c r="W120" s="114"/>
      <c r="X120" s="260"/>
      <c r="Y120" s="114"/>
      <c r="Z120" s="260"/>
      <c r="AA120" s="114"/>
      <c r="AB120" s="260"/>
      <c r="AC120" s="114"/>
      <c r="AD120" s="260"/>
      <c r="AE120" s="114"/>
      <c r="AF120" s="260"/>
      <c r="AG120" s="114"/>
      <c r="AH120" s="260"/>
      <c r="AI120" s="114"/>
      <c r="AJ120" s="260"/>
      <c r="AL120" s="260"/>
    </row>
    <row r="121" spans="1:38">
      <c r="A121" s="397">
        <v>109</v>
      </c>
      <c r="B121" s="114"/>
      <c r="C121" s="417" t="s">
        <v>748</v>
      </c>
      <c r="D121" s="409"/>
      <c r="E121" s="417"/>
      <c r="H121" s="260"/>
      <c r="I121" s="114"/>
      <c r="J121" s="260"/>
      <c r="K121" s="114"/>
      <c r="L121" s="260"/>
      <c r="M121" s="114"/>
      <c r="N121" s="260">
        <v>0</v>
      </c>
      <c r="O121" s="114"/>
      <c r="P121" s="260">
        <v>0</v>
      </c>
      <c r="Q121" s="260">
        <v>0</v>
      </c>
      <c r="R121" s="260"/>
      <c r="S121" s="114"/>
      <c r="T121" s="260"/>
      <c r="U121" s="114"/>
      <c r="V121" s="260"/>
      <c r="W121" s="114"/>
      <c r="X121" s="260"/>
      <c r="Y121" s="114"/>
      <c r="Z121" s="260"/>
      <c r="AA121" s="114"/>
      <c r="AB121" s="260"/>
      <c r="AC121" s="114"/>
      <c r="AD121" s="260"/>
      <c r="AE121" s="114"/>
      <c r="AF121" s="260"/>
      <c r="AG121" s="114"/>
      <c r="AH121" s="260"/>
      <c r="AI121" s="114"/>
      <c r="AJ121" s="260"/>
      <c r="AL121" s="260"/>
    </row>
    <row r="122" spans="1:38">
      <c r="A122" s="397">
        <v>110</v>
      </c>
      <c r="B122" s="114"/>
      <c r="C122" s="417" t="s">
        <v>195</v>
      </c>
      <c r="D122" s="409"/>
      <c r="E122" s="417"/>
      <c r="H122" s="260"/>
      <c r="I122" s="114"/>
      <c r="J122" s="260"/>
      <c r="K122" s="114"/>
      <c r="L122" s="260"/>
      <c r="M122" s="114"/>
      <c r="N122" s="260">
        <v>0</v>
      </c>
      <c r="O122" s="114"/>
      <c r="P122" s="260">
        <v>0</v>
      </c>
      <c r="Q122" s="260">
        <v>0</v>
      </c>
      <c r="R122" s="260"/>
      <c r="S122" s="114"/>
      <c r="T122" s="260"/>
      <c r="U122" s="114"/>
      <c r="V122" s="260"/>
      <c r="W122" s="114"/>
      <c r="X122" s="260"/>
      <c r="Y122" s="114"/>
      <c r="Z122" s="260"/>
      <c r="AA122" s="114"/>
      <c r="AB122" s="260"/>
      <c r="AC122" s="114"/>
      <c r="AD122" s="260"/>
      <c r="AE122" s="114"/>
      <c r="AF122" s="260"/>
      <c r="AG122" s="114"/>
      <c r="AH122" s="260"/>
      <c r="AI122" s="114"/>
      <c r="AJ122" s="260"/>
      <c r="AL122" s="260"/>
    </row>
    <row r="123" spans="1:38">
      <c r="A123" s="397">
        <v>111</v>
      </c>
      <c r="B123" s="114"/>
      <c r="C123" s="417" t="s">
        <v>2981</v>
      </c>
      <c r="D123" s="409"/>
      <c r="E123" s="417"/>
      <c r="H123" s="260">
        <v>3481</v>
      </c>
      <c r="I123" s="114"/>
      <c r="J123" s="260"/>
      <c r="K123" s="114"/>
      <c r="L123" s="260"/>
      <c r="M123" s="114"/>
      <c r="N123" s="260">
        <v>38727</v>
      </c>
      <c r="O123" s="114"/>
      <c r="P123" s="260"/>
      <c r="Q123" s="260"/>
      <c r="R123" s="260"/>
      <c r="S123" s="114"/>
      <c r="T123" s="260"/>
      <c r="U123" s="114"/>
      <c r="V123" s="260"/>
      <c r="W123" s="114"/>
      <c r="X123" s="260"/>
      <c r="Y123" s="114"/>
      <c r="Z123" s="260"/>
      <c r="AA123" s="114"/>
      <c r="AB123" s="260"/>
      <c r="AC123" s="114"/>
      <c r="AD123" s="260"/>
      <c r="AE123" s="114"/>
      <c r="AF123" s="260"/>
      <c r="AG123" s="114"/>
      <c r="AH123" s="260"/>
      <c r="AI123" s="114"/>
      <c r="AJ123" s="260"/>
      <c r="AL123" s="260"/>
    </row>
    <row r="124" spans="1:38">
      <c r="A124" s="397">
        <v>112</v>
      </c>
      <c r="B124" s="114"/>
      <c r="C124" s="12" t="s">
        <v>3554</v>
      </c>
      <c r="D124" s="404"/>
      <c r="E124" s="114"/>
      <c r="H124" s="260">
        <v>128456</v>
      </c>
      <c r="I124" s="114"/>
      <c r="J124" s="260">
        <v>64940</v>
      </c>
      <c r="K124" s="114"/>
      <c r="L124" s="260"/>
      <c r="M124" s="114"/>
      <c r="N124" s="260">
        <v>530637</v>
      </c>
      <c r="O124" s="114"/>
      <c r="P124" s="260"/>
      <c r="Q124" s="260"/>
      <c r="R124" s="260"/>
      <c r="S124" s="114"/>
      <c r="T124" s="260"/>
      <c r="U124" s="114"/>
      <c r="V124" s="260"/>
      <c r="W124" s="114"/>
      <c r="X124" s="260"/>
      <c r="Y124" s="114"/>
      <c r="Z124" s="260"/>
      <c r="AA124" s="114"/>
      <c r="AB124" s="260"/>
      <c r="AC124" s="114"/>
      <c r="AD124" s="260"/>
      <c r="AE124" s="114"/>
      <c r="AF124" s="260"/>
      <c r="AG124" s="114"/>
      <c r="AH124" s="260"/>
      <c r="AI124" s="114"/>
      <c r="AJ124" s="260"/>
      <c r="AL124" s="260"/>
    </row>
    <row r="125" spans="1:38">
      <c r="A125" s="397">
        <v>113</v>
      </c>
      <c r="B125" s="114"/>
      <c r="C125" s="114"/>
      <c r="D125" s="404" t="s">
        <v>231</v>
      </c>
      <c r="E125" s="114"/>
      <c r="H125" s="405">
        <f>SUM(H114:H124)</f>
        <v>21560044</v>
      </c>
      <c r="I125" s="114"/>
      <c r="J125" s="405">
        <f>SUM(J114:J124)</f>
        <v>185861842</v>
      </c>
      <c r="K125" s="114"/>
      <c r="L125" s="405">
        <v>0</v>
      </c>
      <c r="M125" s="114"/>
      <c r="N125" s="405">
        <f>SUM(N114:N124)</f>
        <v>31602986</v>
      </c>
      <c r="O125" s="114"/>
      <c r="P125" s="405">
        <f>SUM(P114:P124)</f>
        <v>10090</v>
      </c>
      <c r="Q125" s="405">
        <f>SUM(Q114:Q122)</f>
        <v>164</v>
      </c>
      <c r="R125" s="405">
        <f>SUM(R114:R124)</f>
        <v>134354</v>
      </c>
      <c r="S125" s="114"/>
      <c r="T125" s="405">
        <f>SUM(T114:T124)</f>
        <v>190</v>
      </c>
      <c r="U125" s="114"/>
      <c r="V125" s="405">
        <f>SUM(V114:V124)</f>
        <v>85970</v>
      </c>
      <c r="W125" s="114"/>
      <c r="X125" s="405">
        <f>SUM(X114:X124)</f>
        <v>6848016</v>
      </c>
      <c r="Y125" s="114"/>
      <c r="Z125" s="405">
        <f>SUM(Z114:Z124)</f>
        <v>507430</v>
      </c>
      <c r="AA125" s="114"/>
      <c r="AB125" s="405">
        <f>SUM(AB114:AB124)</f>
        <v>64901</v>
      </c>
      <c r="AC125" s="114"/>
      <c r="AD125" s="405">
        <f>SUM(AD114:AD124)</f>
        <v>0</v>
      </c>
      <c r="AE125" s="114"/>
      <c r="AF125" s="405">
        <f>SUM(AF114:AF124)</f>
        <v>0</v>
      </c>
      <c r="AG125" s="114"/>
      <c r="AH125" s="405">
        <f>SUM(AH114:AH122)</f>
        <v>0</v>
      </c>
      <c r="AI125" s="114"/>
      <c r="AJ125" s="405">
        <v>0</v>
      </c>
      <c r="AL125" s="405">
        <v>0</v>
      </c>
    </row>
    <row r="126" spans="1:38">
      <c r="A126" s="397">
        <v>114</v>
      </c>
      <c r="B126" s="114"/>
      <c r="C126" s="114"/>
      <c r="D126" s="114"/>
      <c r="E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L126" s="114"/>
    </row>
    <row r="127" spans="1:38">
      <c r="A127" s="397">
        <v>115</v>
      </c>
      <c r="B127" s="114"/>
      <c r="C127" s="114"/>
      <c r="D127" s="114"/>
      <c r="E127" s="404" t="s">
        <v>749</v>
      </c>
      <c r="H127" s="405">
        <f>SUM(H96,H100:H107,H112,H125)</f>
        <v>323483454</v>
      </c>
      <c r="I127" s="114"/>
      <c r="J127" s="405">
        <f>SUM(J96,J100:J107,J112,J125)</f>
        <v>225684216</v>
      </c>
      <c r="K127" s="114"/>
      <c r="L127" s="405">
        <f>SUM(L96,L100:L107,L112,L125)</f>
        <v>189241299</v>
      </c>
      <c r="M127" s="114"/>
      <c r="N127" s="405">
        <f>SUM(N96,N100:N107,N112,N125)</f>
        <v>186177994</v>
      </c>
      <c r="O127" s="114"/>
      <c r="P127" s="405">
        <f>SUM(P96,P100:P107,P112,P125)</f>
        <v>17170974</v>
      </c>
      <c r="Q127" s="405">
        <f>SUM(Q96,Q100:Q107,Q112,Q125)</f>
        <v>417874</v>
      </c>
      <c r="R127" s="405">
        <f>SUM(R96,R100:R107,R112,R125)</f>
        <v>77945403</v>
      </c>
      <c r="S127" s="114"/>
      <c r="T127" s="405">
        <f>SUM(T96,T100:T107,T112,T125)</f>
        <v>3949806</v>
      </c>
      <c r="U127" s="114"/>
      <c r="V127" s="405">
        <f>SUM(V96,V100:V107,V112,V125)</f>
        <v>5453945</v>
      </c>
      <c r="W127" s="114"/>
      <c r="X127" s="405">
        <f>SUM(X96,X100:X107,X112,X125)</f>
        <v>13897389</v>
      </c>
      <c r="Y127" s="114"/>
      <c r="Z127" s="405">
        <f>SUM(Z96,Z100:Z107,Z112,Z125)</f>
        <v>2487967</v>
      </c>
      <c r="AA127" s="114"/>
      <c r="AB127" s="405">
        <f>SUM(AB96,AB100:AB107,AB112,AB125)</f>
        <v>10629014</v>
      </c>
      <c r="AC127" s="114"/>
      <c r="AD127" s="405">
        <f>SUM(AD96,AD100:AD107,AD112,AD125)</f>
        <v>666239</v>
      </c>
      <c r="AE127" s="114"/>
      <c r="AF127" s="405">
        <f>SUM(AF96,AF100:AF107,AF112,AF125)</f>
        <v>718026</v>
      </c>
      <c r="AG127" s="114"/>
      <c r="AH127" s="405">
        <f>SUM(AH96,AH100:AH106,AH112,AH125)</f>
        <v>0</v>
      </c>
      <c r="AI127" s="114"/>
      <c r="AJ127" s="405">
        <f>SUM(AJ96,AJ100:AJ107,AJ112,AJ125)</f>
        <v>121574</v>
      </c>
      <c r="AL127" s="405">
        <f>SUM(AL96,AL100:AL107,AL112,AL125)</f>
        <v>1877495</v>
      </c>
    </row>
    <row r="128" spans="1:38">
      <c r="A128" s="397">
        <v>116</v>
      </c>
      <c r="B128" s="114"/>
      <c r="C128" s="114"/>
      <c r="D128" s="114"/>
      <c r="E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L128" s="114"/>
    </row>
    <row r="129" spans="1:38">
      <c r="A129" s="397">
        <v>117</v>
      </c>
      <c r="B129" s="114" t="s">
        <v>268</v>
      </c>
      <c r="C129" s="114"/>
      <c r="D129" s="114"/>
      <c r="E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L129" s="114"/>
    </row>
    <row r="130" spans="1:38">
      <c r="A130" s="397">
        <v>118</v>
      </c>
      <c r="B130" s="114"/>
      <c r="C130" s="404" t="s">
        <v>598</v>
      </c>
      <c r="D130" s="114"/>
      <c r="E130" s="114"/>
      <c r="H130" s="260"/>
      <c r="I130" s="114"/>
      <c r="J130" s="260"/>
      <c r="K130" s="114"/>
      <c r="L130" s="260"/>
      <c r="M130" s="114"/>
      <c r="N130" s="260"/>
      <c r="O130" s="114"/>
      <c r="P130" s="260">
        <v>0</v>
      </c>
      <c r="Q130" s="260">
        <v>0</v>
      </c>
      <c r="R130" s="260">
        <v>0</v>
      </c>
      <c r="S130" s="114"/>
      <c r="T130" s="260"/>
      <c r="U130" s="114"/>
      <c r="V130" s="260"/>
      <c r="W130" s="114"/>
      <c r="X130" s="260"/>
      <c r="Y130" s="114"/>
      <c r="Z130" s="260"/>
      <c r="AA130" s="114"/>
      <c r="AB130" s="260"/>
      <c r="AC130" s="114"/>
      <c r="AD130" s="260"/>
      <c r="AE130" s="114"/>
      <c r="AF130" s="260"/>
      <c r="AG130" s="114"/>
      <c r="AH130" s="260"/>
      <c r="AI130" s="114"/>
      <c r="AJ130" s="260"/>
      <c r="AL130" s="260"/>
    </row>
    <row r="131" spans="1:38">
      <c r="A131" s="397">
        <v>119</v>
      </c>
      <c r="B131" s="114"/>
      <c r="C131" s="404" t="s">
        <v>745</v>
      </c>
      <c r="D131" s="114"/>
      <c r="E131" s="114"/>
      <c r="H131" s="260"/>
      <c r="I131" s="114"/>
      <c r="J131" s="260"/>
      <c r="K131" s="114"/>
      <c r="L131" s="260"/>
      <c r="M131" s="114"/>
      <c r="N131" s="260"/>
      <c r="O131" s="114"/>
      <c r="P131" s="260">
        <v>31049000</v>
      </c>
      <c r="Q131" s="260"/>
      <c r="R131" s="260"/>
      <c r="S131" s="114"/>
      <c r="T131" s="260"/>
      <c r="U131" s="114"/>
      <c r="V131" s="260"/>
      <c r="W131" s="114"/>
      <c r="X131" s="260"/>
      <c r="Y131" s="114"/>
      <c r="Z131" s="260"/>
      <c r="AA131" s="114"/>
      <c r="AB131" s="260"/>
      <c r="AC131" s="114"/>
      <c r="AD131" s="260"/>
      <c r="AE131" s="114"/>
      <c r="AF131" s="260"/>
      <c r="AG131" s="114"/>
      <c r="AH131" s="260"/>
      <c r="AI131" s="114"/>
      <c r="AJ131" s="260"/>
      <c r="AL131" s="260"/>
    </row>
    <row r="132" spans="1:38">
      <c r="A132" s="397">
        <v>120</v>
      </c>
      <c r="B132" s="114"/>
      <c r="C132" s="404" t="s">
        <v>597</v>
      </c>
      <c r="D132" s="114"/>
      <c r="E132" s="114"/>
      <c r="H132" s="260"/>
      <c r="I132" s="114"/>
      <c r="J132" s="260"/>
      <c r="K132" s="114"/>
      <c r="L132" s="260"/>
      <c r="M132" s="114"/>
      <c r="N132" s="260"/>
      <c r="O132" s="114"/>
      <c r="P132" s="260">
        <v>0</v>
      </c>
      <c r="Q132" s="260">
        <v>0</v>
      </c>
      <c r="R132" s="260"/>
      <c r="S132" s="114"/>
      <c r="T132" s="260">
        <f>50000-50000</f>
        <v>0</v>
      </c>
      <c r="U132" s="114"/>
      <c r="V132" s="260"/>
      <c r="W132" s="114"/>
      <c r="X132" s="260"/>
      <c r="Y132" s="114"/>
      <c r="Z132" s="260"/>
      <c r="AA132" s="114"/>
      <c r="AB132" s="260"/>
      <c r="AC132" s="114"/>
      <c r="AD132" s="260"/>
      <c r="AE132" s="114"/>
      <c r="AF132" s="260"/>
      <c r="AG132" s="114"/>
      <c r="AH132" s="260"/>
      <c r="AI132" s="114"/>
      <c r="AJ132" s="260"/>
      <c r="AL132" s="260"/>
    </row>
    <row r="133" spans="1:38">
      <c r="A133" s="397">
        <v>121</v>
      </c>
      <c r="B133" s="114"/>
      <c r="C133" s="404" t="s">
        <v>193</v>
      </c>
      <c r="D133" s="114"/>
      <c r="E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L133" s="114"/>
    </row>
    <row r="134" spans="1:38">
      <c r="A134" s="397">
        <v>122</v>
      </c>
      <c r="B134" s="114"/>
      <c r="C134" s="404"/>
      <c r="D134" s="114"/>
      <c r="E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L134" s="114"/>
    </row>
    <row r="135" spans="1:38">
      <c r="A135" s="397">
        <v>123</v>
      </c>
      <c r="B135" s="114"/>
      <c r="C135" s="114" t="s">
        <v>600</v>
      </c>
      <c r="D135" s="114"/>
      <c r="E135" s="114"/>
      <c r="H135" s="260"/>
      <c r="I135" s="114"/>
      <c r="J135" s="260"/>
      <c r="K135" s="114"/>
      <c r="L135" s="260"/>
      <c r="M135" s="114"/>
      <c r="N135" s="260"/>
      <c r="O135" s="114"/>
      <c r="P135" s="260"/>
      <c r="Q135" s="260"/>
      <c r="R135" s="260"/>
      <c r="S135" s="114"/>
      <c r="T135" s="260"/>
      <c r="U135" s="114"/>
      <c r="V135" s="260"/>
      <c r="W135" s="114"/>
      <c r="X135" s="260"/>
      <c r="Y135" s="114"/>
      <c r="Z135" s="260"/>
      <c r="AA135" s="114"/>
      <c r="AB135" s="260"/>
      <c r="AC135" s="114"/>
      <c r="AD135" s="260"/>
      <c r="AE135" s="114"/>
      <c r="AF135" s="260"/>
      <c r="AG135" s="114"/>
      <c r="AH135" s="114"/>
      <c r="AI135" s="114"/>
      <c r="AJ135" s="260"/>
      <c r="AL135" s="260"/>
    </row>
    <row r="136" spans="1:38">
      <c r="A136" s="397">
        <v>124</v>
      </c>
      <c r="B136" s="114"/>
      <c r="C136" s="114" t="s">
        <v>743</v>
      </c>
      <c r="D136" s="114"/>
      <c r="E136" s="114"/>
      <c r="H136" s="260"/>
      <c r="I136" s="114"/>
      <c r="J136" s="260"/>
      <c r="K136" s="114"/>
      <c r="L136" s="260"/>
      <c r="M136" s="114"/>
      <c r="N136" s="260"/>
      <c r="O136" s="114"/>
      <c r="P136" s="260"/>
      <c r="Q136" s="260"/>
      <c r="R136" s="260"/>
      <c r="S136" s="114"/>
      <c r="T136" s="260"/>
      <c r="U136" s="114"/>
      <c r="V136" s="260"/>
      <c r="W136" s="114"/>
      <c r="X136" s="260"/>
      <c r="Y136" s="114"/>
      <c r="Z136" s="260"/>
      <c r="AA136" s="114"/>
      <c r="AB136" s="260"/>
      <c r="AC136" s="114"/>
      <c r="AD136" s="260"/>
      <c r="AE136" s="114"/>
      <c r="AF136" s="260"/>
      <c r="AG136" s="114"/>
      <c r="AH136" s="114"/>
      <c r="AI136" s="114"/>
      <c r="AJ136" s="260"/>
      <c r="AL136" s="260"/>
    </row>
    <row r="137" spans="1:38">
      <c r="A137" s="397">
        <v>125</v>
      </c>
      <c r="B137" s="114"/>
      <c r="C137" s="114" t="s">
        <v>744</v>
      </c>
      <c r="D137" s="114"/>
      <c r="E137" s="114"/>
      <c r="H137" s="260"/>
      <c r="I137" s="114"/>
      <c r="J137" s="260"/>
      <c r="K137" s="114"/>
      <c r="L137" s="260"/>
      <c r="M137" s="114"/>
      <c r="N137" s="260"/>
      <c r="O137" s="114"/>
      <c r="P137" s="260"/>
      <c r="Q137" s="260"/>
      <c r="R137" s="260"/>
      <c r="S137" s="114"/>
      <c r="T137" s="260"/>
      <c r="U137" s="114"/>
      <c r="V137" s="260"/>
      <c r="W137" s="114"/>
      <c r="X137" s="260"/>
      <c r="Y137" s="114"/>
      <c r="Z137" s="260"/>
      <c r="AA137" s="114"/>
      <c r="AB137" s="260"/>
      <c r="AC137" s="114"/>
      <c r="AD137" s="260"/>
      <c r="AE137" s="114"/>
      <c r="AF137" s="260"/>
      <c r="AG137" s="114"/>
      <c r="AH137" s="114"/>
      <c r="AI137" s="114"/>
      <c r="AJ137" s="260"/>
      <c r="AL137" s="260"/>
    </row>
    <row r="138" spans="1:38">
      <c r="A138" s="397">
        <v>126</v>
      </c>
      <c r="B138" s="404"/>
      <c r="C138" s="114"/>
      <c r="D138" s="404" t="s">
        <v>230</v>
      </c>
      <c r="E138" s="114"/>
      <c r="H138" s="114">
        <f>SUM(H135:H137)</f>
        <v>0</v>
      </c>
      <c r="I138" s="114"/>
      <c r="J138" s="114">
        <f>SUM(J135:J137)</f>
        <v>0</v>
      </c>
      <c r="K138" s="114"/>
      <c r="L138" s="114">
        <f>SUM(L135:L137)</f>
        <v>0</v>
      </c>
      <c r="M138" s="114"/>
      <c r="N138" s="114">
        <f>SUM(N135:N137)</f>
        <v>0</v>
      </c>
      <c r="O138" s="114"/>
      <c r="P138" s="114">
        <f>SUM(P135:P137)</f>
        <v>0</v>
      </c>
      <c r="Q138" s="114">
        <f>SUM(Q135:Q137)</f>
        <v>0</v>
      </c>
      <c r="R138" s="114">
        <f>SUM(R135:R137)</f>
        <v>0</v>
      </c>
      <c r="S138" s="114"/>
      <c r="T138" s="114">
        <f>SUM(T135:T137)</f>
        <v>0</v>
      </c>
      <c r="U138" s="114"/>
      <c r="V138" s="114">
        <f>SUM(V135:V137)</f>
        <v>0</v>
      </c>
      <c r="W138" s="114"/>
      <c r="X138" s="114">
        <f>SUM(X135:X137)</f>
        <v>0</v>
      </c>
      <c r="Y138" s="114"/>
      <c r="Z138" s="114">
        <f>SUM(Z135:Z137)</f>
        <v>0</v>
      </c>
      <c r="AA138" s="114"/>
      <c r="AB138" s="114">
        <f>SUM(AB135:AB137)</f>
        <v>0</v>
      </c>
      <c r="AC138" s="114"/>
      <c r="AD138" s="114">
        <f>SUM(AD135:AD137)</f>
        <v>0</v>
      </c>
      <c r="AE138" s="114"/>
      <c r="AF138" s="114">
        <f>SUM(AF135:AF137)</f>
        <v>0</v>
      </c>
      <c r="AG138" s="114"/>
      <c r="AH138" s="114">
        <v>0</v>
      </c>
      <c r="AI138" s="114"/>
      <c r="AJ138" s="114">
        <f>SUM(AJ135:AJ137)</f>
        <v>0</v>
      </c>
      <c r="AL138" s="114">
        <f>SUM(AL135:AL137)</f>
        <v>0</v>
      </c>
    </row>
    <row r="139" spans="1:38">
      <c r="A139" s="397">
        <v>127</v>
      </c>
      <c r="B139" s="404"/>
      <c r="C139" s="114"/>
      <c r="D139" s="404"/>
      <c r="E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2"/>
      <c r="AG139" s="114"/>
      <c r="AH139" s="12"/>
      <c r="AI139" s="114"/>
      <c r="AJ139" s="114"/>
      <c r="AL139" s="114"/>
    </row>
    <row r="140" spans="1:38">
      <c r="A140" s="397">
        <v>128</v>
      </c>
      <c r="B140" s="114"/>
      <c r="C140" s="114" t="s">
        <v>3195</v>
      </c>
      <c r="D140" s="114"/>
      <c r="E140" s="114"/>
      <c r="H140" s="260"/>
      <c r="I140" s="114"/>
      <c r="J140" s="260">
        <v>1200679970</v>
      </c>
      <c r="K140" s="114"/>
      <c r="L140" s="260"/>
      <c r="M140" s="114"/>
      <c r="N140" s="260">
        <v>0</v>
      </c>
      <c r="O140" s="114"/>
      <c r="P140" s="260">
        <v>0</v>
      </c>
      <c r="Q140" s="260">
        <v>0</v>
      </c>
      <c r="R140" s="260"/>
      <c r="S140" s="114"/>
      <c r="T140" s="260"/>
      <c r="U140" s="114"/>
      <c r="V140" s="260"/>
      <c r="W140" s="114"/>
      <c r="X140" s="260"/>
      <c r="Y140" s="114"/>
      <c r="Z140" s="260"/>
      <c r="AA140" s="114"/>
      <c r="AB140" s="260"/>
      <c r="AC140" s="114"/>
      <c r="AD140" s="260"/>
      <c r="AE140" s="114"/>
      <c r="AF140" s="260"/>
      <c r="AG140" s="114"/>
      <c r="AH140" s="260"/>
      <c r="AI140" s="114"/>
      <c r="AJ140" s="260"/>
      <c r="AL140" s="260"/>
    </row>
    <row r="141" spans="1:38">
      <c r="A141" s="397">
        <v>129</v>
      </c>
      <c r="B141" s="114"/>
      <c r="C141" s="114" t="s">
        <v>194</v>
      </c>
      <c r="D141" s="114"/>
      <c r="E141" s="114"/>
      <c r="H141" s="260">
        <v>184566155</v>
      </c>
      <c r="I141" s="114"/>
      <c r="J141" s="260"/>
      <c r="K141" s="114"/>
      <c r="L141" s="260"/>
      <c r="M141" s="114"/>
      <c r="N141" s="260">
        <v>0</v>
      </c>
      <c r="O141" s="114"/>
      <c r="P141" s="260">
        <v>0</v>
      </c>
      <c r="Q141" s="260">
        <v>0</v>
      </c>
      <c r="R141" s="260"/>
      <c r="S141" s="114"/>
      <c r="T141" s="260"/>
      <c r="U141" s="114"/>
      <c r="V141" s="260"/>
      <c r="W141" s="114"/>
      <c r="X141" s="260"/>
      <c r="Y141" s="114"/>
      <c r="Z141" s="260"/>
      <c r="AA141" s="114"/>
      <c r="AB141" s="260"/>
      <c r="AC141" s="114"/>
      <c r="AD141" s="260"/>
      <c r="AE141" s="114"/>
      <c r="AF141" s="260"/>
      <c r="AG141" s="114"/>
      <c r="AH141" s="260"/>
      <c r="AI141" s="114"/>
      <c r="AJ141" s="260"/>
      <c r="AL141" s="260"/>
    </row>
    <row r="142" spans="1:38">
      <c r="A142" s="397">
        <v>130</v>
      </c>
      <c r="B142" s="114"/>
      <c r="C142" s="114" t="s">
        <v>742</v>
      </c>
      <c r="D142" s="114"/>
      <c r="E142" s="114"/>
      <c r="H142" s="260">
        <v>1091236</v>
      </c>
      <c r="I142" s="114"/>
      <c r="J142" s="260">
        <v>191038</v>
      </c>
      <c r="K142" s="114"/>
      <c r="L142" s="260"/>
      <c r="M142" s="114"/>
      <c r="N142" s="260">
        <v>593449</v>
      </c>
      <c r="O142" s="114"/>
      <c r="P142" s="260">
        <v>63800</v>
      </c>
      <c r="Q142" s="260">
        <v>1036</v>
      </c>
      <c r="R142" s="260"/>
      <c r="S142" s="114"/>
      <c r="T142" s="260">
        <v>616525</v>
      </c>
      <c r="U142" s="114"/>
      <c r="V142" s="260">
        <v>188039</v>
      </c>
      <c r="W142" s="114"/>
      <c r="X142" s="260">
        <v>236562</v>
      </c>
      <c r="Y142" s="114"/>
      <c r="Z142" s="260">
        <v>273231</v>
      </c>
      <c r="AA142" s="114"/>
      <c r="AB142" s="260">
        <v>43383</v>
      </c>
      <c r="AC142" s="114"/>
      <c r="AD142" s="260">
        <v>158495</v>
      </c>
      <c r="AE142" s="114"/>
      <c r="AF142" s="260">
        <v>13248</v>
      </c>
      <c r="AG142" s="114"/>
      <c r="AH142" s="260"/>
      <c r="AI142" s="114"/>
      <c r="AJ142" s="260"/>
      <c r="AL142" s="260"/>
    </row>
    <row r="143" spans="1:38">
      <c r="A143" s="397">
        <v>131</v>
      </c>
      <c r="B143" s="114"/>
      <c r="C143" s="166" t="s">
        <v>3551</v>
      </c>
      <c r="D143" s="114"/>
      <c r="E143" s="114"/>
      <c r="H143" s="260">
        <v>1878997</v>
      </c>
      <c r="I143" s="114"/>
      <c r="J143" s="260">
        <v>72504</v>
      </c>
      <c r="K143" s="114"/>
      <c r="L143" s="260"/>
      <c r="M143" s="114"/>
      <c r="N143" s="260">
        <v>175318913</v>
      </c>
      <c r="O143" s="114"/>
      <c r="P143" s="260">
        <v>0</v>
      </c>
      <c r="Q143" s="260">
        <v>0</v>
      </c>
      <c r="R143" s="260"/>
      <c r="S143" s="114"/>
      <c r="T143" s="260"/>
      <c r="U143" s="114"/>
      <c r="V143" s="260"/>
      <c r="W143" s="114"/>
      <c r="X143" s="260"/>
      <c r="Y143" s="114"/>
      <c r="Z143" s="260">
        <v>0</v>
      </c>
      <c r="AA143" s="114"/>
      <c r="AB143" s="260">
        <v>0</v>
      </c>
      <c r="AC143" s="114"/>
      <c r="AD143" s="260">
        <v>0</v>
      </c>
      <c r="AE143" s="114"/>
      <c r="AF143" s="260"/>
      <c r="AG143" s="114"/>
      <c r="AH143" s="260"/>
      <c r="AI143" s="114"/>
      <c r="AJ143" s="260"/>
      <c r="AL143" s="260"/>
    </row>
    <row r="144" spans="1:38">
      <c r="A144" s="397">
        <v>132</v>
      </c>
      <c r="B144" s="114"/>
      <c r="C144" s="166" t="s">
        <v>3553</v>
      </c>
      <c r="D144" s="114"/>
      <c r="E144" s="114"/>
      <c r="H144" s="260">
        <v>3038218</v>
      </c>
      <c r="I144" s="114"/>
      <c r="J144" s="260">
        <v>499206</v>
      </c>
      <c r="K144" s="114"/>
      <c r="L144" s="260"/>
      <c r="M144" s="114"/>
      <c r="N144" s="260">
        <v>10108220</v>
      </c>
      <c r="O144" s="114"/>
      <c r="P144" s="260"/>
      <c r="Q144" s="260"/>
      <c r="R144" s="260"/>
      <c r="S144" s="114"/>
      <c r="T144" s="260"/>
      <c r="U144" s="114"/>
      <c r="V144" s="260"/>
      <c r="W144" s="114"/>
      <c r="X144" s="260">
        <v>182435669</v>
      </c>
      <c r="Y144" s="114"/>
      <c r="Z144" s="260"/>
      <c r="AA144" s="114"/>
      <c r="AB144" s="260"/>
      <c r="AC144" s="114"/>
      <c r="AD144" s="260"/>
      <c r="AE144" s="114"/>
      <c r="AF144" s="260"/>
      <c r="AG144" s="114"/>
      <c r="AH144" s="260"/>
      <c r="AI144" s="114"/>
      <c r="AJ144" s="260"/>
      <c r="AL144" s="260"/>
    </row>
    <row r="145" spans="1:38">
      <c r="A145" s="397">
        <v>133</v>
      </c>
      <c r="B145" s="114"/>
      <c r="C145" s="114" t="s">
        <v>747</v>
      </c>
      <c r="D145" s="114"/>
      <c r="E145" s="114"/>
      <c r="H145" s="260">
        <v>0</v>
      </c>
      <c r="I145" s="114"/>
      <c r="J145" s="260">
        <v>0</v>
      </c>
      <c r="K145" s="114"/>
      <c r="L145" s="260"/>
      <c r="M145" s="114"/>
      <c r="N145" s="260">
        <v>0</v>
      </c>
      <c r="O145" s="114"/>
      <c r="P145" s="260">
        <v>0</v>
      </c>
      <c r="Q145" s="260">
        <v>0</v>
      </c>
      <c r="R145" s="260"/>
      <c r="S145" s="114"/>
      <c r="T145" s="260"/>
      <c r="U145" s="114"/>
      <c r="V145" s="260">
        <v>0</v>
      </c>
      <c r="W145" s="114"/>
      <c r="X145" s="260"/>
      <c r="Y145" s="114"/>
      <c r="Z145" s="260">
        <v>0</v>
      </c>
      <c r="AA145" s="114"/>
      <c r="AB145" s="260">
        <v>0</v>
      </c>
      <c r="AC145" s="114"/>
      <c r="AD145" s="260">
        <v>0</v>
      </c>
      <c r="AE145" s="114"/>
      <c r="AF145" s="260"/>
      <c r="AG145" s="114"/>
      <c r="AH145" s="260"/>
      <c r="AI145" s="114"/>
      <c r="AJ145" s="260"/>
      <c r="AL145" s="260"/>
    </row>
    <row r="146" spans="1:38">
      <c r="A146" s="397">
        <v>134</v>
      </c>
      <c r="B146" s="114"/>
      <c r="C146" s="166" t="s">
        <v>3552</v>
      </c>
      <c r="D146" s="114"/>
      <c r="E146" s="114"/>
      <c r="H146" s="260"/>
      <c r="I146" s="114"/>
      <c r="J146" s="260"/>
      <c r="K146" s="114"/>
      <c r="L146" s="260"/>
      <c r="M146" s="114"/>
      <c r="N146" s="260"/>
      <c r="O146" s="114"/>
      <c r="P146" s="260"/>
      <c r="Q146" s="260"/>
      <c r="R146" s="260"/>
      <c r="S146" s="114"/>
      <c r="T146" s="260"/>
      <c r="U146" s="114"/>
      <c r="V146" s="260"/>
      <c r="W146" s="114"/>
      <c r="X146" s="260"/>
      <c r="Y146" s="114"/>
      <c r="Z146" s="260"/>
      <c r="AA146" s="114"/>
      <c r="AB146" s="260"/>
      <c r="AC146" s="114"/>
      <c r="AD146" s="260"/>
      <c r="AE146" s="114"/>
      <c r="AF146" s="260"/>
      <c r="AG146" s="114"/>
      <c r="AH146" s="260"/>
      <c r="AI146" s="114"/>
      <c r="AJ146" s="260"/>
      <c r="AL146" s="260"/>
    </row>
    <row r="147" spans="1:38">
      <c r="A147" s="397">
        <v>135</v>
      </c>
      <c r="B147" s="114"/>
      <c r="C147" s="114" t="s">
        <v>748</v>
      </c>
      <c r="D147" s="114"/>
      <c r="E147" s="114"/>
      <c r="H147" s="260">
        <v>0</v>
      </c>
      <c r="I147" s="114"/>
      <c r="J147" s="260">
        <v>0</v>
      </c>
      <c r="K147" s="114"/>
      <c r="L147" s="260"/>
      <c r="M147" s="114"/>
      <c r="N147" s="260">
        <v>0</v>
      </c>
      <c r="O147" s="114"/>
      <c r="P147" s="260">
        <v>0</v>
      </c>
      <c r="Q147" s="260">
        <v>0</v>
      </c>
      <c r="R147" s="260"/>
      <c r="S147" s="114"/>
      <c r="T147" s="260"/>
      <c r="U147" s="114"/>
      <c r="V147" s="260"/>
      <c r="W147" s="114"/>
      <c r="X147" s="260"/>
      <c r="Y147" s="114"/>
      <c r="Z147" s="260">
        <v>0</v>
      </c>
      <c r="AA147" s="114"/>
      <c r="AB147" s="260">
        <v>0</v>
      </c>
      <c r="AC147" s="114"/>
      <c r="AD147" s="260">
        <v>0</v>
      </c>
      <c r="AE147" s="114"/>
      <c r="AF147" s="260"/>
      <c r="AG147" s="114"/>
      <c r="AH147" s="260">
        <v>0</v>
      </c>
      <c r="AI147" s="114"/>
      <c r="AJ147" s="260"/>
      <c r="AL147" s="260"/>
    </row>
    <row r="148" spans="1:38">
      <c r="A148" s="397">
        <v>136</v>
      </c>
      <c r="B148" s="114"/>
      <c r="C148" s="114" t="s">
        <v>195</v>
      </c>
      <c r="D148" s="114"/>
      <c r="E148" s="114"/>
      <c r="H148" s="260">
        <v>0</v>
      </c>
      <c r="I148" s="114"/>
      <c r="J148" s="260">
        <v>0</v>
      </c>
      <c r="K148" s="114"/>
      <c r="L148" s="260"/>
      <c r="M148" s="114"/>
      <c r="N148" s="260">
        <v>0</v>
      </c>
      <c r="O148" s="114"/>
      <c r="P148" s="260">
        <v>0</v>
      </c>
      <c r="Q148" s="260">
        <v>0</v>
      </c>
      <c r="R148" s="260"/>
      <c r="S148" s="114"/>
      <c r="T148" s="260"/>
      <c r="U148" s="114"/>
      <c r="V148" s="260"/>
      <c r="W148" s="114"/>
      <c r="X148" s="260"/>
      <c r="Y148" s="114"/>
      <c r="Z148" s="260">
        <v>0</v>
      </c>
      <c r="AA148" s="114"/>
      <c r="AB148" s="260">
        <v>0</v>
      </c>
      <c r="AC148" s="114"/>
      <c r="AD148" s="260">
        <v>0</v>
      </c>
      <c r="AE148" s="114"/>
      <c r="AF148" s="260"/>
      <c r="AG148" s="114"/>
      <c r="AH148" s="260"/>
      <c r="AI148" s="114"/>
      <c r="AJ148" s="260"/>
      <c r="AL148" s="260"/>
    </row>
    <row r="149" spans="1:38">
      <c r="A149" s="397">
        <v>137</v>
      </c>
      <c r="B149" s="114"/>
      <c r="C149" s="114" t="s">
        <v>955</v>
      </c>
      <c r="D149" s="114"/>
      <c r="E149" s="114"/>
      <c r="H149" s="260">
        <v>21547831</v>
      </c>
      <c r="I149" s="114"/>
      <c r="J149" s="260">
        <v>10690248</v>
      </c>
      <c r="K149" s="114"/>
      <c r="L149" s="260"/>
      <c r="M149" s="114"/>
      <c r="N149" s="260">
        <v>80255693</v>
      </c>
      <c r="O149" s="114"/>
      <c r="P149" s="260"/>
      <c r="Q149" s="260">
        <v>0</v>
      </c>
      <c r="R149" s="260"/>
      <c r="S149" s="114"/>
      <c r="T149" s="260"/>
      <c r="U149" s="114"/>
      <c r="V149" s="260"/>
      <c r="W149" s="114"/>
      <c r="X149" s="260"/>
      <c r="Y149" s="114"/>
      <c r="Z149" s="260"/>
      <c r="AA149" s="114"/>
      <c r="AB149" s="260"/>
      <c r="AC149" s="114"/>
      <c r="AD149" s="260"/>
      <c r="AE149" s="114"/>
      <c r="AF149" s="260"/>
      <c r="AG149" s="114"/>
      <c r="AH149" s="260"/>
      <c r="AI149" s="114"/>
      <c r="AJ149" s="260"/>
      <c r="AL149" s="260"/>
    </row>
    <row r="150" spans="1:38">
      <c r="A150" s="397">
        <v>138</v>
      </c>
      <c r="B150" s="114"/>
      <c r="C150" s="114" t="s">
        <v>2981</v>
      </c>
      <c r="D150" s="114"/>
      <c r="E150" s="114"/>
      <c r="H150" s="260">
        <v>3796589</v>
      </c>
      <c r="I150" s="114"/>
      <c r="J150" s="408">
        <v>1862108</v>
      </c>
      <c r="K150" s="114"/>
      <c r="L150" s="260"/>
      <c r="M150" s="114"/>
      <c r="N150" s="260">
        <v>14417684</v>
      </c>
      <c r="O150" s="114"/>
      <c r="P150" s="260"/>
      <c r="Q150" s="260"/>
      <c r="R150" s="260"/>
      <c r="S150" s="114"/>
      <c r="T150" s="260"/>
      <c r="U150" s="114"/>
      <c r="V150" s="260"/>
      <c r="W150" s="114"/>
      <c r="X150" s="260"/>
      <c r="Y150" s="114"/>
      <c r="Z150" s="260"/>
      <c r="AA150" s="114"/>
      <c r="AB150" s="260"/>
      <c r="AC150" s="114"/>
      <c r="AD150" s="260"/>
      <c r="AE150" s="114"/>
      <c r="AF150" s="260"/>
      <c r="AG150" s="114"/>
      <c r="AH150" s="260"/>
      <c r="AI150" s="114"/>
      <c r="AJ150" s="260"/>
      <c r="AL150" s="260"/>
    </row>
    <row r="151" spans="1:38">
      <c r="A151" s="397">
        <v>139</v>
      </c>
      <c r="B151" s="114"/>
      <c r="C151" s="19" t="s">
        <v>2985</v>
      </c>
      <c r="D151" s="114"/>
      <c r="E151" s="114"/>
      <c r="H151" s="260">
        <v>1046357</v>
      </c>
      <c r="I151" s="114"/>
      <c r="J151" s="408">
        <v>473914</v>
      </c>
      <c r="K151" s="114"/>
      <c r="L151" s="260"/>
      <c r="M151" s="114"/>
      <c r="N151" s="260">
        <v>4322355</v>
      </c>
      <c r="O151" s="114"/>
      <c r="P151" s="260"/>
      <c r="Q151" s="260">
        <v>0</v>
      </c>
      <c r="R151" s="260"/>
      <c r="S151" s="114"/>
      <c r="T151" s="260"/>
      <c r="U151" s="114"/>
      <c r="V151" s="260"/>
      <c r="W151" s="114"/>
      <c r="X151" s="260"/>
      <c r="Y151" s="114"/>
      <c r="Z151" s="260"/>
      <c r="AA151" s="114"/>
      <c r="AB151" s="260"/>
      <c r="AC151" s="114"/>
      <c r="AD151" s="260"/>
      <c r="AE151" s="114"/>
      <c r="AF151" s="260"/>
      <c r="AG151" s="114"/>
      <c r="AH151" s="260"/>
      <c r="AI151" s="114"/>
      <c r="AJ151" s="260"/>
      <c r="AL151" s="260"/>
    </row>
    <row r="152" spans="1:38">
      <c r="A152" s="397">
        <v>140</v>
      </c>
      <c r="B152" s="114"/>
      <c r="C152" s="114"/>
      <c r="D152" s="404" t="s">
        <v>233</v>
      </c>
      <c r="E152" s="114"/>
      <c r="H152" s="400">
        <f>SUM(H140:H151)</f>
        <v>216965383</v>
      </c>
      <c r="I152" s="114"/>
      <c r="J152" s="400">
        <f>SUM(J140:J151)</f>
        <v>1214468988</v>
      </c>
      <c r="K152" s="114"/>
      <c r="L152" s="400">
        <v>0</v>
      </c>
      <c r="M152" s="114"/>
      <c r="N152" s="400">
        <f>SUM(N140:N151)</f>
        <v>285016314</v>
      </c>
      <c r="O152" s="114"/>
      <c r="P152" s="400">
        <f>SUM(P140:P151)</f>
        <v>63800</v>
      </c>
      <c r="Q152" s="400">
        <f>SUM(Q140:Q151)</f>
        <v>1036</v>
      </c>
      <c r="R152" s="400">
        <f>SUM(R140:R151)</f>
        <v>0</v>
      </c>
      <c r="S152" s="114"/>
      <c r="T152" s="400">
        <f>SUM(T140:T151)</f>
        <v>616525</v>
      </c>
      <c r="U152" s="114"/>
      <c r="V152" s="400">
        <f>SUM(V140:V151)</f>
        <v>188039</v>
      </c>
      <c r="W152" s="114"/>
      <c r="X152" s="400">
        <f>SUM(X140:X151)</f>
        <v>182672231</v>
      </c>
      <c r="Y152" s="114"/>
      <c r="Z152" s="400">
        <f>SUM(Z140:Z151)</f>
        <v>273231</v>
      </c>
      <c r="AA152" s="114"/>
      <c r="AB152" s="400">
        <f>SUM(AB140:AB151)</f>
        <v>43383</v>
      </c>
      <c r="AC152" s="114"/>
      <c r="AD152" s="400">
        <f>SUM(AD140:AD151)</f>
        <v>158495</v>
      </c>
      <c r="AE152" s="114"/>
      <c r="AF152" s="400">
        <f>SUM(AF140:AF151)</f>
        <v>13248</v>
      </c>
      <c r="AG152" s="114"/>
      <c r="AH152" s="400">
        <f>SUM(AH140:AH151)</f>
        <v>0</v>
      </c>
      <c r="AI152" s="114"/>
      <c r="AJ152" s="400">
        <v>0</v>
      </c>
      <c r="AL152" s="400">
        <v>0</v>
      </c>
    </row>
    <row r="153" spans="1:38">
      <c r="A153" s="397">
        <v>141</v>
      </c>
      <c r="B153" s="114"/>
      <c r="C153" s="114"/>
      <c r="D153" s="114"/>
      <c r="E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L153" s="114"/>
    </row>
    <row r="154" spans="1:38">
      <c r="A154" s="397">
        <v>142</v>
      </c>
      <c r="B154" s="114"/>
      <c r="C154" s="114"/>
      <c r="D154" s="114"/>
      <c r="E154" s="404" t="s">
        <v>232</v>
      </c>
      <c r="H154" s="405">
        <f>SUM(H130:H133,H138,H152)</f>
        <v>216965383</v>
      </c>
      <c r="I154" s="114"/>
      <c r="J154" s="405">
        <f>SUM(J130:J133,J138,J152)</f>
        <v>1214468988</v>
      </c>
      <c r="K154" s="114"/>
      <c r="L154" s="405">
        <f>SUM(L130:L133,L138,L152)</f>
        <v>0</v>
      </c>
      <c r="M154" s="114"/>
      <c r="N154" s="405">
        <f>SUM(N130:N133,N138,N152)</f>
        <v>285016314</v>
      </c>
      <c r="O154" s="114"/>
      <c r="P154" s="405">
        <f>SUM(P130:P133,P138,P152)</f>
        <v>31112800</v>
      </c>
      <c r="Q154" s="405">
        <f>SUM(Q130:Q133,Q138,Q152)</f>
        <v>1036</v>
      </c>
      <c r="R154" s="405">
        <f>SUM(R130:R133,R138,R152)</f>
        <v>0</v>
      </c>
      <c r="S154" s="114"/>
      <c r="T154" s="405">
        <f>SUM(T130:T133,T138,T152)</f>
        <v>616525</v>
      </c>
      <c r="U154" s="114"/>
      <c r="V154" s="405">
        <f>SUM(V130:V133,V138,V152)</f>
        <v>188039</v>
      </c>
      <c r="W154" s="114"/>
      <c r="X154" s="405">
        <f>SUM(X130:X133,X138,X152)</f>
        <v>182672231</v>
      </c>
      <c r="Y154" s="114"/>
      <c r="Z154" s="405">
        <f>SUM(Z130:Z133,Z138,Z152)</f>
        <v>273231</v>
      </c>
      <c r="AA154" s="114"/>
      <c r="AB154" s="405">
        <f>SUM(AB130:AB133,AB138,AB152)</f>
        <v>43383</v>
      </c>
      <c r="AC154" s="114"/>
      <c r="AD154" s="405">
        <f>SUM(AD130:AD133,AD138,AD152)</f>
        <v>158495</v>
      </c>
      <c r="AE154" s="114"/>
      <c r="AF154" s="405">
        <f>SUM(AF130:AF133,AF138,AF152)</f>
        <v>13248</v>
      </c>
      <c r="AG154" s="114"/>
      <c r="AH154" s="405">
        <f>SUM(AH130:AH132,AH138,AH152)</f>
        <v>0</v>
      </c>
      <c r="AI154" s="114"/>
      <c r="AJ154" s="405">
        <f>SUM(AJ130:AJ133,AJ138,AJ152)</f>
        <v>0</v>
      </c>
      <c r="AL154" s="405">
        <f>SUM(AL130:AL133,AL138,AL152)</f>
        <v>0</v>
      </c>
    </row>
    <row r="155" spans="1:38">
      <c r="A155" s="397">
        <v>143</v>
      </c>
      <c r="B155" s="114"/>
      <c r="C155" s="114"/>
      <c r="D155" s="114"/>
      <c r="E155" s="415"/>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L155" s="114"/>
    </row>
    <row r="156" spans="1:38">
      <c r="A156" s="397">
        <v>144</v>
      </c>
      <c r="B156" s="114"/>
      <c r="C156" s="114"/>
      <c r="D156" s="114"/>
      <c r="E156" s="415" t="s">
        <v>623</v>
      </c>
      <c r="H156" s="405">
        <f>SUM(H127,H154)</f>
        <v>540448837</v>
      </c>
      <c r="I156" s="114"/>
      <c r="J156" s="405">
        <f>SUM(J127,J154)</f>
        <v>1440153204</v>
      </c>
      <c r="K156" s="114"/>
      <c r="L156" s="405">
        <f>SUM(L127,L154)</f>
        <v>189241299</v>
      </c>
      <c r="M156" s="114"/>
      <c r="N156" s="405">
        <f>SUM(N127,N154)</f>
        <v>471194308</v>
      </c>
      <c r="O156" s="114"/>
      <c r="P156" s="405">
        <f>SUM(P127,P154)</f>
        <v>48283774</v>
      </c>
      <c r="Q156" s="405">
        <f>SUM(Q127,Q154)</f>
        <v>418910</v>
      </c>
      <c r="R156" s="405">
        <f>SUM(R127,R154)</f>
        <v>77945403</v>
      </c>
      <c r="S156" s="114"/>
      <c r="T156" s="405">
        <f>SUM(T127,T154)</f>
        <v>4566331</v>
      </c>
      <c r="U156" s="114"/>
      <c r="V156" s="405">
        <f>SUM(V127,V154)</f>
        <v>5641984</v>
      </c>
      <c r="W156" s="114"/>
      <c r="X156" s="405">
        <f>SUM(X127,X154)</f>
        <v>196569620</v>
      </c>
      <c r="Y156" s="114"/>
      <c r="Z156" s="405">
        <f>SUM(Z127,Z154)</f>
        <v>2761198</v>
      </c>
      <c r="AA156" s="114"/>
      <c r="AB156" s="405">
        <f>SUM(AB127,AB154)</f>
        <v>10672397</v>
      </c>
      <c r="AC156" s="114"/>
      <c r="AD156" s="405">
        <f>SUM(AD127,AD154)</f>
        <v>824734</v>
      </c>
      <c r="AE156" s="114"/>
      <c r="AF156" s="405">
        <f>SUM(AF127,AF154)</f>
        <v>731274</v>
      </c>
      <c r="AG156" s="114"/>
      <c r="AH156" s="405">
        <f>SUM(AH127,AH154)</f>
        <v>0</v>
      </c>
      <c r="AI156" s="114"/>
      <c r="AJ156" s="405">
        <f>SUM(AJ127,AJ154)</f>
        <v>121574</v>
      </c>
      <c r="AL156" s="405">
        <f>SUM(AL127,AL154)</f>
        <v>1877495</v>
      </c>
    </row>
    <row r="157" spans="1:38">
      <c r="A157" s="397">
        <v>145</v>
      </c>
      <c r="B157" s="114"/>
      <c r="C157" s="114"/>
      <c r="D157" s="114"/>
      <c r="E157" s="415"/>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L157" s="114"/>
    </row>
    <row r="158" spans="1:38">
      <c r="A158" s="397">
        <v>146</v>
      </c>
      <c r="B158" s="114"/>
      <c r="C158" s="114"/>
      <c r="D158" s="114"/>
      <c r="E158" s="415" t="s">
        <v>960</v>
      </c>
      <c r="H158" s="114">
        <v>7153446</v>
      </c>
      <c r="I158" s="114"/>
      <c r="J158" s="114">
        <v>3503231</v>
      </c>
      <c r="K158" s="114"/>
      <c r="L158" s="114">
        <v>0</v>
      </c>
      <c r="M158" s="114"/>
      <c r="N158" s="114">
        <v>26754604</v>
      </c>
      <c r="O158" s="114"/>
      <c r="P158" s="114"/>
      <c r="Q158" s="114">
        <v>0</v>
      </c>
      <c r="R158" s="114"/>
      <c r="S158" s="114"/>
      <c r="T158" s="114"/>
      <c r="U158" s="114"/>
      <c r="V158" s="114"/>
      <c r="W158" s="114"/>
      <c r="X158" s="114"/>
      <c r="Y158" s="114"/>
      <c r="Z158" s="114"/>
      <c r="AA158" s="114"/>
      <c r="AB158" s="114"/>
      <c r="AC158" s="114"/>
      <c r="AD158" s="114"/>
      <c r="AE158" s="114"/>
      <c r="AF158" s="114"/>
      <c r="AG158" s="114"/>
      <c r="AH158" s="114">
        <v>0</v>
      </c>
      <c r="AI158" s="114"/>
      <c r="AJ158" s="114">
        <v>0</v>
      </c>
      <c r="AL158" s="114">
        <v>0</v>
      </c>
    </row>
    <row r="159" spans="1:38">
      <c r="A159" s="397">
        <v>147</v>
      </c>
      <c r="B159" s="114"/>
      <c r="C159" s="114"/>
      <c r="D159" s="114"/>
      <c r="E159" s="560" t="s">
        <v>961</v>
      </c>
      <c r="H159" s="405">
        <f>H156+H158</f>
        <v>547602283</v>
      </c>
      <c r="I159" s="405">
        <f t="shared" ref="I159:J159" si="1">I156+I158</f>
        <v>0</v>
      </c>
      <c r="J159" s="405">
        <f t="shared" si="1"/>
        <v>1443656435</v>
      </c>
      <c r="K159" s="114"/>
      <c r="L159" s="405">
        <f>L156+L158</f>
        <v>189241299</v>
      </c>
      <c r="M159" s="114"/>
      <c r="N159" s="405">
        <f>N156+N158</f>
        <v>497948912</v>
      </c>
      <c r="O159" s="114"/>
      <c r="P159" s="405">
        <f>P156+P158</f>
        <v>48283774</v>
      </c>
      <c r="Q159" s="405">
        <f>Q156+Q158</f>
        <v>418910</v>
      </c>
      <c r="R159" s="405">
        <f>R156+R158</f>
        <v>77945403</v>
      </c>
      <c r="S159" s="405">
        <f t="shared" ref="S159:X159" si="2">S156+S158</f>
        <v>0</v>
      </c>
      <c r="T159" s="405">
        <f t="shared" si="2"/>
        <v>4566331</v>
      </c>
      <c r="U159" s="405">
        <f t="shared" si="2"/>
        <v>0</v>
      </c>
      <c r="V159" s="405">
        <f t="shared" si="2"/>
        <v>5641984</v>
      </c>
      <c r="W159" s="405">
        <f t="shared" si="2"/>
        <v>0</v>
      </c>
      <c r="X159" s="405">
        <f t="shared" si="2"/>
        <v>196569620</v>
      </c>
      <c r="Y159" s="114"/>
      <c r="Z159" s="405">
        <f>Z156+Z158</f>
        <v>2761198</v>
      </c>
      <c r="AA159" s="405">
        <f t="shared" ref="AA159:AJ159" si="3">AA156+AA158</f>
        <v>0</v>
      </c>
      <c r="AB159" s="405">
        <f t="shared" si="3"/>
        <v>10672397</v>
      </c>
      <c r="AC159" s="405">
        <f t="shared" si="3"/>
        <v>0</v>
      </c>
      <c r="AD159" s="405">
        <f t="shared" si="3"/>
        <v>824734</v>
      </c>
      <c r="AE159" s="405">
        <f t="shared" si="3"/>
        <v>0</v>
      </c>
      <c r="AF159" s="405">
        <f t="shared" si="3"/>
        <v>731274</v>
      </c>
      <c r="AG159" s="405">
        <f t="shared" si="3"/>
        <v>0</v>
      </c>
      <c r="AH159" s="405">
        <f t="shared" si="3"/>
        <v>0</v>
      </c>
      <c r="AI159" s="405">
        <f t="shared" si="3"/>
        <v>0</v>
      </c>
      <c r="AJ159" s="405">
        <f t="shared" si="3"/>
        <v>121574</v>
      </c>
      <c r="AL159" s="405">
        <f t="shared" ref="AL159" si="4">AL156+AL158</f>
        <v>1877495</v>
      </c>
    </row>
    <row r="160" spans="1:38">
      <c r="A160" s="397">
        <v>148</v>
      </c>
      <c r="B160" s="114"/>
      <c r="C160" s="114"/>
      <c r="D160" s="114"/>
      <c r="E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L160" s="114"/>
    </row>
    <row r="161" spans="1:38">
      <c r="A161" s="397">
        <v>149</v>
      </c>
      <c r="B161" s="200" t="s">
        <v>773</v>
      </c>
      <c r="C161" s="114"/>
      <c r="D161" s="114"/>
      <c r="E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L161" s="114"/>
    </row>
    <row r="162" spans="1:38">
      <c r="A162" s="397">
        <v>150</v>
      </c>
      <c r="B162" s="404" t="s">
        <v>777</v>
      </c>
      <c r="C162" s="404"/>
      <c r="D162" s="114"/>
      <c r="E162" s="114"/>
      <c r="H162" s="785">
        <f>12102355+53000</f>
        <v>12155355</v>
      </c>
      <c r="I162" s="114"/>
      <c r="J162" s="260">
        <v>1046668</v>
      </c>
      <c r="K162" s="114"/>
      <c r="L162" s="260">
        <v>0</v>
      </c>
      <c r="M162" s="114"/>
      <c r="N162" s="260">
        <v>104627579</v>
      </c>
      <c r="O162" s="114"/>
      <c r="P162" s="260">
        <v>54737</v>
      </c>
      <c r="Q162" s="260">
        <v>680</v>
      </c>
      <c r="R162" s="260">
        <v>0</v>
      </c>
      <c r="S162" s="114"/>
      <c r="T162" s="260">
        <v>8617467</v>
      </c>
      <c r="U162" s="114"/>
      <c r="V162" s="260">
        <v>1914773</v>
      </c>
      <c r="W162" s="114"/>
      <c r="X162" s="260">
        <v>18534627</v>
      </c>
      <c r="Y162" s="114"/>
      <c r="Z162" s="260">
        <v>0</v>
      </c>
      <c r="AA162" s="114"/>
      <c r="AB162" s="260">
        <v>110000</v>
      </c>
      <c r="AC162" s="114"/>
      <c r="AD162" s="260">
        <v>0</v>
      </c>
      <c r="AE162" s="114"/>
      <c r="AF162" s="260">
        <v>0</v>
      </c>
      <c r="AG162" s="114"/>
      <c r="AH162" s="260">
        <v>0</v>
      </c>
      <c r="AI162" s="114"/>
      <c r="AJ162" s="260"/>
      <c r="AL162" s="260"/>
    </row>
    <row r="163" spans="1:38">
      <c r="A163" s="397">
        <v>151</v>
      </c>
      <c r="B163" s="404" t="s">
        <v>196</v>
      </c>
      <c r="C163" s="114"/>
      <c r="D163" s="114"/>
      <c r="E163" s="114"/>
      <c r="H163" s="260">
        <v>0</v>
      </c>
      <c r="I163" s="114"/>
      <c r="J163" s="260">
        <v>0</v>
      </c>
      <c r="K163" s="114"/>
      <c r="L163" s="260">
        <v>1494483810</v>
      </c>
      <c r="M163" s="114"/>
      <c r="N163" s="260">
        <v>0</v>
      </c>
      <c r="O163" s="114"/>
      <c r="P163" s="260">
        <v>0</v>
      </c>
      <c r="Q163" s="260">
        <v>0</v>
      </c>
      <c r="R163" s="260">
        <v>0</v>
      </c>
      <c r="S163" s="114"/>
      <c r="T163" s="260">
        <v>0</v>
      </c>
      <c r="U163" s="114"/>
      <c r="V163" s="260">
        <v>0</v>
      </c>
      <c r="W163" s="114"/>
      <c r="X163" s="260"/>
      <c r="Y163" s="114"/>
      <c r="Z163" s="260">
        <v>0</v>
      </c>
      <c r="AA163" s="114"/>
      <c r="AB163" s="260"/>
      <c r="AC163" s="114"/>
      <c r="AD163" s="260">
        <v>0</v>
      </c>
      <c r="AE163" s="114"/>
      <c r="AF163" s="260">
        <v>0</v>
      </c>
      <c r="AG163" s="114"/>
      <c r="AH163" s="260"/>
      <c r="AI163" s="114"/>
      <c r="AJ163" s="260"/>
      <c r="AL163" s="260"/>
    </row>
    <row r="164" spans="1:38">
      <c r="A164" s="397">
        <v>152</v>
      </c>
      <c r="B164" s="404" t="s">
        <v>197</v>
      </c>
      <c r="C164" s="114"/>
      <c r="D164" s="114"/>
      <c r="E164" s="114"/>
      <c r="H164" s="260">
        <v>0</v>
      </c>
      <c r="I164" s="114"/>
      <c r="J164" s="260">
        <v>0</v>
      </c>
      <c r="K164" s="114"/>
      <c r="L164" s="260">
        <v>0</v>
      </c>
      <c r="M164" s="114"/>
      <c r="N164" s="260">
        <v>0</v>
      </c>
      <c r="O164" s="114"/>
      <c r="P164" s="260">
        <v>0</v>
      </c>
      <c r="Q164" s="260">
        <v>0</v>
      </c>
      <c r="R164" s="260">
        <v>0</v>
      </c>
      <c r="S164" s="114"/>
      <c r="T164" s="260">
        <v>0</v>
      </c>
      <c r="U164" s="114"/>
      <c r="V164" s="260">
        <v>0</v>
      </c>
      <c r="W164" s="114"/>
      <c r="X164" s="260"/>
      <c r="Y164" s="114"/>
      <c r="Z164" s="260">
        <v>0</v>
      </c>
      <c r="AA164" s="114"/>
      <c r="AB164" s="260"/>
      <c r="AC164" s="114"/>
      <c r="AD164" s="260">
        <v>0</v>
      </c>
      <c r="AE164" s="114"/>
      <c r="AF164" s="260">
        <v>0</v>
      </c>
      <c r="AG164" s="114"/>
      <c r="AH164" s="260"/>
      <c r="AI164" s="114"/>
      <c r="AJ164" s="260"/>
      <c r="AL164" s="260"/>
    </row>
    <row r="165" spans="1:38">
      <c r="A165" s="397">
        <v>153</v>
      </c>
      <c r="B165" s="404" t="s">
        <v>198</v>
      </c>
      <c r="C165" s="114"/>
      <c r="D165" s="114"/>
      <c r="E165" s="114"/>
      <c r="H165" s="260">
        <v>0</v>
      </c>
      <c r="I165" s="114"/>
      <c r="J165" s="260">
        <v>0</v>
      </c>
      <c r="K165" s="114"/>
      <c r="L165" s="260">
        <v>0</v>
      </c>
      <c r="M165" s="114"/>
      <c r="N165" s="260">
        <v>0</v>
      </c>
      <c r="O165" s="114"/>
      <c r="P165" s="260">
        <v>0</v>
      </c>
      <c r="Q165" s="260">
        <v>0</v>
      </c>
      <c r="R165" s="260">
        <v>0</v>
      </c>
      <c r="S165" s="114"/>
      <c r="T165" s="260">
        <v>0</v>
      </c>
      <c r="U165" s="114"/>
      <c r="V165" s="260">
        <v>0</v>
      </c>
      <c r="W165" s="114"/>
      <c r="X165" s="260"/>
      <c r="Y165" s="114"/>
      <c r="Z165" s="260">
        <v>0</v>
      </c>
      <c r="AA165" s="114"/>
      <c r="AB165" s="260"/>
      <c r="AC165" s="114"/>
      <c r="AD165" s="260">
        <v>0</v>
      </c>
      <c r="AE165" s="114"/>
      <c r="AF165" s="260">
        <v>0</v>
      </c>
      <c r="AG165" s="114"/>
      <c r="AH165" s="260"/>
      <c r="AI165" s="114"/>
      <c r="AJ165" s="260"/>
      <c r="AL165" s="260"/>
    </row>
    <row r="166" spans="1:38">
      <c r="A166" s="397">
        <v>154</v>
      </c>
      <c r="B166" s="404" t="s">
        <v>2958</v>
      </c>
      <c r="C166" s="114"/>
      <c r="D166" s="114"/>
      <c r="E166" s="114"/>
      <c r="H166" s="785">
        <f>1378006-156713</f>
        <v>1221293</v>
      </c>
      <c r="I166" s="114"/>
      <c r="J166" s="785">
        <f>382401+259991</f>
        <v>642392</v>
      </c>
      <c r="K166" s="114"/>
      <c r="L166" s="260">
        <v>0</v>
      </c>
      <c r="M166" s="114"/>
      <c r="N166" s="260">
        <v>4109402</v>
      </c>
      <c r="O166" s="114"/>
      <c r="P166" s="260"/>
      <c r="Q166" s="260">
        <v>0</v>
      </c>
      <c r="R166" s="260"/>
      <c r="S166" s="114"/>
      <c r="T166" s="260"/>
      <c r="U166" s="114"/>
      <c r="V166" s="260"/>
      <c r="W166" s="114"/>
      <c r="X166" s="260"/>
      <c r="Y166" s="114"/>
      <c r="Z166" s="260"/>
      <c r="AA166" s="114"/>
      <c r="AB166" s="260"/>
      <c r="AC166" s="114"/>
      <c r="AD166" s="260"/>
      <c r="AE166" s="114"/>
      <c r="AF166" s="260"/>
      <c r="AG166" s="114"/>
      <c r="AH166" s="260"/>
      <c r="AI166" s="114"/>
      <c r="AJ166" s="260"/>
      <c r="AL166" s="260"/>
    </row>
    <row r="167" spans="1:38">
      <c r="A167" s="397">
        <v>155</v>
      </c>
      <c r="B167" s="404" t="s">
        <v>215</v>
      </c>
      <c r="C167" s="114"/>
      <c r="D167" s="114"/>
      <c r="E167" s="114"/>
      <c r="H167" s="260">
        <v>0</v>
      </c>
      <c r="I167" s="114"/>
      <c r="J167" s="260">
        <v>0</v>
      </c>
      <c r="K167" s="114"/>
      <c r="L167" s="260">
        <v>2245446</v>
      </c>
      <c r="M167" s="114"/>
      <c r="N167" s="260">
        <v>0</v>
      </c>
      <c r="O167" s="114"/>
      <c r="P167" s="260">
        <v>0</v>
      </c>
      <c r="Q167" s="260">
        <v>0</v>
      </c>
      <c r="R167" s="260">
        <v>0</v>
      </c>
      <c r="S167" s="114"/>
      <c r="T167" s="260">
        <v>0</v>
      </c>
      <c r="U167" s="114"/>
      <c r="V167" s="260">
        <v>0</v>
      </c>
      <c r="W167" s="114"/>
      <c r="X167" s="260">
        <v>0</v>
      </c>
      <c r="Y167" s="114"/>
      <c r="Z167" s="260">
        <v>0</v>
      </c>
      <c r="AA167" s="114"/>
      <c r="AB167" s="260"/>
      <c r="AC167" s="114"/>
      <c r="AD167" s="260">
        <v>0</v>
      </c>
      <c r="AE167" s="114"/>
      <c r="AF167" s="260">
        <v>0</v>
      </c>
      <c r="AG167" s="114"/>
      <c r="AH167" s="260"/>
      <c r="AI167" s="114"/>
      <c r="AJ167" s="260"/>
      <c r="AL167" s="260"/>
    </row>
    <row r="168" spans="1:38">
      <c r="A168" s="397">
        <v>156</v>
      </c>
      <c r="B168" s="404" t="s">
        <v>1</v>
      </c>
      <c r="C168" s="114"/>
      <c r="D168" s="114"/>
      <c r="E168" s="114"/>
      <c r="H168" s="785">
        <f>-36901584+103713</f>
        <v>-36797871</v>
      </c>
      <c r="I168" s="114"/>
      <c r="J168" s="785">
        <f>1656097943-259991</f>
        <v>1655837952</v>
      </c>
      <c r="K168" s="114"/>
      <c r="L168" s="260"/>
      <c r="M168" s="114"/>
      <c r="N168" s="785">
        <v>-97834442</v>
      </c>
      <c r="O168" s="114"/>
      <c r="P168" s="260">
        <v>-1340781</v>
      </c>
      <c r="Q168" s="260">
        <v>4289746</v>
      </c>
      <c r="R168" s="260">
        <v>131085351</v>
      </c>
      <c r="S168" s="114"/>
      <c r="T168" s="260">
        <v>16713838</v>
      </c>
      <c r="U168" s="114"/>
      <c r="V168" s="260">
        <v>-980025</v>
      </c>
      <c r="W168" s="114"/>
      <c r="X168" s="260">
        <v>15356694</v>
      </c>
      <c r="Y168" s="114"/>
      <c r="Z168" s="260">
        <v>213591</v>
      </c>
      <c r="AA168" s="114"/>
      <c r="AB168" s="785">
        <f>58456520-110000</f>
        <v>58346520</v>
      </c>
      <c r="AC168" s="114"/>
      <c r="AD168" s="260">
        <v>7841</v>
      </c>
      <c r="AE168" s="114"/>
      <c r="AF168" s="260">
        <v>453947</v>
      </c>
      <c r="AG168" s="114"/>
      <c r="AH168" s="260"/>
      <c r="AI168" s="114"/>
      <c r="AJ168" s="260">
        <v>292159</v>
      </c>
      <c r="AL168" s="260">
        <v>1114591</v>
      </c>
    </row>
    <row r="169" spans="1:38">
      <c r="A169" s="397">
        <v>157</v>
      </c>
      <c r="B169" s="114"/>
      <c r="C169" s="114"/>
      <c r="D169" s="114"/>
      <c r="E169" s="114"/>
      <c r="H169" s="405">
        <f>SUM(H162:H168)</f>
        <v>-23421223</v>
      </c>
      <c r="I169" s="114"/>
      <c r="J169" s="405">
        <f>SUM(J162:J168)</f>
        <v>1657527012</v>
      </c>
      <c r="K169" s="114"/>
      <c r="L169" s="405">
        <f>SUM(L162:L168)</f>
        <v>1496729256</v>
      </c>
      <c r="M169" s="114"/>
      <c r="N169" s="405">
        <f>SUM(N162:N168)</f>
        <v>10902539</v>
      </c>
      <c r="O169" s="114"/>
      <c r="P169" s="405">
        <f>SUM(P162:P168)</f>
        <v>-1286044</v>
      </c>
      <c r="Q169" s="405">
        <f>SUM(Q162:Q168)</f>
        <v>4290426</v>
      </c>
      <c r="R169" s="405">
        <f>SUM(R162:R168)</f>
        <v>131085351</v>
      </c>
      <c r="S169" s="114"/>
      <c r="T169" s="405">
        <f>SUM(T162:T168)</f>
        <v>25331305</v>
      </c>
      <c r="U169" s="114"/>
      <c r="V169" s="405">
        <f>SUM(V162:V168)</f>
        <v>934748</v>
      </c>
      <c r="W169" s="114"/>
      <c r="X169" s="405">
        <f>SUM(X162:X168)</f>
        <v>33891321</v>
      </c>
      <c r="Y169" s="114"/>
      <c r="Z169" s="405">
        <f>SUM(Z162:Z168)</f>
        <v>213591</v>
      </c>
      <c r="AA169" s="114"/>
      <c r="AB169" s="405">
        <f>SUM(AB162:AB168)</f>
        <v>58456520</v>
      </c>
      <c r="AC169" s="114"/>
      <c r="AD169" s="405">
        <f>SUM(AD162:AD168)</f>
        <v>7841</v>
      </c>
      <c r="AE169" s="114"/>
      <c r="AF169" s="405">
        <f>SUM(AF162:AF168)</f>
        <v>453947</v>
      </c>
      <c r="AG169" s="114"/>
      <c r="AH169" s="405">
        <f>SUM(AH162:AH168)</f>
        <v>0</v>
      </c>
      <c r="AI169" s="114"/>
      <c r="AJ169" s="405">
        <f>SUM(AJ162:AJ168)</f>
        <v>292159</v>
      </c>
      <c r="AL169" s="405">
        <f>SUM(AL162:AL168)</f>
        <v>1114591</v>
      </c>
    </row>
    <row r="170" spans="1:38">
      <c r="A170" s="397">
        <v>158</v>
      </c>
      <c r="B170" s="114"/>
      <c r="C170" s="114"/>
      <c r="D170" s="114"/>
      <c r="E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L170" s="114"/>
    </row>
    <row r="171" spans="1:38">
      <c r="A171" s="397">
        <v>159</v>
      </c>
      <c r="B171" s="114"/>
      <c r="C171" s="114"/>
      <c r="D171" s="114"/>
      <c r="E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L171" s="114"/>
    </row>
    <row r="172" spans="1:38">
      <c r="A172" s="397">
        <v>160</v>
      </c>
      <c r="B172" s="1008"/>
      <c r="C172" s="1008"/>
      <c r="D172" s="1008"/>
      <c r="E172" s="1008"/>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2"/>
      <c r="AG172" s="114"/>
      <c r="AH172" s="12"/>
      <c r="AI172" s="114"/>
      <c r="AJ172" s="114"/>
      <c r="AL172" s="114"/>
    </row>
    <row r="173" spans="1:38">
      <c r="A173" s="397">
        <v>161</v>
      </c>
      <c r="B173" s="200"/>
      <c r="C173" s="114"/>
      <c r="D173" s="114"/>
      <c r="E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2"/>
      <c r="AG173" s="114"/>
      <c r="AH173" s="12"/>
      <c r="AI173" s="114"/>
      <c r="AJ173" s="114"/>
      <c r="AL173" s="114"/>
    </row>
    <row r="174" spans="1:38">
      <c r="A174" s="397">
        <v>162</v>
      </c>
      <c r="B174" s="200" t="s">
        <v>547</v>
      </c>
      <c r="C174" s="200"/>
      <c r="D174" s="200"/>
      <c r="E174" s="200"/>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2"/>
      <c r="AG174" s="114"/>
      <c r="AH174" s="12"/>
      <c r="AI174" s="114"/>
      <c r="AJ174" s="114"/>
      <c r="AL174" s="114"/>
    </row>
    <row r="175" spans="1:38">
      <c r="A175" s="397">
        <v>163</v>
      </c>
      <c r="B175" s="399"/>
      <c r="C175" s="400"/>
      <c r="D175" s="400"/>
      <c r="E175" s="400"/>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2"/>
      <c r="AG175" s="114"/>
      <c r="AH175" s="12"/>
      <c r="AI175" s="114"/>
      <c r="AJ175" s="114"/>
      <c r="AL175" s="114"/>
    </row>
    <row r="176" spans="1:38">
      <c r="A176" s="397">
        <v>164</v>
      </c>
      <c r="B176" s="200"/>
      <c r="C176" s="114"/>
      <c r="D176" s="114"/>
      <c r="E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1"/>
      <c r="AG176" s="114"/>
      <c r="AH176" s="111"/>
      <c r="AI176" s="114"/>
      <c r="AJ176" s="114"/>
      <c r="AL176" s="114"/>
    </row>
    <row r="177" spans="1:38" ht="13.5" thickBot="1">
      <c r="A177" s="397">
        <v>165</v>
      </c>
      <c r="B177" s="416" t="s">
        <v>2</v>
      </c>
      <c r="C177" s="400"/>
      <c r="D177" s="400"/>
      <c r="E177" s="400"/>
      <c r="H177" s="412" t="s">
        <v>301</v>
      </c>
      <c r="I177" s="114"/>
      <c r="J177" s="412" t="s">
        <v>301</v>
      </c>
      <c r="K177" s="114"/>
      <c r="L177" s="412" t="s">
        <v>301</v>
      </c>
      <c r="M177" s="114"/>
      <c r="N177" s="412" t="s">
        <v>301</v>
      </c>
      <c r="O177" s="114"/>
      <c r="P177" s="412" t="s">
        <v>301</v>
      </c>
      <c r="Q177" s="412" t="s">
        <v>301</v>
      </c>
      <c r="R177" s="412" t="s">
        <v>301</v>
      </c>
      <c r="S177" s="114"/>
      <c r="T177" s="412" t="s">
        <v>301</v>
      </c>
      <c r="U177" s="114"/>
      <c r="V177" s="412" t="s">
        <v>301</v>
      </c>
      <c r="W177" s="114"/>
      <c r="X177" s="412" t="s">
        <v>301</v>
      </c>
      <c r="Y177" s="114"/>
      <c r="Z177" s="412" t="s">
        <v>301</v>
      </c>
      <c r="AA177" s="114"/>
      <c r="AB177" s="412" t="s">
        <v>301</v>
      </c>
      <c r="AC177" s="114"/>
      <c r="AD177" s="412" t="s">
        <v>301</v>
      </c>
      <c r="AE177" s="114"/>
      <c r="AF177" s="983" t="s">
        <v>301</v>
      </c>
      <c r="AG177" s="114"/>
      <c r="AH177" s="113" t="s">
        <v>301</v>
      </c>
      <c r="AI177" s="114"/>
      <c r="AJ177" s="412" t="s">
        <v>301</v>
      </c>
      <c r="AL177" s="412" t="s">
        <v>301</v>
      </c>
    </row>
    <row r="178" spans="1:38">
      <c r="A178" s="397">
        <v>166</v>
      </c>
      <c r="B178" s="398"/>
      <c r="C178" s="114"/>
      <c r="D178" s="114"/>
      <c r="E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2"/>
      <c r="AG178" s="114"/>
      <c r="AH178" s="12"/>
      <c r="AI178" s="114"/>
      <c r="AJ178" s="114"/>
      <c r="AL178" s="114"/>
    </row>
    <row r="179" spans="1:38">
      <c r="A179" s="397">
        <v>167</v>
      </c>
      <c r="B179" s="114"/>
      <c r="C179" s="409" t="s">
        <v>3</v>
      </c>
      <c r="D179" s="114"/>
      <c r="E179" s="114"/>
      <c r="H179" s="260">
        <v>4611855820</v>
      </c>
      <c r="I179" s="114"/>
      <c r="J179" s="260">
        <v>100202279</v>
      </c>
      <c r="K179" s="114"/>
      <c r="L179" s="260">
        <v>250501678</v>
      </c>
      <c r="M179" s="114"/>
      <c r="N179" s="260">
        <v>1196871583</v>
      </c>
      <c r="O179" s="114"/>
      <c r="P179" s="260">
        <v>14738869</v>
      </c>
      <c r="Q179" s="260">
        <v>436340</v>
      </c>
      <c r="R179" s="260">
        <v>523867405</v>
      </c>
      <c r="S179" s="114"/>
      <c r="T179" s="260">
        <v>42063707</v>
      </c>
      <c r="U179" s="114"/>
      <c r="V179" s="260">
        <v>15890962</v>
      </c>
      <c r="W179" s="114"/>
      <c r="X179" s="260">
        <v>31104708</v>
      </c>
      <c r="Y179" s="114"/>
      <c r="Z179" s="260">
        <v>11849846</v>
      </c>
      <c r="AA179" s="114"/>
      <c r="AB179" s="260">
        <v>74298245</v>
      </c>
      <c r="AC179" s="114"/>
      <c r="AD179" s="260">
        <v>7530972</v>
      </c>
      <c r="AE179" s="114"/>
      <c r="AF179" s="260">
        <v>566976</v>
      </c>
      <c r="AG179" s="114"/>
      <c r="AH179" s="260"/>
      <c r="AI179" s="114"/>
      <c r="AJ179" s="260">
        <v>314415</v>
      </c>
      <c r="AL179" s="260">
        <v>21611295</v>
      </c>
    </row>
    <row r="180" spans="1:38">
      <c r="A180" s="397">
        <v>168</v>
      </c>
      <c r="B180" s="114"/>
      <c r="C180" s="409" t="s">
        <v>4</v>
      </c>
      <c r="D180" s="114"/>
      <c r="E180" s="114"/>
      <c r="H180" s="260"/>
      <c r="I180" s="114"/>
      <c r="J180" s="785">
        <f>112916908-33506</f>
        <v>112883402</v>
      </c>
      <c r="K180" s="114"/>
      <c r="L180" s="260">
        <v>27449621</v>
      </c>
      <c r="M180" s="114"/>
      <c r="N180" s="260">
        <v>0</v>
      </c>
      <c r="O180" s="114"/>
      <c r="P180" s="260"/>
      <c r="Q180" s="260"/>
      <c r="R180" s="260">
        <v>0</v>
      </c>
      <c r="S180" s="114"/>
      <c r="T180" s="260">
        <v>0</v>
      </c>
      <c r="U180" s="114"/>
      <c r="V180" s="260"/>
      <c r="W180" s="114"/>
      <c r="X180" s="260"/>
      <c r="Y180" s="114"/>
      <c r="Z180" s="260">
        <v>0</v>
      </c>
      <c r="AA180" s="114"/>
      <c r="AB180" s="260"/>
      <c r="AC180" s="114"/>
      <c r="AD180" s="260">
        <v>0</v>
      </c>
      <c r="AE180" s="114"/>
      <c r="AF180" s="260"/>
      <c r="AG180" s="114"/>
      <c r="AH180" s="260"/>
      <c r="AI180" s="114"/>
      <c r="AJ180" s="260"/>
      <c r="AL180" s="260"/>
    </row>
    <row r="181" spans="1:38">
      <c r="A181" s="397">
        <v>169</v>
      </c>
      <c r="B181" s="114"/>
      <c r="C181" s="417"/>
      <c r="D181" s="114"/>
      <c r="E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L181" s="114"/>
    </row>
    <row r="182" spans="1:38">
      <c r="A182" s="397">
        <v>170</v>
      </c>
      <c r="B182" s="114"/>
      <c r="C182" s="114" t="s">
        <v>199</v>
      </c>
      <c r="D182" s="114"/>
      <c r="E182" s="114"/>
      <c r="H182" s="260"/>
      <c r="I182" s="114"/>
      <c r="J182" s="260">
        <v>0</v>
      </c>
      <c r="K182" s="114"/>
      <c r="L182" s="260">
        <f>-249694+249694</f>
        <v>0</v>
      </c>
      <c r="M182" s="114"/>
      <c r="N182" s="260">
        <v>18452721</v>
      </c>
      <c r="O182" s="114"/>
      <c r="P182" s="260"/>
      <c r="Q182" s="260"/>
      <c r="R182" s="260"/>
      <c r="S182" s="114"/>
      <c r="T182" s="260"/>
      <c r="U182" s="114"/>
      <c r="V182" s="260"/>
      <c r="W182" s="114"/>
      <c r="X182" s="260"/>
      <c r="Y182" s="114"/>
      <c r="Z182" s="260"/>
      <c r="AA182" s="114"/>
      <c r="AB182" s="260"/>
      <c r="AC182" s="114"/>
      <c r="AD182" s="260">
        <v>0</v>
      </c>
      <c r="AE182" s="114"/>
      <c r="AF182" s="260"/>
      <c r="AG182" s="114"/>
      <c r="AH182" s="260"/>
      <c r="AI182" s="114"/>
      <c r="AJ182" s="260"/>
      <c r="AL182" s="260"/>
    </row>
    <row r="183" spans="1:38">
      <c r="A183" s="397">
        <v>171</v>
      </c>
      <c r="B183" s="114"/>
      <c r="C183" s="417" t="s">
        <v>5</v>
      </c>
      <c r="D183" s="114"/>
      <c r="E183" s="114"/>
      <c r="H183" s="260"/>
      <c r="I183" s="114"/>
      <c r="J183" s="260">
        <v>0</v>
      </c>
      <c r="K183" s="114"/>
      <c r="L183" s="260"/>
      <c r="M183" s="114"/>
      <c r="N183" s="260">
        <v>0</v>
      </c>
      <c r="O183" s="114"/>
      <c r="P183" s="260"/>
      <c r="Q183" s="260"/>
      <c r="R183" s="260"/>
      <c r="S183" s="114"/>
      <c r="T183" s="260"/>
      <c r="U183" s="114"/>
      <c r="V183" s="260"/>
      <c r="W183" s="114"/>
      <c r="X183" s="260"/>
      <c r="Y183" s="114"/>
      <c r="Z183" s="260"/>
      <c r="AA183" s="114"/>
      <c r="AB183" s="260"/>
      <c r="AC183" s="114"/>
      <c r="AD183" s="260">
        <v>0</v>
      </c>
      <c r="AE183" s="114"/>
      <c r="AF183" s="260"/>
      <c r="AG183" s="114"/>
      <c r="AH183" s="260"/>
      <c r="AI183" s="114"/>
      <c r="AJ183" s="260"/>
      <c r="AL183" s="260"/>
    </row>
    <row r="184" spans="1:38">
      <c r="A184" s="397">
        <v>172</v>
      </c>
      <c r="B184" s="114"/>
      <c r="C184" s="417" t="s">
        <v>200</v>
      </c>
      <c r="D184" s="114"/>
      <c r="E184" s="114"/>
      <c r="H184" s="260"/>
      <c r="I184" s="114"/>
      <c r="J184" s="260">
        <v>0</v>
      </c>
      <c r="K184" s="114"/>
      <c r="L184" s="260"/>
      <c r="M184" s="114"/>
      <c r="N184" s="260">
        <v>4680154</v>
      </c>
      <c r="O184" s="114"/>
      <c r="P184" s="260"/>
      <c r="Q184" s="260"/>
      <c r="R184" s="260"/>
      <c r="S184" s="114"/>
      <c r="T184" s="260"/>
      <c r="U184" s="114"/>
      <c r="V184" s="260"/>
      <c r="W184" s="114"/>
      <c r="X184" s="260"/>
      <c r="Y184" s="114"/>
      <c r="Z184" s="260"/>
      <c r="AA184" s="114"/>
      <c r="AB184" s="260"/>
      <c r="AC184" s="114"/>
      <c r="AD184" s="260">
        <v>0</v>
      </c>
      <c r="AE184" s="114"/>
      <c r="AF184" s="260"/>
      <c r="AG184" s="114"/>
      <c r="AH184" s="260"/>
      <c r="AI184" s="114"/>
      <c r="AJ184" s="260"/>
      <c r="AL184" s="260"/>
    </row>
    <row r="185" spans="1:38">
      <c r="A185" s="397">
        <v>173</v>
      </c>
      <c r="B185" s="114"/>
      <c r="C185" s="417" t="s">
        <v>6</v>
      </c>
      <c r="D185" s="114"/>
      <c r="E185" s="114"/>
      <c r="H185" s="260"/>
      <c r="I185" s="114"/>
      <c r="J185" s="260">
        <v>208601764</v>
      </c>
      <c r="K185" s="114"/>
      <c r="L185" s="260"/>
      <c r="M185" s="114"/>
      <c r="N185" s="260">
        <v>10418524</v>
      </c>
      <c r="O185" s="114"/>
      <c r="P185" s="260"/>
      <c r="Q185" s="260"/>
      <c r="R185" s="260">
        <v>61150</v>
      </c>
      <c r="S185" s="114"/>
      <c r="T185" s="260">
        <v>15218</v>
      </c>
      <c r="U185" s="114"/>
      <c r="V185" s="260"/>
      <c r="W185" s="114"/>
      <c r="X185" s="260"/>
      <c r="Y185" s="114"/>
      <c r="Z185" s="260"/>
      <c r="AA185" s="114"/>
      <c r="AB185" s="260">
        <v>0</v>
      </c>
      <c r="AC185" s="114"/>
      <c r="AD185" s="260">
        <v>35287</v>
      </c>
      <c r="AE185" s="114"/>
      <c r="AF185" s="260"/>
      <c r="AG185" s="114"/>
      <c r="AH185" s="260"/>
      <c r="AI185" s="114"/>
      <c r="AJ185" s="260"/>
      <c r="AL185" s="260"/>
    </row>
    <row r="186" spans="1:38">
      <c r="A186" s="397">
        <v>174</v>
      </c>
      <c r="B186" s="114"/>
      <c r="C186" s="417"/>
      <c r="D186" s="404" t="s">
        <v>7</v>
      </c>
      <c r="E186" s="114"/>
      <c r="H186" s="400">
        <f>SUM(H182:H185)</f>
        <v>0</v>
      </c>
      <c r="I186" s="114"/>
      <c r="J186" s="400">
        <f>SUM(J182:J185)</f>
        <v>208601764</v>
      </c>
      <c r="K186" s="114"/>
      <c r="L186" s="400">
        <f>SUM(L182:L185)</f>
        <v>0</v>
      </c>
      <c r="M186" s="114"/>
      <c r="N186" s="400">
        <f>SUM(N182:N185)</f>
        <v>33551399</v>
      </c>
      <c r="O186" s="114"/>
      <c r="P186" s="405">
        <f>SUM(P182:P185)</f>
        <v>0</v>
      </c>
      <c r="Q186" s="405">
        <f>SUM(Q182:Q185)</f>
        <v>0</v>
      </c>
      <c r="R186" s="400">
        <v>0</v>
      </c>
      <c r="S186" s="114"/>
      <c r="T186" s="400">
        <f>SUM(T182:T185)</f>
        <v>15218</v>
      </c>
      <c r="U186" s="114"/>
      <c r="V186" s="400">
        <v>0</v>
      </c>
      <c r="W186" s="114"/>
      <c r="X186" s="400">
        <v>0</v>
      </c>
      <c r="Y186" s="114"/>
      <c r="Z186" s="400">
        <f>SUM(Z182:Z185)</f>
        <v>0</v>
      </c>
      <c r="AA186" s="114"/>
      <c r="AB186" s="400">
        <f>SUM(AB182:AB185)</f>
        <v>0</v>
      </c>
      <c r="AC186" s="114"/>
      <c r="AD186" s="400">
        <f>SUM(AD182:AD185)</f>
        <v>35287</v>
      </c>
      <c r="AE186" s="114"/>
      <c r="AF186" s="405">
        <v>0</v>
      </c>
      <c r="AG186" s="114"/>
      <c r="AH186" s="405"/>
      <c r="AI186" s="114"/>
      <c r="AJ186" s="400">
        <v>0</v>
      </c>
      <c r="AL186" s="400">
        <v>0</v>
      </c>
    </row>
    <row r="187" spans="1:38">
      <c r="A187" s="397">
        <v>175</v>
      </c>
      <c r="B187" s="114"/>
      <c r="C187" s="417"/>
      <c r="D187" s="114"/>
      <c r="E187" s="114"/>
      <c r="H187" s="114"/>
      <c r="I187" s="114"/>
      <c r="J187" s="114"/>
      <c r="K187" s="114"/>
      <c r="L187" s="114"/>
      <c r="M187" s="114"/>
      <c r="N187" s="114"/>
      <c r="O187" s="114"/>
      <c r="P187" s="114"/>
      <c r="Q187" s="114"/>
      <c r="R187" s="114"/>
      <c r="S187" s="114"/>
      <c r="T187" s="114"/>
      <c r="U187" s="114"/>
      <c r="V187" s="209"/>
      <c r="W187" s="114"/>
      <c r="X187" s="114"/>
      <c r="Y187" s="114"/>
      <c r="Z187" s="114"/>
      <c r="AA187" s="114"/>
      <c r="AB187" s="114"/>
      <c r="AC187" s="114"/>
      <c r="AD187" s="114"/>
      <c r="AE187" s="114"/>
      <c r="AF187" s="114"/>
      <c r="AG187" s="114"/>
      <c r="AH187" s="114"/>
      <c r="AI187" s="114"/>
      <c r="AJ187" s="114"/>
      <c r="AL187" s="114"/>
    </row>
    <row r="188" spans="1:38">
      <c r="A188" s="397">
        <v>176</v>
      </c>
      <c r="B188" s="114"/>
      <c r="C188" s="114"/>
      <c r="D188" s="409" t="s">
        <v>8</v>
      </c>
      <c r="E188" s="114"/>
      <c r="H188" s="405">
        <f>SUM(H179:H180,H186)</f>
        <v>4611855820</v>
      </c>
      <c r="I188" s="114"/>
      <c r="J188" s="405">
        <f>SUM(J179:J180,J186)</f>
        <v>421687445</v>
      </c>
      <c r="K188" s="114"/>
      <c r="L188" s="405">
        <f>SUM(L179:L180,L186)</f>
        <v>277951299</v>
      </c>
      <c r="M188" s="114"/>
      <c r="N188" s="405">
        <f>SUM(N179:N180,N186)</f>
        <v>1230422982</v>
      </c>
      <c r="O188" s="114"/>
      <c r="P188" s="405">
        <f>SUM(P179:P180,P186)</f>
        <v>14738869</v>
      </c>
      <c r="Q188" s="405">
        <f>SUM(Q179:Q180,Q186)</f>
        <v>436340</v>
      </c>
      <c r="R188" s="405">
        <f>SUM(R179:R180,R185:R186)</f>
        <v>523928555</v>
      </c>
      <c r="S188" s="114"/>
      <c r="T188" s="405">
        <f>SUM(T179:T180,T186)</f>
        <v>42078925</v>
      </c>
      <c r="U188" s="114"/>
      <c r="V188" s="405">
        <f>SUM(V179:V180,V186)</f>
        <v>15890962</v>
      </c>
      <c r="W188" s="114"/>
      <c r="X188" s="405">
        <f>SUM(X179:X180,X186)</f>
        <v>31104708</v>
      </c>
      <c r="Y188" s="114"/>
      <c r="Z188" s="405">
        <f>SUM(Z179:Z180,Z186)</f>
        <v>11849846</v>
      </c>
      <c r="AA188" s="114"/>
      <c r="AB188" s="405">
        <f>SUM(AB179:AB180,AB186)</f>
        <v>74298245</v>
      </c>
      <c r="AC188" s="114"/>
      <c r="AD188" s="405">
        <f>SUM(AD179:AD180,AD186)</f>
        <v>7566259</v>
      </c>
      <c r="AE188" s="114"/>
      <c r="AF188" s="405">
        <f>SUM(AF179:AF180,AF186)</f>
        <v>566976</v>
      </c>
      <c r="AG188" s="114"/>
      <c r="AH188" s="405">
        <f>SUM(AH179:AH180,AH186)</f>
        <v>0</v>
      </c>
      <c r="AI188" s="114"/>
      <c r="AJ188" s="405">
        <f>SUM(AJ179:AJ180,AJ186)</f>
        <v>314415</v>
      </c>
      <c r="AL188" s="405">
        <f>SUM(AL179:AL180,AL186)</f>
        <v>21611295</v>
      </c>
    </row>
    <row r="189" spans="1:38">
      <c r="A189" s="397">
        <v>177</v>
      </c>
      <c r="B189" s="114"/>
      <c r="C189" s="114"/>
      <c r="D189" s="114"/>
      <c r="E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L189" s="114"/>
    </row>
    <row r="190" spans="1:38">
      <c r="A190" s="397">
        <v>178</v>
      </c>
      <c r="B190" s="398" t="s">
        <v>9</v>
      </c>
      <c r="C190" s="114"/>
      <c r="D190" s="114"/>
      <c r="E190" s="114"/>
      <c r="H190" s="114"/>
      <c r="I190" s="114"/>
      <c r="J190" s="114"/>
      <c r="K190" s="114"/>
      <c r="L190" s="114"/>
      <c r="M190" s="114"/>
      <c r="N190" s="400"/>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L190" s="114"/>
    </row>
    <row r="191" spans="1:38">
      <c r="A191" s="397">
        <v>179</v>
      </c>
      <c r="B191" s="114"/>
      <c r="C191" s="409" t="s">
        <v>11</v>
      </c>
      <c r="D191" s="114"/>
      <c r="E191" s="114"/>
      <c r="H191" s="260">
        <v>233031717</v>
      </c>
      <c r="I191" s="114"/>
      <c r="J191" s="260"/>
      <c r="K191" s="114"/>
      <c r="L191" s="260"/>
      <c r="M191" s="114"/>
      <c r="N191" s="260">
        <v>693270047</v>
      </c>
      <c r="O191" s="114"/>
      <c r="P191" s="260"/>
      <c r="Q191" s="260"/>
      <c r="R191" s="260">
        <v>0</v>
      </c>
      <c r="S191" s="114"/>
      <c r="T191" s="260">
        <v>30233997</v>
      </c>
      <c r="U191" s="114"/>
      <c r="V191" s="260"/>
      <c r="W191" s="114"/>
      <c r="X191" s="260"/>
      <c r="Y191" s="114"/>
      <c r="Z191" s="260"/>
      <c r="AA191" s="114"/>
      <c r="AB191" s="260"/>
      <c r="AC191" s="114"/>
      <c r="AD191" s="260">
        <v>2341936</v>
      </c>
      <c r="AE191" s="114"/>
      <c r="AF191" s="260">
        <v>242800</v>
      </c>
      <c r="AG191" s="114"/>
      <c r="AH191" s="260"/>
      <c r="AI191" s="114"/>
      <c r="AJ191" s="260">
        <v>271507</v>
      </c>
      <c r="AL191" s="260">
        <v>0</v>
      </c>
    </row>
    <row r="192" spans="1:38">
      <c r="A192" s="397">
        <v>180</v>
      </c>
      <c r="B192" s="114"/>
      <c r="C192" s="417"/>
      <c r="D192" s="114"/>
      <c r="E192" s="114"/>
      <c r="H192" s="114"/>
      <c r="I192" s="114"/>
      <c r="J192" s="114"/>
      <c r="K192" s="114"/>
      <c r="L192" s="114"/>
      <c r="M192" s="114"/>
      <c r="N192" s="114"/>
      <c r="O192" s="114"/>
      <c r="P192" s="114"/>
      <c r="Q192" s="114"/>
      <c r="R192" s="114"/>
      <c r="S192" s="114"/>
      <c r="T192" s="114"/>
      <c r="U192" s="114"/>
      <c r="V192" s="114"/>
      <c r="W192" s="114"/>
      <c r="X192" s="209"/>
      <c r="Y192" s="114"/>
      <c r="Z192" s="114"/>
      <c r="AA192" s="114"/>
      <c r="AB192" s="114"/>
      <c r="AC192" s="114"/>
      <c r="AD192" s="114"/>
      <c r="AE192" s="114"/>
      <c r="AF192" s="114"/>
      <c r="AG192" s="114"/>
      <c r="AH192" s="114"/>
      <c r="AI192" s="114"/>
      <c r="AJ192" s="114"/>
      <c r="AL192" s="114"/>
    </row>
    <row r="193" spans="1:38">
      <c r="A193" s="397">
        <v>181</v>
      </c>
      <c r="B193" s="114"/>
      <c r="C193" s="417" t="s">
        <v>12</v>
      </c>
      <c r="D193" s="114"/>
      <c r="E193" s="114"/>
      <c r="H193" s="260"/>
      <c r="I193" s="114"/>
      <c r="J193" s="260"/>
      <c r="K193" s="114"/>
      <c r="L193" s="260">
        <v>191441431</v>
      </c>
      <c r="M193" s="114"/>
      <c r="N193" s="260"/>
      <c r="O193" s="114"/>
      <c r="P193" s="260">
        <v>4072306</v>
      </c>
      <c r="Q193" s="260">
        <v>134609</v>
      </c>
      <c r="R193" s="260">
        <v>496208218</v>
      </c>
      <c r="S193" s="114"/>
      <c r="T193" s="260"/>
      <c r="U193" s="114"/>
      <c r="V193" s="260"/>
      <c r="W193" s="114"/>
      <c r="X193" s="260"/>
      <c r="Y193" s="114"/>
      <c r="Z193" s="260"/>
      <c r="AA193" s="114"/>
      <c r="AB193" s="260"/>
      <c r="AC193" s="114"/>
      <c r="AD193" s="260"/>
      <c r="AE193" s="114"/>
      <c r="AF193" s="260"/>
      <c r="AG193" s="114"/>
      <c r="AH193" s="260"/>
      <c r="AI193" s="114"/>
      <c r="AJ193" s="260"/>
      <c r="AL193" s="260">
        <v>22249811</v>
      </c>
    </row>
    <row r="194" spans="1:38">
      <c r="A194" s="397">
        <v>182</v>
      </c>
      <c r="B194" s="114"/>
      <c r="C194" s="417" t="s">
        <v>13</v>
      </c>
      <c r="D194" s="114"/>
      <c r="E194" s="114"/>
      <c r="H194" s="260">
        <v>3416373320</v>
      </c>
      <c r="I194" s="114"/>
      <c r="J194" s="260"/>
      <c r="K194" s="114"/>
      <c r="L194" s="260">
        <v>0</v>
      </c>
      <c r="M194" s="114"/>
      <c r="N194" s="260"/>
      <c r="O194" s="114"/>
      <c r="P194" s="260">
        <v>0</v>
      </c>
      <c r="Q194" s="260">
        <v>0</v>
      </c>
      <c r="R194" s="260">
        <v>0</v>
      </c>
      <c r="S194" s="114"/>
      <c r="T194" s="260"/>
      <c r="U194" s="114"/>
      <c r="V194" s="260"/>
      <c r="W194" s="114"/>
      <c r="X194" s="260"/>
      <c r="Y194" s="114"/>
      <c r="Z194" s="260"/>
      <c r="AA194" s="114"/>
      <c r="AB194" s="260"/>
      <c r="AC194" s="114"/>
      <c r="AD194" s="260"/>
      <c r="AE194" s="114"/>
      <c r="AF194" s="260"/>
      <c r="AG194" s="114"/>
      <c r="AH194" s="260"/>
      <c r="AI194" s="114"/>
      <c r="AJ194" s="260"/>
      <c r="AL194" s="260"/>
    </row>
    <row r="195" spans="1:38">
      <c r="A195" s="397">
        <v>183</v>
      </c>
      <c r="B195" s="114"/>
      <c r="C195" s="417"/>
      <c r="D195" s="404" t="s">
        <v>235</v>
      </c>
      <c r="E195" s="114"/>
      <c r="H195" s="405">
        <f>SUM(H193:H194)</f>
        <v>3416373320</v>
      </c>
      <c r="I195" s="114"/>
      <c r="J195" s="405">
        <v>0</v>
      </c>
      <c r="K195" s="114"/>
      <c r="L195" s="405">
        <f>SUM(L193:L194)</f>
        <v>191441431</v>
      </c>
      <c r="M195" s="114"/>
      <c r="N195" s="405">
        <f>SUM(N193:N194)</f>
        <v>0</v>
      </c>
      <c r="O195" s="114"/>
      <c r="P195" s="405">
        <f>SUM(P193:P194)</f>
        <v>4072306</v>
      </c>
      <c r="Q195" s="405">
        <f>SUM(Q193:Q194)</f>
        <v>134609</v>
      </c>
      <c r="R195" s="405">
        <f>SUM(R193:R194)</f>
        <v>496208218</v>
      </c>
      <c r="S195" s="114"/>
      <c r="T195" s="405">
        <v>0</v>
      </c>
      <c r="U195" s="114"/>
      <c r="V195" s="405">
        <v>0</v>
      </c>
      <c r="W195" s="114"/>
      <c r="X195" s="405">
        <v>0</v>
      </c>
      <c r="Y195" s="114"/>
      <c r="Z195" s="405">
        <v>0</v>
      </c>
      <c r="AA195" s="114"/>
      <c r="AB195" s="405">
        <v>0</v>
      </c>
      <c r="AC195" s="114"/>
      <c r="AD195" s="405">
        <v>0</v>
      </c>
      <c r="AE195" s="114"/>
      <c r="AF195" s="405">
        <v>0</v>
      </c>
      <c r="AG195" s="114"/>
      <c r="AH195" s="405">
        <v>0</v>
      </c>
      <c r="AI195" s="114"/>
      <c r="AJ195" s="405">
        <v>0</v>
      </c>
      <c r="AL195" s="405">
        <f>SUM(AL193:AL194)</f>
        <v>22249811</v>
      </c>
    </row>
    <row r="196" spans="1:38">
      <c r="A196" s="397">
        <v>184</v>
      </c>
      <c r="B196" s="114"/>
      <c r="C196" s="417"/>
      <c r="D196" s="114"/>
      <c r="E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L196" s="114"/>
    </row>
    <row r="197" spans="1:38" ht="15">
      <c r="A197" s="397">
        <v>185</v>
      </c>
      <c r="B197" s="114"/>
      <c r="C197" s="982" t="s">
        <v>3194</v>
      </c>
      <c r="D197" s="114"/>
      <c r="E197" s="114"/>
      <c r="H197" s="260"/>
      <c r="I197" s="114"/>
      <c r="J197" s="260">
        <v>181208392</v>
      </c>
      <c r="K197" s="114"/>
      <c r="L197" s="260"/>
      <c r="M197" s="114"/>
      <c r="N197" s="260"/>
      <c r="O197" s="114"/>
      <c r="P197" s="260">
        <v>0</v>
      </c>
      <c r="Q197" s="260">
        <v>0</v>
      </c>
      <c r="R197" s="260">
        <v>0</v>
      </c>
      <c r="S197" s="114"/>
      <c r="T197" s="260"/>
      <c r="U197" s="114"/>
      <c r="V197" s="260"/>
      <c r="W197" s="114"/>
      <c r="X197" s="260"/>
      <c r="Y197" s="114"/>
      <c r="Z197" s="260"/>
      <c r="AA197" s="114"/>
      <c r="AB197" s="260"/>
      <c r="AC197" s="114"/>
      <c r="AD197" s="260"/>
      <c r="AE197" s="114"/>
      <c r="AF197" s="260"/>
      <c r="AG197" s="114"/>
      <c r="AH197" s="260"/>
      <c r="AI197" s="114"/>
      <c r="AJ197" s="260"/>
      <c r="AL197" s="260"/>
    </row>
    <row r="198" spans="1:38">
      <c r="A198" s="397">
        <v>186</v>
      </c>
      <c r="B198" s="114"/>
      <c r="C198" s="409" t="s">
        <v>14</v>
      </c>
      <c r="D198" s="114"/>
      <c r="E198" s="114"/>
      <c r="H198" s="260">
        <v>36085588</v>
      </c>
      <c r="I198" s="114"/>
      <c r="J198" s="260">
        <v>18973539</v>
      </c>
      <c r="K198" s="114"/>
      <c r="L198" s="260"/>
      <c r="M198" s="114"/>
      <c r="N198" s="785">
        <f>172575236+3670823</f>
        <v>176246059</v>
      </c>
      <c r="O198" s="114"/>
      <c r="P198" s="260">
        <v>962059</v>
      </c>
      <c r="Q198" s="260">
        <v>15732</v>
      </c>
      <c r="R198" s="260">
        <v>1517547</v>
      </c>
      <c r="S198" s="114"/>
      <c r="T198" s="260">
        <v>10135211</v>
      </c>
      <c r="U198" s="114"/>
      <c r="V198" s="260">
        <v>4607332</v>
      </c>
      <c r="W198" s="114"/>
      <c r="X198" s="260">
        <v>2627226</v>
      </c>
      <c r="Y198" s="114"/>
      <c r="Z198" s="260">
        <v>10660789</v>
      </c>
      <c r="AA198" s="114"/>
      <c r="AB198" s="260">
        <v>1446702</v>
      </c>
      <c r="AC198" s="114"/>
      <c r="AD198" s="260">
        <v>4165448</v>
      </c>
      <c r="AE198" s="114"/>
      <c r="AF198" s="260">
        <v>232960</v>
      </c>
      <c r="AG198" s="114"/>
      <c r="AH198" s="260"/>
      <c r="AI198" s="114"/>
      <c r="AJ198" s="260"/>
      <c r="AL198" s="260"/>
    </row>
    <row r="199" spans="1:38">
      <c r="A199" s="397">
        <v>187</v>
      </c>
      <c r="B199" s="114"/>
      <c r="C199" s="409" t="s">
        <v>15</v>
      </c>
      <c r="D199" s="114"/>
      <c r="E199" s="114"/>
      <c r="H199" s="785">
        <f>50906953-3419553</f>
        <v>47487400</v>
      </c>
      <c r="I199" s="114"/>
      <c r="J199" s="260">
        <v>16600882</v>
      </c>
      <c r="K199" s="114"/>
      <c r="L199" s="260">
        <v>0</v>
      </c>
      <c r="M199" s="114"/>
      <c r="N199" s="260">
        <v>58506328</v>
      </c>
      <c r="O199" s="114"/>
      <c r="P199" s="260">
        <v>605377</v>
      </c>
      <c r="Q199" s="260">
        <v>14059</v>
      </c>
      <c r="R199" s="260">
        <v>24715011</v>
      </c>
      <c r="S199" s="114"/>
      <c r="T199" s="260">
        <v>1790387</v>
      </c>
      <c r="U199" s="114"/>
      <c r="V199" s="260">
        <v>1495283</v>
      </c>
      <c r="W199" s="114"/>
      <c r="X199" s="260">
        <v>3264998</v>
      </c>
      <c r="Y199" s="114"/>
      <c r="Z199" s="260">
        <v>947015</v>
      </c>
      <c r="AA199" s="114"/>
      <c r="AB199" s="260">
        <v>8700960</v>
      </c>
      <c r="AC199" s="114"/>
      <c r="AD199" s="260">
        <v>958961</v>
      </c>
      <c r="AE199" s="114"/>
      <c r="AF199" s="260">
        <v>34206</v>
      </c>
      <c r="AG199" s="114"/>
      <c r="AH199" s="260"/>
      <c r="AI199" s="114"/>
      <c r="AJ199" s="260"/>
      <c r="AL199" s="260">
        <v>911681</v>
      </c>
    </row>
    <row r="200" spans="1:38">
      <c r="A200" s="397">
        <v>188</v>
      </c>
      <c r="B200" s="114"/>
      <c r="C200" s="409" t="s">
        <v>16</v>
      </c>
      <c r="D200" s="114"/>
      <c r="E200" s="114"/>
      <c r="H200" s="260">
        <v>518851</v>
      </c>
      <c r="I200" s="114"/>
      <c r="J200" s="260">
        <v>63800</v>
      </c>
      <c r="K200" s="114"/>
      <c r="L200" s="260"/>
      <c r="M200" s="114"/>
      <c r="N200" s="260">
        <v>5477919</v>
      </c>
      <c r="O200" s="114"/>
      <c r="P200" s="260">
        <v>1952</v>
      </c>
      <c r="Q200" s="260">
        <v>32</v>
      </c>
      <c r="R200" s="260">
        <v>1689572</v>
      </c>
      <c r="S200" s="114"/>
      <c r="T200" s="260">
        <v>153976</v>
      </c>
      <c r="U200" s="114"/>
      <c r="V200" s="260">
        <v>5141166</v>
      </c>
      <c r="W200" s="114"/>
      <c r="X200" s="260">
        <v>3426</v>
      </c>
      <c r="Y200" s="114"/>
      <c r="Z200" s="260">
        <v>52111</v>
      </c>
      <c r="AA200" s="114"/>
      <c r="AB200" s="260">
        <v>4904</v>
      </c>
      <c r="AC200" s="114"/>
      <c r="AD200" s="260">
        <v>242407</v>
      </c>
      <c r="AE200" s="114"/>
      <c r="AF200" s="260">
        <v>5429</v>
      </c>
      <c r="AG200" s="114"/>
      <c r="AH200" s="260"/>
      <c r="AI200" s="114"/>
      <c r="AJ200" s="260"/>
      <c r="AL200" s="260"/>
    </row>
    <row r="201" spans="1:38">
      <c r="A201" s="397">
        <v>189</v>
      </c>
      <c r="B201" s="114"/>
      <c r="C201" s="409"/>
      <c r="D201" s="114"/>
      <c r="E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L201" s="114"/>
    </row>
    <row r="202" spans="1:38">
      <c r="A202" s="397">
        <v>190</v>
      </c>
      <c r="B202" s="114"/>
      <c r="C202" s="417" t="s">
        <v>17</v>
      </c>
      <c r="D202" s="114"/>
      <c r="E202" s="114"/>
      <c r="H202" s="260">
        <v>4646910</v>
      </c>
      <c r="I202" s="114"/>
      <c r="J202" s="260">
        <v>221854</v>
      </c>
      <c r="K202" s="114"/>
      <c r="L202" s="260"/>
      <c r="M202" s="114"/>
      <c r="N202" s="260">
        <v>12115297</v>
      </c>
      <c r="O202" s="114"/>
      <c r="P202" s="260">
        <v>14431</v>
      </c>
      <c r="Q202" s="260">
        <v>596</v>
      </c>
      <c r="R202" s="260">
        <v>0</v>
      </c>
      <c r="S202" s="114"/>
      <c r="T202" s="260">
        <v>399362</v>
      </c>
      <c r="U202" s="114"/>
      <c r="V202" s="260">
        <v>546147</v>
      </c>
      <c r="W202" s="114"/>
      <c r="X202" s="260">
        <v>0</v>
      </c>
      <c r="Y202" s="114"/>
      <c r="Z202" s="260"/>
      <c r="AA202" s="114"/>
      <c r="AB202" s="260"/>
      <c r="AC202" s="114"/>
      <c r="AD202" s="260"/>
      <c r="AE202" s="114"/>
      <c r="AF202" s="260"/>
      <c r="AG202" s="114"/>
      <c r="AH202" s="260"/>
      <c r="AI202" s="114"/>
      <c r="AJ202" s="260"/>
      <c r="AL202" s="260"/>
    </row>
    <row r="203" spans="1:38">
      <c r="A203" s="397">
        <v>191</v>
      </c>
      <c r="B203" s="114"/>
      <c r="C203" s="417" t="s">
        <v>18</v>
      </c>
      <c r="D203" s="114"/>
      <c r="E203" s="114"/>
      <c r="H203" s="260">
        <v>5423938</v>
      </c>
      <c r="I203" s="114"/>
      <c r="J203" s="260">
        <v>839917</v>
      </c>
      <c r="K203" s="114"/>
      <c r="L203" s="260"/>
      <c r="M203" s="114"/>
      <c r="N203" s="260">
        <v>28880361</v>
      </c>
      <c r="O203" s="114"/>
      <c r="P203" s="260">
        <v>0</v>
      </c>
      <c r="Q203" s="260">
        <v>0</v>
      </c>
      <c r="R203" s="260">
        <v>0</v>
      </c>
      <c r="S203" s="114"/>
      <c r="T203" s="260"/>
      <c r="U203" s="114"/>
      <c r="V203" s="260"/>
      <c r="W203" s="114"/>
      <c r="X203" s="260">
        <v>6643267</v>
      </c>
      <c r="Y203" s="114"/>
      <c r="Z203" s="260"/>
      <c r="AA203" s="114"/>
      <c r="AB203" s="260">
        <v>4742</v>
      </c>
      <c r="AC203" s="114"/>
      <c r="AD203" s="260"/>
      <c r="AE203" s="114"/>
      <c r="AF203" s="260"/>
      <c r="AG203" s="114"/>
      <c r="AH203" s="260"/>
      <c r="AI203" s="114"/>
      <c r="AJ203" s="260"/>
      <c r="AL203" s="260"/>
    </row>
    <row r="204" spans="1:38">
      <c r="A204" s="397">
        <v>192</v>
      </c>
      <c r="B204" s="114"/>
      <c r="C204" s="417"/>
      <c r="D204" s="404" t="s">
        <v>236</v>
      </c>
      <c r="E204" s="114"/>
      <c r="H204" s="405">
        <f>SUM(H202:H203)</f>
        <v>10070848</v>
      </c>
      <c r="I204" s="114"/>
      <c r="J204" s="405">
        <f>SUM(J202:J203)</f>
        <v>1061771</v>
      </c>
      <c r="K204" s="114"/>
      <c r="L204" s="405">
        <f>SUM(L202:L203)</f>
        <v>0</v>
      </c>
      <c r="M204" s="114"/>
      <c r="N204" s="405">
        <f>SUM(N202:N203)</f>
        <v>40995658</v>
      </c>
      <c r="O204" s="114"/>
      <c r="P204" s="405">
        <f>SUM(P202:P203)</f>
        <v>14431</v>
      </c>
      <c r="Q204" s="405">
        <f>SUM(Q202:Q203)</f>
        <v>596</v>
      </c>
      <c r="R204" s="405">
        <f>SUM(R202:R203)</f>
        <v>0</v>
      </c>
      <c r="S204" s="114"/>
      <c r="T204" s="405">
        <f>SUM(T202:T203)</f>
        <v>399362</v>
      </c>
      <c r="U204" s="114"/>
      <c r="V204" s="405">
        <f>SUM(V202:V203)</f>
        <v>546147</v>
      </c>
      <c r="W204" s="114"/>
      <c r="X204" s="405">
        <f>SUM(X202:X203)</f>
        <v>6643267</v>
      </c>
      <c r="Y204" s="114"/>
      <c r="Z204" s="405">
        <v>0</v>
      </c>
      <c r="AA204" s="114"/>
      <c r="AB204" s="405">
        <f>SUM(AB202:AB203)</f>
        <v>4742</v>
      </c>
      <c r="AC204" s="114"/>
      <c r="AD204" s="405">
        <v>0</v>
      </c>
      <c r="AE204" s="114"/>
      <c r="AF204" s="405">
        <f>SUM(AF202:AF203)</f>
        <v>0</v>
      </c>
      <c r="AG204" s="114"/>
      <c r="AH204" s="405">
        <v>0</v>
      </c>
      <c r="AI204" s="114"/>
      <c r="AJ204" s="405">
        <v>0</v>
      </c>
      <c r="AL204" s="405">
        <v>0</v>
      </c>
    </row>
    <row r="205" spans="1:38">
      <c r="A205" s="397">
        <v>193</v>
      </c>
      <c r="B205" s="114"/>
      <c r="C205" s="417"/>
      <c r="D205" s="404"/>
      <c r="E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L205" s="114"/>
    </row>
    <row r="206" spans="1:38">
      <c r="A206" s="397">
        <v>194</v>
      </c>
      <c r="B206" s="114"/>
      <c r="C206" s="409" t="s">
        <v>19</v>
      </c>
      <c r="D206" s="114"/>
      <c r="E206" s="114"/>
      <c r="H206" s="785">
        <f>-1570206+3419553</f>
        <v>1849347</v>
      </c>
      <c r="I206" s="114"/>
      <c r="J206" s="260">
        <v>0</v>
      </c>
      <c r="K206" s="114"/>
      <c r="L206" s="260"/>
      <c r="M206" s="114"/>
      <c r="N206" s="260">
        <v>20947829</v>
      </c>
      <c r="O206" s="114"/>
      <c r="P206" s="260">
        <v>83764</v>
      </c>
      <c r="Q206" s="260">
        <v>1369</v>
      </c>
      <c r="R206" s="260">
        <v>0</v>
      </c>
      <c r="S206" s="114"/>
      <c r="T206" s="260">
        <v>2444777</v>
      </c>
      <c r="U206" s="114"/>
      <c r="V206" s="260">
        <v>1701351</v>
      </c>
      <c r="W206" s="114"/>
      <c r="X206" s="260">
        <v>968317</v>
      </c>
      <c r="Y206" s="114"/>
      <c r="Z206" s="260">
        <v>832550</v>
      </c>
      <c r="AA206" s="114"/>
      <c r="AB206" s="260">
        <v>92978</v>
      </c>
      <c r="AC206" s="114"/>
      <c r="AD206" s="260">
        <v>33066</v>
      </c>
      <c r="AE206" s="114"/>
      <c r="AF206" s="260"/>
      <c r="AG206" s="114"/>
      <c r="AH206" s="260"/>
      <c r="AI206" s="114"/>
      <c r="AJ206" s="260"/>
      <c r="AL206" s="260"/>
    </row>
    <row r="207" spans="1:38">
      <c r="A207" s="397">
        <v>195</v>
      </c>
      <c r="B207" s="114"/>
      <c r="C207" s="409" t="s">
        <v>10</v>
      </c>
      <c r="D207" s="114"/>
      <c r="E207" s="114"/>
      <c r="H207" s="260"/>
      <c r="I207" s="114"/>
      <c r="J207" s="260">
        <v>0</v>
      </c>
      <c r="K207" s="114"/>
      <c r="L207" s="260"/>
      <c r="M207" s="114"/>
      <c r="N207" s="260">
        <v>0</v>
      </c>
      <c r="O207" s="114"/>
      <c r="P207" s="260">
        <v>0</v>
      </c>
      <c r="Q207" s="260">
        <v>0</v>
      </c>
      <c r="R207" s="260">
        <v>0</v>
      </c>
      <c r="S207" s="114"/>
      <c r="T207" s="260"/>
      <c r="U207" s="114"/>
      <c r="V207" s="260"/>
      <c r="W207" s="114"/>
      <c r="X207" s="260">
        <v>217907</v>
      </c>
      <c r="Y207" s="114"/>
      <c r="Z207" s="260"/>
      <c r="AA207" s="114"/>
      <c r="AB207" s="260"/>
      <c r="AC207" s="114"/>
      <c r="AD207" s="260"/>
      <c r="AE207" s="114"/>
      <c r="AF207" s="260"/>
      <c r="AG207" s="114"/>
      <c r="AH207" s="260"/>
      <c r="AI207" s="114"/>
      <c r="AJ207" s="260"/>
      <c r="AL207" s="260"/>
    </row>
    <row r="208" spans="1:38">
      <c r="A208" s="397">
        <v>196</v>
      </c>
      <c r="B208" s="114"/>
      <c r="C208" s="409" t="s">
        <v>557</v>
      </c>
      <c r="D208" s="114"/>
      <c r="E208" s="114"/>
      <c r="H208" s="260"/>
      <c r="I208" s="114"/>
      <c r="J208" s="260">
        <v>0</v>
      </c>
      <c r="K208" s="114"/>
      <c r="L208" s="260"/>
      <c r="M208" s="114"/>
      <c r="N208" s="260">
        <v>0</v>
      </c>
      <c r="O208" s="114"/>
      <c r="P208" s="260">
        <v>0</v>
      </c>
      <c r="Q208" s="260">
        <v>0</v>
      </c>
      <c r="R208" s="260">
        <v>0</v>
      </c>
      <c r="S208" s="114"/>
      <c r="T208" s="260"/>
      <c r="U208" s="114"/>
      <c r="V208" s="260"/>
      <c r="W208" s="114"/>
      <c r="X208" s="260"/>
      <c r="Y208" s="114"/>
      <c r="Z208" s="260"/>
      <c r="AA208" s="114"/>
      <c r="AB208" s="260">
        <v>40396882</v>
      </c>
      <c r="AC208" s="114"/>
      <c r="AD208" s="260"/>
      <c r="AE208" s="114"/>
      <c r="AF208" s="260"/>
      <c r="AG208" s="114"/>
      <c r="AH208" s="260"/>
      <c r="AI208" s="114"/>
      <c r="AJ208" s="260"/>
      <c r="AL208" s="260"/>
    </row>
    <row r="209" spans="1:38">
      <c r="A209" s="397">
        <v>197</v>
      </c>
      <c r="B209" s="114"/>
      <c r="C209" s="114"/>
      <c r="D209" s="114"/>
      <c r="E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2"/>
      <c r="AG209" s="114"/>
      <c r="AH209" s="12"/>
      <c r="AI209" s="114"/>
      <c r="AJ209" s="114"/>
      <c r="AL209" s="114"/>
    </row>
    <row r="210" spans="1:38">
      <c r="A210" s="397">
        <v>198</v>
      </c>
      <c r="B210" s="114"/>
      <c r="C210" s="417" t="s">
        <v>201</v>
      </c>
      <c r="D210" s="114"/>
      <c r="E210" s="114"/>
      <c r="H210" s="260"/>
      <c r="I210" s="114"/>
      <c r="J210" s="260">
        <v>0</v>
      </c>
      <c r="K210" s="114"/>
      <c r="L210" s="260"/>
      <c r="M210" s="114"/>
      <c r="N210" s="260">
        <v>0</v>
      </c>
      <c r="O210" s="114"/>
      <c r="P210" s="260">
        <v>0</v>
      </c>
      <c r="Q210" s="260">
        <v>0</v>
      </c>
      <c r="R210" s="260">
        <v>0</v>
      </c>
      <c r="S210" s="114"/>
      <c r="T210" s="260">
        <v>52728</v>
      </c>
      <c r="U210" s="114"/>
      <c r="V210" s="260">
        <v>0</v>
      </c>
      <c r="W210" s="114"/>
      <c r="X210" s="260"/>
      <c r="Y210" s="114"/>
      <c r="Z210" s="260">
        <v>0</v>
      </c>
      <c r="AA210" s="114"/>
      <c r="AB210" s="260"/>
      <c r="AC210" s="114"/>
      <c r="AD210" s="260"/>
      <c r="AE210" s="114"/>
      <c r="AF210" s="260"/>
      <c r="AG210" s="114"/>
      <c r="AH210" s="260"/>
      <c r="AI210" s="114"/>
      <c r="AJ210" s="260"/>
      <c r="AL210" s="260"/>
    </row>
    <row r="211" spans="1:38">
      <c r="A211" s="397">
        <v>199</v>
      </c>
      <c r="B211" s="114"/>
      <c r="C211" s="417" t="s">
        <v>20</v>
      </c>
      <c r="D211" s="114"/>
      <c r="E211" s="114"/>
      <c r="H211" s="260"/>
      <c r="I211" s="114"/>
      <c r="J211" s="260">
        <v>416419</v>
      </c>
      <c r="K211" s="114"/>
      <c r="L211" s="260"/>
      <c r="M211" s="114"/>
      <c r="N211" s="260">
        <v>6620372</v>
      </c>
      <c r="O211" s="114"/>
      <c r="P211" s="260">
        <v>2269</v>
      </c>
      <c r="Q211" s="260">
        <v>37</v>
      </c>
      <c r="R211" s="260">
        <v>0</v>
      </c>
      <c r="S211" s="114"/>
      <c r="T211" s="260">
        <v>73573</v>
      </c>
      <c r="U211" s="114"/>
      <c r="V211" s="260"/>
      <c r="W211" s="114"/>
      <c r="X211" s="260">
        <v>2148</v>
      </c>
      <c r="Y211" s="114"/>
      <c r="Z211" s="260">
        <v>8715</v>
      </c>
      <c r="AA211" s="114"/>
      <c r="AB211" s="260">
        <v>9781</v>
      </c>
      <c r="AC211" s="114"/>
      <c r="AD211" s="260"/>
      <c r="AE211" s="114"/>
      <c r="AF211" s="260"/>
      <c r="AG211" s="114"/>
      <c r="AH211" s="260"/>
      <c r="AI211" s="114"/>
      <c r="AJ211" s="260"/>
      <c r="AL211" s="260"/>
    </row>
    <row r="212" spans="1:38">
      <c r="A212" s="397">
        <v>200</v>
      </c>
      <c r="B212" s="114"/>
      <c r="C212" s="417" t="s">
        <v>6</v>
      </c>
      <c r="D212" s="114"/>
      <c r="E212" s="114"/>
      <c r="H212" s="260"/>
      <c r="I212" s="114"/>
      <c r="J212" s="260">
        <v>2282375</v>
      </c>
      <c r="K212" s="114"/>
      <c r="L212" s="260"/>
      <c r="M212" s="114"/>
      <c r="N212" s="260">
        <v>1268912</v>
      </c>
      <c r="O212" s="114"/>
      <c r="P212" s="260">
        <v>0</v>
      </c>
      <c r="Q212" s="260">
        <v>0</v>
      </c>
      <c r="R212" s="260">
        <v>0</v>
      </c>
      <c r="S212" s="114"/>
      <c r="T212" s="260"/>
      <c r="U212" s="114"/>
      <c r="V212" s="260">
        <v>629807</v>
      </c>
      <c r="W212" s="114"/>
      <c r="X212" s="260">
        <v>2163400</v>
      </c>
      <c r="Y212" s="114"/>
      <c r="Z212" s="260"/>
      <c r="AA212" s="114"/>
      <c r="AB212" s="260"/>
      <c r="AC212" s="114"/>
      <c r="AD212" s="260"/>
      <c r="AE212" s="114"/>
      <c r="AF212" s="260">
        <v>498</v>
      </c>
      <c r="AG212" s="114"/>
      <c r="AH212" s="260"/>
      <c r="AI212" s="114"/>
      <c r="AJ212" s="260"/>
      <c r="AL212" s="260"/>
    </row>
    <row r="213" spans="1:38">
      <c r="A213" s="397">
        <v>201</v>
      </c>
      <c r="B213" s="114"/>
      <c r="C213" s="417"/>
      <c r="D213" s="404" t="s">
        <v>237</v>
      </c>
      <c r="E213" s="114"/>
      <c r="H213" s="405">
        <v>0</v>
      </c>
      <c r="I213" s="114"/>
      <c r="J213" s="405">
        <f>SUM(J210:J212)</f>
        <v>2698794</v>
      </c>
      <c r="K213" s="114"/>
      <c r="L213" s="405">
        <f>SUM(L210:L212)</f>
        <v>0</v>
      </c>
      <c r="M213" s="114"/>
      <c r="N213" s="405">
        <f>SUM(N210:N212)</f>
        <v>7889284</v>
      </c>
      <c r="O213" s="114"/>
      <c r="P213" s="405">
        <f>SUM(P210:P212)</f>
        <v>2269</v>
      </c>
      <c r="Q213" s="405">
        <f>SUM(Q210:Q212)</f>
        <v>37</v>
      </c>
      <c r="R213" s="405">
        <f>SUM(R210:R212)</f>
        <v>0</v>
      </c>
      <c r="S213" s="114"/>
      <c r="T213" s="405">
        <f>SUM(T210:T212)</f>
        <v>126301</v>
      </c>
      <c r="U213" s="114"/>
      <c r="V213" s="405">
        <f>SUM(V210:V212)</f>
        <v>629807</v>
      </c>
      <c r="W213" s="114"/>
      <c r="X213" s="405">
        <f>SUM(X210:X212)</f>
        <v>2165548</v>
      </c>
      <c r="Y213" s="114"/>
      <c r="Z213" s="405">
        <f>SUM(Z210:Z212)</f>
        <v>8715</v>
      </c>
      <c r="AA213" s="114"/>
      <c r="AB213" s="405">
        <f>SUM(AB210:AB212)</f>
        <v>9781</v>
      </c>
      <c r="AC213" s="114"/>
      <c r="AD213" s="405">
        <f>SUM(AD210:AD212)</f>
        <v>0</v>
      </c>
      <c r="AE213" s="114"/>
      <c r="AF213" s="405">
        <f>SUM(AF210:AF212)</f>
        <v>498</v>
      </c>
      <c r="AG213" s="114"/>
      <c r="AH213" s="405">
        <f>SUM(AH210:AH212)</f>
        <v>0</v>
      </c>
      <c r="AI213" s="114"/>
      <c r="AJ213" s="405">
        <v>0</v>
      </c>
      <c r="AL213" s="405">
        <v>0</v>
      </c>
    </row>
    <row r="214" spans="1:38">
      <c r="A214" s="397">
        <v>202</v>
      </c>
      <c r="B214" s="114"/>
      <c r="C214" s="417"/>
      <c r="D214" s="114"/>
      <c r="E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L214" s="114"/>
    </row>
    <row r="215" spans="1:38">
      <c r="A215" s="397">
        <v>203</v>
      </c>
      <c r="B215" s="114"/>
      <c r="C215" s="114"/>
      <c r="D215" s="409" t="s">
        <v>21</v>
      </c>
      <c r="E215" s="114"/>
      <c r="H215" s="405">
        <f>SUM(H191,H195,H197:H200,H204,H206:H208,H213)</f>
        <v>3745417071</v>
      </c>
      <c r="I215" s="114"/>
      <c r="J215" s="405">
        <f>SUM(J191,J195,J197:J200,J204,J206:J208,J213)</f>
        <v>220607178</v>
      </c>
      <c r="K215" s="114"/>
      <c r="L215" s="405">
        <f>SUM(L191,L195,L197:L200,L204,L206:L208,L213)</f>
        <v>191441431</v>
      </c>
      <c r="M215" s="114"/>
      <c r="N215" s="405">
        <f>SUM(N191,N195,N197:N200,N204,N206:N208,N213)</f>
        <v>1003333124</v>
      </c>
      <c r="O215" s="114"/>
      <c r="P215" s="405">
        <f>SUM(P191,P195,P197:P200,P204,P206:P208,P213)</f>
        <v>5742158</v>
      </c>
      <c r="Q215" s="405">
        <f>SUM(Q191,Q195,Q197:Q200,Q204,Q206:Q208,Q213)</f>
        <v>166434</v>
      </c>
      <c r="R215" s="405">
        <f>SUM(R191,R195,R197:R200,R204,R206:R208,R213)</f>
        <v>524130348</v>
      </c>
      <c r="S215" s="114"/>
      <c r="T215" s="405">
        <f>SUM(T191,T195,T197:T200,T204,T206:T208,T213)</f>
        <v>45284011</v>
      </c>
      <c r="U215" s="114"/>
      <c r="V215" s="405">
        <f>SUM(V191,V195,V197:V200,V204,V206:V208,V213)</f>
        <v>14121086</v>
      </c>
      <c r="W215" s="114"/>
      <c r="X215" s="405">
        <f>SUM(X191,X195,X197:X200,X204,X206:X208,X213)</f>
        <v>15890689</v>
      </c>
      <c r="Y215" s="114"/>
      <c r="Z215" s="405">
        <f>SUM(Z191,Z195,Z197:Z200,Z204,Z206:Z208,Z213)</f>
        <v>12501180</v>
      </c>
      <c r="AA215" s="114"/>
      <c r="AB215" s="405">
        <f>SUM(AB191,AB195,AB197:AB200,AB204,AB206:AB208,AB213)</f>
        <v>50656949</v>
      </c>
      <c r="AC215" s="114"/>
      <c r="AD215" s="405">
        <f>SUM(AD191,AD195,AD197:AD200,AD204,AD206:AD208,AD213)</f>
        <v>7741818</v>
      </c>
      <c r="AE215" s="114"/>
      <c r="AF215" s="405">
        <f>SUM(AF191,AF195,AF197:AF200,AF204,AF206:AF208,AF213)</f>
        <v>515893</v>
      </c>
      <c r="AG215" s="114"/>
      <c r="AH215" s="405">
        <f>SUM(AH191,AH195,AH197:AH200,AH204,AH206:AH208,AH213)</f>
        <v>0</v>
      </c>
      <c r="AI215" s="114"/>
      <c r="AJ215" s="405">
        <f>SUM(AJ191,AJ195,AJ197:AJ200,AJ204,AJ206:AJ208,AJ213)</f>
        <v>271507</v>
      </c>
      <c r="AL215" s="405">
        <f>SUM(AL191,AL195,AL197:AL200,AL204,AL206:AL208,AL213)</f>
        <v>23161492</v>
      </c>
    </row>
    <row r="216" spans="1:38">
      <c r="A216" s="397">
        <v>204</v>
      </c>
      <c r="B216" s="114"/>
      <c r="C216" s="114"/>
      <c r="D216" s="409"/>
      <c r="E216" s="114"/>
      <c r="H216" s="114"/>
      <c r="I216" s="114"/>
      <c r="J216" s="114"/>
      <c r="K216" s="114"/>
      <c r="L216" s="114"/>
      <c r="M216" s="114"/>
      <c r="N216" s="400"/>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L216" s="114"/>
    </row>
    <row r="217" spans="1:38">
      <c r="A217" s="397">
        <v>205</v>
      </c>
      <c r="B217" s="114"/>
      <c r="C217" s="114"/>
      <c r="D217" s="114"/>
      <c r="E217" s="409" t="s">
        <v>22</v>
      </c>
      <c r="H217" s="405">
        <f>H188-H215</f>
        <v>866438749</v>
      </c>
      <c r="I217" s="114"/>
      <c r="J217" s="405">
        <f>J188-J215</f>
        <v>201080267</v>
      </c>
      <c r="K217" s="114"/>
      <c r="L217" s="405">
        <f>L188-L215</f>
        <v>86509868</v>
      </c>
      <c r="M217" s="114"/>
      <c r="N217" s="405">
        <f>N188-N215</f>
        <v>227089858</v>
      </c>
      <c r="O217" s="114"/>
      <c r="P217" s="405">
        <f>P188-P215</f>
        <v>8996711</v>
      </c>
      <c r="Q217" s="405">
        <f>Q188-Q215</f>
        <v>269906</v>
      </c>
      <c r="R217" s="405">
        <f>R188-R215</f>
        <v>-201793</v>
      </c>
      <c r="S217" s="114"/>
      <c r="T217" s="405">
        <f>T188-T215</f>
        <v>-3205086</v>
      </c>
      <c r="U217" s="114"/>
      <c r="V217" s="405">
        <f>V188-V215</f>
        <v>1769876</v>
      </c>
      <c r="W217" s="114"/>
      <c r="X217" s="405">
        <f>X188-X215</f>
        <v>15214019</v>
      </c>
      <c r="Y217" s="114"/>
      <c r="Z217" s="405">
        <f>Z188-Z215</f>
        <v>-651334</v>
      </c>
      <c r="AA217" s="114"/>
      <c r="AB217" s="405">
        <f>AB188-AB215</f>
        <v>23641296</v>
      </c>
      <c r="AC217" s="114"/>
      <c r="AD217" s="405">
        <f>AD188-AD215</f>
        <v>-175559</v>
      </c>
      <c r="AE217" s="114"/>
      <c r="AF217" s="405">
        <f>AF188-AF215</f>
        <v>51083</v>
      </c>
      <c r="AG217" s="114"/>
      <c r="AH217" s="405">
        <f>AH188-AH215</f>
        <v>0</v>
      </c>
      <c r="AI217" s="114"/>
      <c r="AJ217" s="405">
        <f>AJ188-AJ215</f>
        <v>42908</v>
      </c>
      <c r="AL217" s="405">
        <f>AL188-AL215</f>
        <v>-1550197</v>
      </c>
    </row>
    <row r="218" spans="1:38">
      <c r="A218" s="397">
        <v>206</v>
      </c>
      <c r="B218" s="114"/>
      <c r="C218" s="114"/>
      <c r="D218" s="114"/>
      <c r="E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L218" s="114"/>
    </row>
    <row r="219" spans="1:38">
      <c r="A219" s="397">
        <v>207</v>
      </c>
      <c r="B219" s="398" t="s">
        <v>23</v>
      </c>
      <c r="C219" s="114"/>
      <c r="D219" s="114"/>
      <c r="E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L219" s="114"/>
    </row>
    <row r="220" spans="1:38">
      <c r="A220" s="397">
        <v>208</v>
      </c>
      <c r="B220" s="114"/>
      <c r="C220" s="417" t="s">
        <v>28</v>
      </c>
      <c r="D220" s="114"/>
      <c r="E220" s="114"/>
      <c r="H220" s="260">
        <v>4019642</v>
      </c>
      <c r="I220" s="114"/>
      <c r="J220" s="260">
        <v>0</v>
      </c>
      <c r="K220" s="114"/>
      <c r="L220" s="260">
        <v>0</v>
      </c>
      <c r="M220" s="114"/>
      <c r="N220" s="260">
        <v>1260550</v>
      </c>
      <c r="O220" s="114"/>
      <c r="P220" s="260">
        <v>820604</v>
      </c>
      <c r="Q220" s="260">
        <v>73788</v>
      </c>
      <c r="R220" s="260">
        <v>2350999</v>
      </c>
      <c r="S220" s="114"/>
      <c r="T220" s="260">
        <v>0</v>
      </c>
      <c r="U220" s="114"/>
      <c r="V220" s="260"/>
      <c r="W220" s="114"/>
      <c r="X220" s="260"/>
      <c r="Y220" s="114"/>
      <c r="Z220" s="260"/>
      <c r="AA220" s="114"/>
      <c r="AB220" s="260">
        <v>1036260</v>
      </c>
      <c r="AC220" s="114"/>
      <c r="AD220" s="260"/>
      <c r="AE220" s="114"/>
      <c r="AF220" s="260"/>
      <c r="AG220" s="114"/>
      <c r="AH220" s="260"/>
      <c r="AI220" s="114"/>
      <c r="AJ220" s="260"/>
      <c r="AL220" s="260">
        <v>72325</v>
      </c>
    </row>
    <row r="221" spans="1:38">
      <c r="A221" s="397">
        <v>209</v>
      </c>
      <c r="B221" s="114"/>
      <c r="C221" s="417" t="s">
        <v>283</v>
      </c>
      <c r="D221" s="114"/>
      <c r="E221" s="114"/>
      <c r="H221" s="260">
        <v>0</v>
      </c>
      <c r="I221" s="114"/>
      <c r="J221" s="260"/>
      <c r="K221" s="114"/>
      <c r="L221" s="260"/>
      <c r="M221" s="114"/>
      <c r="N221" s="260">
        <v>0</v>
      </c>
      <c r="O221" s="114"/>
      <c r="P221" s="260"/>
      <c r="Q221" s="260"/>
      <c r="R221" s="260"/>
      <c r="S221" s="114"/>
      <c r="T221" s="260"/>
      <c r="U221" s="114"/>
      <c r="V221" s="260"/>
      <c r="W221" s="114"/>
      <c r="X221" s="260"/>
      <c r="Y221" s="114"/>
      <c r="Z221" s="260"/>
      <c r="AA221" s="114"/>
      <c r="AB221" s="260"/>
      <c r="AC221" s="114"/>
      <c r="AD221" s="260"/>
      <c r="AE221" s="114"/>
      <c r="AF221" s="260"/>
      <c r="AG221" s="114"/>
      <c r="AH221" s="260"/>
      <c r="AI221" s="114"/>
      <c r="AJ221" s="260"/>
      <c r="AL221" s="260"/>
    </row>
    <row r="222" spans="1:38">
      <c r="A222" s="397">
        <v>210</v>
      </c>
      <c r="B222" s="114"/>
      <c r="C222" s="417" t="s">
        <v>29</v>
      </c>
      <c r="D222" s="114"/>
      <c r="E222" s="114"/>
      <c r="H222" s="260">
        <v>898632</v>
      </c>
      <c r="I222" s="114"/>
      <c r="J222" s="785">
        <v>33506</v>
      </c>
      <c r="K222" s="114"/>
      <c r="L222" s="260"/>
      <c r="M222" s="114"/>
      <c r="N222" s="260">
        <v>412447</v>
      </c>
      <c r="O222" s="114"/>
      <c r="P222" s="260">
        <v>181658</v>
      </c>
      <c r="Q222" s="260">
        <v>16343</v>
      </c>
      <c r="R222" s="260">
        <v>537928</v>
      </c>
      <c r="S222" s="114"/>
      <c r="T222" s="260"/>
      <c r="U222" s="114"/>
      <c r="V222" s="260"/>
      <c r="W222" s="114"/>
      <c r="X222" s="260"/>
      <c r="Y222" s="114"/>
      <c r="Z222" s="260">
        <v>23176</v>
      </c>
      <c r="AA222" s="114"/>
      <c r="AB222" s="785">
        <f>235407-7160</f>
        <v>228247</v>
      </c>
      <c r="AC222" s="114"/>
      <c r="AD222" s="260"/>
      <c r="AE222" s="114"/>
      <c r="AF222" s="260"/>
      <c r="AG222" s="114"/>
      <c r="AH222" s="260"/>
      <c r="AI222" s="114"/>
      <c r="AJ222" s="260"/>
      <c r="AL222" s="785">
        <f>16576-527</f>
        <v>16049</v>
      </c>
    </row>
    <row r="223" spans="1:38">
      <c r="A223" s="397">
        <v>211</v>
      </c>
      <c r="B223" s="114"/>
      <c r="C223" s="409"/>
      <c r="D223" s="407" t="s">
        <v>238</v>
      </c>
      <c r="E223" s="114"/>
      <c r="H223" s="405">
        <f>SUM(H220:H222)</f>
        <v>4918274</v>
      </c>
      <c r="I223" s="114"/>
      <c r="J223" s="405">
        <f>SUM(J220:J222)</f>
        <v>33506</v>
      </c>
      <c r="K223" s="114"/>
      <c r="L223" s="405">
        <f>SUM(L220:L222)</f>
        <v>0</v>
      </c>
      <c r="M223" s="114"/>
      <c r="N223" s="405">
        <f>SUM(N220:N222)</f>
        <v>1672997</v>
      </c>
      <c r="O223" s="114"/>
      <c r="P223" s="405">
        <f>SUM(P220:P222)</f>
        <v>1002262</v>
      </c>
      <c r="Q223" s="405">
        <f>SUM(Q220:Q222)</f>
        <v>90131</v>
      </c>
      <c r="R223" s="405">
        <f>SUM(R220:R222)</f>
        <v>2888927</v>
      </c>
      <c r="S223" s="114"/>
      <c r="T223" s="405">
        <f>SUM(T220:T222)</f>
        <v>0</v>
      </c>
      <c r="U223" s="114"/>
      <c r="V223" s="405">
        <v>0</v>
      </c>
      <c r="W223" s="114"/>
      <c r="X223" s="405">
        <v>0</v>
      </c>
      <c r="Y223" s="114"/>
      <c r="Z223" s="405">
        <f>SUM(Z220:Z222)</f>
        <v>23176</v>
      </c>
      <c r="AA223" s="114"/>
      <c r="AB223" s="405">
        <f>AB220+AB221+AB222</f>
        <v>1264507</v>
      </c>
      <c r="AC223" s="114"/>
      <c r="AD223" s="405">
        <f>SUM(AD220:AD222)</f>
        <v>0</v>
      </c>
      <c r="AE223" s="114"/>
      <c r="AF223" s="405">
        <v>0</v>
      </c>
      <c r="AG223" s="114"/>
      <c r="AH223" s="405">
        <f>SUM(AH220:AH222)</f>
        <v>0</v>
      </c>
      <c r="AI223" s="114"/>
      <c r="AJ223" s="405">
        <v>0</v>
      </c>
      <c r="AL223" s="405">
        <f>AL220+AL221+AL222</f>
        <v>88374</v>
      </c>
    </row>
    <row r="224" spans="1:38">
      <c r="A224" s="397">
        <v>212</v>
      </c>
      <c r="B224" s="114"/>
      <c r="C224" s="417"/>
      <c r="D224" s="114"/>
      <c r="E224" s="114"/>
      <c r="H224" s="114"/>
      <c r="I224" s="114"/>
      <c r="J224" s="417"/>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L224" s="114"/>
    </row>
    <row r="225" spans="1:38">
      <c r="A225" s="397">
        <v>213</v>
      </c>
      <c r="B225" s="114"/>
      <c r="C225" s="417" t="s">
        <v>202</v>
      </c>
      <c r="D225" s="114"/>
      <c r="E225" s="114"/>
      <c r="H225" s="260">
        <v>10662</v>
      </c>
      <c r="I225" s="114"/>
      <c r="J225" s="260">
        <v>0</v>
      </c>
      <c r="K225" s="114"/>
      <c r="L225" s="260"/>
      <c r="M225" s="114"/>
      <c r="N225" s="260">
        <v>0</v>
      </c>
      <c r="O225" s="114"/>
      <c r="P225" s="260">
        <v>0</v>
      </c>
      <c r="Q225" s="260">
        <v>0</v>
      </c>
      <c r="R225" s="260"/>
      <c r="S225" s="114"/>
      <c r="T225" s="260">
        <v>0</v>
      </c>
      <c r="U225" s="114"/>
      <c r="V225" s="260">
        <v>-17076</v>
      </c>
      <c r="W225" s="114"/>
      <c r="X225" s="260"/>
      <c r="Y225" s="114"/>
      <c r="Z225" s="260"/>
      <c r="AA225" s="114"/>
      <c r="AB225" s="260"/>
      <c r="AC225" s="114"/>
      <c r="AD225" s="260"/>
      <c r="AE225" s="114"/>
      <c r="AF225" s="260"/>
      <c r="AG225" s="114"/>
      <c r="AH225" s="260"/>
      <c r="AI225" s="114"/>
      <c r="AJ225" s="260"/>
      <c r="AL225" s="260"/>
    </row>
    <row r="226" spans="1:38">
      <c r="A226" s="397">
        <v>214</v>
      </c>
      <c r="B226" s="114"/>
      <c r="C226" s="417" t="s">
        <v>308</v>
      </c>
      <c r="D226" s="114"/>
      <c r="E226" s="114"/>
      <c r="H226" s="260">
        <v>0</v>
      </c>
      <c r="I226" s="114"/>
      <c r="J226" s="260">
        <v>0</v>
      </c>
      <c r="K226" s="114"/>
      <c r="L226" s="260"/>
      <c r="M226" s="114"/>
      <c r="N226" s="260">
        <v>0</v>
      </c>
      <c r="O226" s="114"/>
      <c r="P226" s="260">
        <v>0</v>
      </c>
      <c r="Q226" s="260">
        <v>0</v>
      </c>
      <c r="R226" s="260"/>
      <c r="S226" s="114"/>
      <c r="T226" s="260">
        <v>0</v>
      </c>
      <c r="U226" s="114"/>
      <c r="V226" s="260">
        <v>0</v>
      </c>
      <c r="W226" s="114"/>
      <c r="X226" s="260"/>
      <c r="Y226" s="114"/>
      <c r="Z226" s="260"/>
      <c r="AA226" s="114"/>
      <c r="AB226" s="260"/>
      <c r="AC226" s="114"/>
      <c r="AD226" s="260"/>
      <c r="AE226" s="114"/>
      <c r="AF226" s="260"/>
      <c r="AG226" s="114"/>
      <c r="AH226" s="260"/>
      <c r="AI226" s="114"/>
      <c r="AJ226" s="260"/>
      <c r="AL226" s="260"/>
    </row>
    <row r="227" spans="1:38">
      <c r="A227" s="397">
        <v>215</v>
      </c>
      <c r="B227" s="418"/>
      <c r="C227" s="419" t="s">
        <v>203</v>
      </c>
      <c r="D227" s="418"/>
      <c r="E227" s="418"/>
      <c r="H227" s="260"/>
      <c r="I227" s="114"/>
      <c r="J227" s="260">
        <v>0</v>
      </c>
      <c r="K227" s="114"/>
      <c r="L227" s="260"/>
      <c r="M227" s="114"/>
      <c r="N227" s="260"/>
      <c r="O227" s="114"/>
      <c r="P227" s="260"/>
      <c r="Q227" s="260"/>
      <c r="R227" s="260"/>
      <c r="S227" s="114"/>
      <c r="T227" s="260"/>
      <c r="U227" s="114"/>
      <c r="V227" s="260">
        <v>0</v>
      </c>
      <c r="W227" s="114"/>
      <c r="X227" s="260"/>
      <c r="Y227" s="114"/>
      <c r="Z227" s="260"/>
      <c r="AA227" s="114"/>
      <c r="AB227" s="260"/>
      <c r="AC227" s="114"/>
      <c r="AD227" s="260"/>
      <c r="AE227" s="114"/>
      <c r="AF227" s="260"/>
      <c r="AG227" s="114"/>
      <c r="AH227" s="260"/>
      <c r="AI227" s="114"/>
      <c r="AJ227" s="260"/>
      <c r="AL227" s="260"/>
    </row>
    <row r="228" spans="1:38">
      <c r="A228" s="397">
        <v>216</v>
      </c>
      <c r="B228" s="418"/>
      <c r="C228" s="419" t="s">
        <v>3017</v>
      </c>
      <c r="D228" s="418"/>
      <c r="E228" s="418"/>
      <c r="H228" s="260"/>
      <c r="I228" s="114"/>
      <c r="J228" s="260">
        <v>0</v>
      </c>
      <c r="K228" s="114"/>
      <c r="L228" s="260"/>
      <c r="M228" s="114"/>
      <c r="N228" s="260"/>
      <c r="O228" s="114"/>
      <c r="P228" s="260"/>
      <c r="Q228" s="260"/>
      <c r="R228" s="260"/>
      <c r="S228" s="114"/>
      <c r="T228" s="260"/>
      <c r="U228" s="114"/>
      <c r="V228" s="260">
        <v>0</v>
      </c>
      <c r="W228" s="114"/>
      <c r="X228" s="260"/>
      <c r="Y228" s="114"/>
      <c r="Z228" s="260"/>
      <c r="AA228" s="114"/>
      <c r="AB228" s="260"/>
      <c r="AC228" s="114"/>
      <c r="AD228" s="260"/>
      <c r="AE228" s="114"/>
      <c r="AF228" s="260"/>
      <c r="AG228" s="114"/>
      <c r="AH228" s="260"/>
      <c r="AI228" s="114"/>
      <c r="AJ228" s="260"/>
      <c r="AL228" s="260"/>
    </row>
    <row r="229" spans="1:38">
      <c r="A229" s="397">
        <v>217</v>
      </c>
      <c r="B229" s="114"/>
      <c r="C229" s="417" t="s">
        <v>30</v>
      </c>
      <c r="D229" s="114"/>
      <c r="E229" s="114"/>
      <c r="H229" s="260">
        <v>-898632</v>
      </c>
      <c r="I229" s="114"/>
      <c r="J229" s="260">
        <v>-33506</v>
      </c>
      <c r="K229" s="417"/>
      <c r="L229" s="260"/>
      <c r="M229" s="114"/>
      <c r="N229" s="260">
        <v>-412447</v>
      </c>
      <c r="O229" s="114"/>
      <c r="P229" s="260">
        <v>-181658</v>
      </c>
      <c r="Q229" s="260">
        <v>-16343</v>
      </c>
      <c r="R229" s="260">
        <v>-537928</v>
      </c>
      <c r="S229" s="114"/>
      <c r="T229" s="260"/>
      <c r="U229" s="114"/>
      <c r="V229" s="260">
        <v>0</v>
      </c>
      <c r="W229" s="114"/>
      <c r="X229" s="260"/>
      <c r="Y229" s="114"/>
      <c r="Z229" s="260">
        <v>-23176</v>
      </c>
      <c r="AA229" s="114"/>
      <c r="AB229" s="785">
        <f>-235407+7160</f>
        <v>-228247</v>
      </c>
      <c r="AC229" s="114"/>
      <c r="AD229" s="260"/>
      <c r="AE229" s="114"/>
      <c r="AF229" s="260"/>
      <c r="AG229" s="114"/>
      <c r="AH229" s="260"/>
      <c r="AI229" s="114"/>
      <c r="AJ229" s="260"/>
      <c r="AL229" s="785">
        <f>-16576+527</f>
        <v>-16049</v>
      </c>
    </row>
    <row r="230" spans="1:38">
      <c r="A230" s="397">
        <v>218</v>
      </c>
      <c r="B230" s="114"/>
      <c r="C230" s="417" t="s">
        <v>10</v>
      </c>
      <c r="D230" s="114"/>
      <c r="E230" s="114"/>
      <c r="H230" s="260">
        <v>-553265</v>
      </c>
      <c r="I230" s="114"/>
      <c r="J230" s="260">
        <v>-73045</v>
      </c>
      <c r="K230" s="417"/>
      <c r="L230" s="260"/>
      <c r="M230" s="114"/>
      <c r="N230" s="260">
        <v>-7534804</v>
      </c>
      <c r="O230" s="114"/>
      <c r="P230" s="260">
        <v>0</v>
      </c>
      <c r="Q230" s="260">
        <v>0</v>
      </c>
      <c r="R230" s="260"/>
      <c r="S230" s="114"/>
      <c r="T230" s="260"/>
      <c r="U230" s="114"/>
      <c r="V230" s="260">
        <v>-8230</v>
      </c>
      <c r="W230" s="114"/>
      <c r="X230" s="260">
        <v>-3522042</v>
      </c>
      <c r="Y230" s="114"/>
      <c r="Z230" s="260"/>
      <c r="AA230" s="114"/>
      <c r="AB230" s="260"/>
      <c r="AC230" s="114"/>
      <c r="AD230" s="260"/>
      <c r="AE230" s="114"/>
      <c r="AF230" s="260"/>
      <c r="AG230" s="114"/>
      <c r="AH230" s="260"/>
      <c r="AI230" s="114"/>
      <c r="AJ230" s="260"/>
      <c r="AL230" s="260"/>
    </row>
    <row r="231" spans="1:38" hidden="1">
      <c r="A231" s="397">
        <v>219</v>
      </c>
      <c r="B231" s="114"/>
      <c r="C231" s="417" t="s">
        <v>796</v>
      </c>
      <c r="D231" s="114"/>
      <c r="E231" s="114"/>
      <c r="H231" s="260"/>
      <c r="I231" s="114"/>
      <c r="J231" s="260">
        <v>0</v>
      </c>
      <c r="K231" s="417"/>
      <c r="L231" s="260"/>
      <c r="M231" s="114"/>
      <c r="N231" s="260">
        <v>0</v>
      </c>
      <c r="O231" s="114"/>
      <c r="P231" s="260"/>
      <c r="Q231" s="260"/>
      <c r="R231" s="260"/>
      <c r="S231" s="114"/>
      <c r="T231" s="260"/>
      <c r="U231" s="114"/>
      <c r="V231" s="260"/>
      <c r="W231" s="114"/>
      <c r="X231" s="260"/>
      <c r="Y231" s="114"/>
      <c r="Z231" s="260"/>
      <c r="AA231" s="114"/>
      <c r="AB231" s="260"/>
      <c r="AC231" s="114"/>
      <c r="AD231" s="260"/>
      <c r="AE231" s="114"/>
      <c r="AF231" s="260"/>
      <c r="AG231" s="114"/>
      <c r="AH231" s="260">
        <v>0</v>
      </c>
      <c r="AI231" s="114"/>
      <c r="AJ231" s="260"/>
      <c r="AL231" s="260"/>
    </row>
    <row r="232" spans="1:38">
      <c r="A232" s="397">
        <v>220</v>
      </c>
      <c r="B232" s="114"/>
      <c r="C232" s="417" t="s">
        <v>6</v>
      </c>
      <c r="D232" s="114"/>
      <c r="E232" s="114"/>
      <c r="H232" s="260">
        <v>1611657</v>
      </c>
      <c r="I232" s="114"/>
      <c r="J232" s="260">
        <v>544128</v>
      </c>
      <c r="K232" s="114"/>
      <c r="L232" s="260"/>
      <c r="M232" s="114"/>
      <c r="N232" s="785">
        <f>277191+3670823</f>
        <v>3948014</v>
      </c>
      <c r="O232" s="114"/>
      <c r="P232" s="260">
        <v>0</v>
      </c>
      <c r="Q232" s="260">
        <v>0</v>
      </c>
      <c r="R232" s="260"/>
      <c r="S232" s="114"/>
      <c r="T232" s="260"/>
      <c r="U232" s="114"/>
      <c r="V232" s="260"/>
      <c r="W232" s="114"/>
      <c r="X232" s="260"/>
      <c r="Y232" s="114"/>
      <c r="Z232" s="260"/>
      <c r="AA232" s="114"/>
      <c r="AB232" s="260">
        <v>0</v>
      </c>
      <c r="AC232" s="114"/>
      <c r="AD232" s="260">
        <v>0</v>
      </c>
      <c r="AE232" s="114"/>
      <c r="AF232" s="260">
        <v>0</v>
      </c>
      <c r="AG232" s="114"/>
      <c r="AH232" s="260"/>
      <c r="AI232" s="114"/>
      <c r="AJ232" s="260"/>
      <c r="AL232" s="260"/>
    </row>
    <row r="233" spans="1:38">
      <c r="A233" s="397">
        <v>221</v>
      </c>
      <c r="B233" s="114"/>
      <c r="C233" s="417"/>
      <c r="D233" s="404" t="s">
        <v>239</v>
      </c>
      <c r="E233" s="114"/>
      <c r="H233" s="405">
        <f>SUM(H225:H232)</f>
        <v>170422</v>
      </c>
      <c r="I233" s="114"/>
      <c r="J233" s="405">
        <f>SUM(J225:J232)</f>
        <v>437577</v>
      </c>
      <c r="K233" s="114"/>
      <c r="L233" s="405">
        <f>SUM(L225:L232)</f>
        <v>0</v>
      </c>
      <c r="M233" s="114"/>
      <c r="N233" s="405">
        <f>SUM(N225:N232)</f>
        <v>-3999237</v>
      </c>
      <c r="O233" s="114"/>
      <c r="P233" s="405">
        <f>SUM(P225:P232)</f>
        <v>-181658</v>
      </c>
      <c r="Q233" s="405">
        <f>SUM(Q225:Q232)</f>
        <v>-16343</v>
      </c>
      <c r="R233" s="405">
        <f>SUM(R225:R232)</f>
        <v>-537928</v>
      </c>
      <c r="S233" s="114"/>
      <c r="T233" s="405">
        <f>SUM(T225:T232)</f>
        <v>0</v>
      </c>
      <c r="U233" s="114"/>
      <c r="V233" s="405">
        <f>SUM(V225:V232)</f>
        <v>-25306</v>
      </c>
      <c r="W233" s="114"/>
      <c r="X233" s="405">
        <f>SUM(X225:X230)</f>
        <v>-3522042</v>
      </c>
      <c r="Y233" s="114"/>
      <c r="Z233" s="405">
        <f>SUM(Z225:Z232)</f>
        <v>-23176</v>
      </c>
      <c r="AA233" s="114"/>
      <c r="AB233" s="405">
        <f>SUM(AB225:AB232)</f>
        <v>-228247</v>
      </c>
      <c r="AC233" s="114"/>
      <c r="AD233" s="405">
        <f>SUM(AD225:AD232)</f>
        <v>0</v>
      </c>
      <c r="AE233" s="114"/>
      <c r="AF233" s="405">
        <f>SUM(AF225:AF232)</f>
        <v>0</v>
      </c>
      <c r="AG233" s="114"/>
      <c r="AH233" s="405">
        <f>SUM(AH225:AH232)</f>
        <v>0</v>
      </c>
      <c r="AI233" s="114"/>
      <c r="AJ233" s="405">
        <v>0</v>
      </c>
      <c r="AL233" s="405">
        <f>SUM(AL225:AL232)</f>
        <v>-16049</v>
      </c>
    </row>
    <row r="234" spans="1:38">
      <c r="A234" s="397">
        <v>222</v>
      </c>
      <c r="B234" s="114"/>
      <c r="C234" s="417"/>
      <c r="D234" s="114"/>
      <c r="E234" s="114"/>
      <c r="H234" s="114"/>
      <c r="I234" s="114"/>
      <c r="J234" s="417"/>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L234" s="114"/>
    </row>
    <row r="235" spans="1:38">
      <c r="A235" s="397">
        <v>223</v>
      </c>
      <c r="B235" s="114"/>
      <c r="C235" s="114"/>
      <c r="D235" s="409" t="s">
        <v>31</v>
      </c>
      <c r="E235" s="114"/>
      <c r="H235" s="405">
        <f>SUM(H223,H233)</f>
        <v>5088696</v>
      </c>
      <c r="I235" s="114"/>
      <c r="J235" s="405">
        <f>SUM(J223,J233)</f>
        <v>471083</v>
      </c>
      <c r="K235" s="114"/>
      <c r="L235" s="405">
        <f>SUM(L223,L233)</f>
        <v>0</v>
      </c>
      <c r="M235" s="114"/>
      <c r="N235" s="405">
        <f>SUM(N223,N233)</f>
        <v>-2326240</v>
      </c>
      <c r="O235" s="114"/>
      <c r="P235" s="405">
        <f>SUM(P223,P233)</f>
        <v>820604</v>
      </c>
      <c r="Q235" s="405">
        <f>SUM(Q223,Q233)</f>
        <v>73788</v>
      </c>
      <c r="R235" s="405">
        <f>SUM(R223,R233)</f>
        <v>2350999</v>
      </c>
      <c r="S235" s="114"/>
      <c r="T235" s="405">
        <f>SUM(T223,T233)</f>
        <v>0</v>
      </c>
      <c r="U235" s="114"/>
      <c r="V235" s="405">
        <f>SUM(V223,V233)</f>
        <v>-25306</v>
      </c>
      <c r="W235" s="114"/>
      <c r="X235" s="405">
        <f>SUM(X223,X233)</f>
        <v>-3522042</v>
      </c>
      <c r="Y235" s="114"/>
      <c r="Z235" s="405">
        <f>SUM(Z223,Z233)</f>
        <v>0</v>
      </c>
      <c r="AA235" s="114"/>
      <c r="AB235" s="405">
        <f>SUM(AB223,AB233)</f>
        <v>1036260</v>
      </c>
      <c r="AC235" s="114"/>
      <c r="AD235" s="405">
        <f>SUM(AD223,AD233)</f>
        <v>0</v>
      </c>
      <c r="AE235" s="114"/>
      <c r="AF235" s="405">
        <f>SUM(AF223,AF233)</f>
        <v>0</v>
      </c>
      <c r="AG235" s="114"/>
      <c r="AH235" s="405">
        <f>SUM(AH223,AH233)</f>
        <v>0</v>
      </c>
      <c r="AI235" s="114"/>
      <c r="AJ235" s="405">
        <v>0</v>
      </c>
      <c r="AL235" s="405">
        <f>SUM(AL223,AL233)</f>
        <v>72325</v>
      </c>
    </row>
    <row r="236" spans="1:38">
      <c r="A236" s="397">
        <v>224</v>
      </c>
      <c r="B236" s="417"/>
      <c r="C236" s="114"/>
      <c r="D236" s="114"/>
      <c r="E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405"/>
      <c r="AL236" s="405"/>
    </row>
    <row r="237" spans="1:38">
      <c r="A237" s="397">
        <v>225</v>
      </c>
      <c r="B237" s="114"/>
      <c r="C237" s="114"/>
      <c r="D237" s="114"/>
      <c r="E237" s="409" t="s">
        <v>32</v>
      </c>
      <c r="H237" s="405">
        <f>SUM(H217,H235)</f>
        <v>871527445</v>
      </c>
      <c r="I237" s="114"/>
      <c r="J237" s="405">
        <f>SUM(J217,J235)</f>
        <v>201551350</v>
      </c>
      <c r="K237" s="114"/>
      <c r="L237" s="405">
        <f>SUM(L217,L235)</f>
        <v>86509868</v>
      </c>
      <c r="M237" s="114"/>
      <c r="N237" s="405">
        <f>SUM(N217,N235)</f>
        <v>224763618</v>
      </c>
      <c r="O237" s="114"/>
      <c r="P237" s="405">
        <f>SUM(P217,P235)</f>
        <v>9817315</v>
      </c>
      <c r="Q237" s="405">
        <f>SUM(Q217,Q235)</f>
        <v>343694</v>
      </c>
      <c r="R237" s="405">
        <f>SUM(R217,R235)</f>
        <v>2149206</v>
      </c>
      <c r="S237" s="114"/>
      <c r="T237" s="405">
        <f>SUM(T217,T235)</f>
        <v>-3205086</v>
      </c>
      <c r="U237" s="114"/>
      <c r="V237" s="405">
        <f>SUM(V217,V235)</f>
        <v>1744570</v>
      </c>
      <c r="W237" s="114"/>
      <c r="X237" s="405">
        <f>SUM(X217,X235)</f>
        <v>11691977</v>
      </c>
      <c r="Y237" s="114"/>
      <c r="Z237" s="405">
        <f>SUM(Z217,Z235)</f>
        <v>-651334</v>
      </c>
      <c r="AA237" s="114"/>
      <c r="AB237" s="405">
        <f>SUM(AB217,AB235)</f>
        <v>24677556</v>
      </c>
      <c r="AC237" s="114"/>
      <c r="AD237" s="405">
        <f>SUM(AD217,AD235)</f>
        <v>-175559</v>
      </c>
      <c r="AE237" s="114"/>
      <c r="AF237" s="405">
        <f>SUM(AF217,AF235)</f>
        <v>51083</v>
      </c>
      <c r="AG237" s="114"/>
      <c r="AH237" s="405">
        <f>SUM(AH217,AH235)</f>
        <v>0</v>
      </c>
      <c r="AI237" s="114"/>
      <c r="AJ237" s="405">
        <f>SUM(AJ217,AJ235)</f>
        <v>42908</v>
      </c>
      <c r="AL237" s="405">
        <f>SUM(AL217,AL235)</f>
        <v>-1477872</v>
      </c>
    </row>
    <row r="238" spans="1:38">
      <c r="A238" s="397">
        <v>226</v>
      </c>
      <c r="B238" s="114"/>
      <c r="C238" s="114"/>
      <c r="D238" s="114"/>
      <c r="E238" s="409"/>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98"/>
      <c r="AG238" s="114"/>
      <c r="AH238" s="198"/>
      <c r="AI238" s="114"/>
      <c r="AJ238" s="114"/>
      <c r="AL238" s="114"/>
    </row>
    <row r="239" spans="1:38">
      <c r="A239" s="397">
        <v>227</v>
      </c>
      <c r="B239" s="409" t="s">
        <v>33</v>
      </c>
      <c r="C239" s="114"/>
      <c r="D239" s="114"/>
      <c r="E239" s="114"/>
      <c r="H239" s="260"/>
      <c r="I239" s="114"/>
      <c r="J239" s="260"/>
      <c r="K239" s="114"/>
      <c r="L239" s="260"/>
      <c r="M239" s="114"/>
      <c r="N239" s="260">
        <v>0</v>
      </c>
      <c r="O239" s="114"/>
      <c r="P239" s="260"/>
      <c r="Q239" s="260"/>
      <c r="R239" s="260"/>
      <c r="S239" s="114"/>
      <c r="T239" s="260"/>
      <c r="U239" s="114"/>
      <c r="V239" s="260"/>
      <c r="W239" s="114"/>
      <c r="X239" s="260"/>
      <c r="Y239" s="114"/>
      <c r="Z239" s="260"/>
      <c r="AA239" s="114"/>
      <c r="AB239" s="260"/>
      <c r="AC239" s="114"/>
      <c r="AD239" s="260"/>
      <c r="AE239" s="114"/>
      <c r="AF239" s="260"/>
      <c r="AG239" s="114"/>
      <c r="AH239" s="260">
        <v>0</v>
      </c>
      <c r="AI239" s="114"/>
      <c r="AJ239" s="260"/>
      <c r="AL239" s="260"/>
    </row>
    <row r="240" spans="1:38">
      <c r="A240" s="397">
        <v>228</v>
      </c>
      <c r="B240" s="409" t="s">
        <v>204</v>
      </c>
      <c r="C240" s="114"/>
      <c r="D240" s="114"/>
      <c r="E240" s="114"/>
      <c r="H240" s="260"/>
      <c r="I240" s="114"/>
      <c r="J240" s="260"/>
      <c r="K240" s="114"/>
      <c r="L240" s="260"/>
      <c r="M240" s="114"/>
      <c r="N240" s="260">
        <v>0</v>
      </c>
      <c r="O240" s="114"/>
      <c r="P240" s="260"/>
      <c r="Q240" s="260"/>
      <c r="R240" s="260"/>
      <c r="S240" s="114"/>
      <c r="T240" s="260"/>
      <c r="U240" s="114"/>
      <c r="V240" s="260"/>
      <c r="W240" s="114"/>
      <c r="X240" s="260"/>
      <c r="Y240" s="114"/>
      <c r="Z240" s="260"/>
      <c r="AA240" s="114"/>
      <c r="AB240" s="260"/>
      <c r="AC240" s="114"/>
      <c r="AD240" s="260"/>
      <c r="AE240" s="114"/>
      <c r="AF240" s="260">
        <f>-30000+30000</f>
        <v>0</v>
      </c>
      <c r="AG240" s="114"/>
      <c r="AH240" s="260"/>
      <c r="AI240" s="114"/>
      <c r="AJ240" s="260"/>
      <c r="AL240" s="260"/>
    </row>
    <row r="241" spans="1:38">
      <c r="A241" s="397">
        <v>229</v>
      </c>
      <c r="B241" s="409" t="s">
        <v>205</v>
      </c>
      <c r="C241" s="114"/>
      <c r="D241" s="114"/>
      <c r="E241" s="114"/>
      <c r="H241" s="260"/>
      <c r="I241" s="114"/>
      <c r="J241" s="260"/>
      <c r="K241" s="114"/>
      <c r="L241" s="260"/>
      <c r="M241" s="114"/>
      <c r="N241" s="260">
        <v>0</v>
      </c>
      <c r="O241" s="114"/>
      <c r="P241" s="260"/>
      <c r="Q241" s="260"/>
      <c r="R241" s="260"/>
      <c r="S241" s="114"/>
      <c r="T241" s="260"/>
      <c r="U241" s="114"/>
      <c r="V241" s="260"/>
      <c r="W241" s="114"/>
      <c r="X241" s="260"/>
      <c r="Y241" s="114"/>
      <c r="Z241" s="260"/>
      <c r="AA241" s="114"/>
      <c r="AB241" s="260"/>
      <c r="AC241" s="114"/>
      <c r="AD241" s="260"/>
      <c r="AE241" s="114"/>
      <c r="AF241" s="260"/>
      <c r="AG241" s="114"/>
      <c r="AH241" s="260"/>
      <c r="AI241" s="114"/>
      <c r="AJ241" s="260"/>
      <c r="AL241" s="260"/>
    </row>
    <row r="242" spans="1:38">
      <c r="A242" s="397">
        <v>230</v>
      </c>
      <c r="B242" s="409" t="s">
        <v>559</v>
      </c>
      <c r="C242" s="114"/>
      <c r="D242" s="114"/>
      <c r="E242" s="114"/>
      <c r="H242" s="260"/>
      <c r="I242" s="114"/>
      <c r="J242" s="260"/>
      <c r="K242" s="114"/>
      <c r="L242" s="260">
        <v>3844966</v>
      </c>
      <c r="M242" s="114"/>
      <c r="N242" s="260">
        <v>1865289</v>
      </c>
      <c r="O242" s="114"/>
      <c r="P242" s="260"/>
      <c r="Q242" s="260"/>
      <c r="R242" s="260"/>
      <c r="S242" s="114"/>
      <c r="T242" s="260">
        <v>0</v>
      </c>
      <c r="U242" s="114"/>
      <c r="V242" s="260">
        <v>0</v>
      </c>
      <c r="W242" s="114"/>
      <c r="X242" s="260">
        <v>0</v>
      </c>
      <c r="Y242" s="114"/>
      <c r="Z242" s="260">
        <v>0</v>
      </c>
      <c r="AA242" s="114"/>
      <c r="AB242" s="260"/>
      <c r="AC242" s="114"/>
      <c r="AD242" s="260"/>
      <c r="AE242" s="114"/>
      <c r="AF242" s="260"/>
      <c r="AG242" s="114"/>
      <c r="AH242" s="260"/>
      <c r="AI242" s="114"/>
      <c r="AJ242" s="260"/>
      <c r="AL242" s="260">
        <v>30225</v>
      </c>
    </row>
    <row r="243" spans="1:38">
      <c r="A243" s="397">
        <v>231</v>
      </c>
      <c r="B243" s="409" t="s">
        <v>560</v>
      </c>
      <c r="C243" s="114"/>
      <c r="D243" s="114"/>
      <c r="E243" s="114"/>
      <c r="H243" s="260">
        <v>-867351902</v>
      </c>
      <c r="I243" s="114"/>
      <c r="J243" s="260">
        <v>-292414</v>
      </c>
      <c r="K243" s="114"/>
      <c r="L243" s="260">
        <v>-3775796</v>
      </c>
      <c r="M243" s="114"/>
      <c r="N243" s="260">
        <v>-220561526</v>
      </c>
      <c r="O243" s="114"/>
      <c r="P243" s="260">
        <v>0</v>
      </c>
      <c r="Q243" s="260">
        <v>0</v>
      </c>
      <c r="R243" s="260">
        <v>-513704</v>
      </c>
      <c r="S243" s="114"/>
      <c r="T243" s="260"/>
      <c r="U243" s="114"/>
      <c r="V243" s="260">
        <v>-1702690</v>
      </c>
      <c r="W243" s="114"/>
      <c r="X243" s="260">
        <v>0</v>
      </c>
      <c r="Y243" s="114"/>
      <c r="Z243" s="260">
        <v>0</v>
      </c>
      <c r="AA243" s="114"/>
      <c r="AB243" s="260">
        <v>-13450000</v>
      </c>
      <c r="AC243" s="114"/>
      <c r="AD243" s="260">
        <v>-13651</v>
      </c>
      <c r="AE243" s="114"/>
      <c r="AF243" s="260"/>
      <c r="AG243" s="114"/>
      <c r="AH243" s="260"/>
      <c r="AI243" s="114"/>
      <c r="AJ243" s="260">
        <v>-30834</v>
      </c>
      <c r="AL243" s="260">
        <v>-304591</v>
      </c>
    </row>
    <row r="244" spans="1:38">
      <c r="A244" s="397">
        <v>232</v>
      </c>
      <c r="B244" s="114"/>
      <c r="C244" s="114"/>
      <c r="D244" s="114"/>
      <c r="E244" s="409" t="s">
        <v>780</v>
      </c>
      <c r="H244" s="405">
        <f>SUM(H237,H239:H243)</f>
        <v>4175543</v>
      </c>
      <c r="I244" s="114"/>
      <c r="J244" s="405">
        <f>SUM(J237,J239:J243)</f>
        <v>201258936</v>
      </c>
      <c r="K244" s="114"/>
      <c r="L244" s="405">
        <f>SUM(L237,L239:L243)</f>
        <v>86579038</v>
      </c>
      <c r="M244" s="114"/>
      <c r="N244" s="405">
        <f>SUM(N237:N243)</f>
        <v>6067381</v>
      </c>
      <c r="O244" s="114"/>
      <c r="P244" s="405">
        <f>SUM(P237,P239:P243)</f>
        <v>9817315</v>
      </c>
      <c r="Q244" s="405">
        <f>SUM(Q237,Q239:Q243)</f>
        <v>343694</v>
      </c>
      <c r="R244" s="405">
        <f>SUM(R237,R239:R243)</f>
        <v>1635502</v>
      </c>
      <c r="S244" s="114"/>
      <c r="T244" s="405">
        <f>SUM(T237,T239:T243)</f>
        <v>-3205086</v>
      </c>
      <c r="U244" s="114"/>
      <c r="V244" s="405">
        <f>SUM(V237,V239:V243)</f>
        <v>41880</v>
      </c>
      <c r="W244" s="114"/>
      <c r="X244" s="405">
        <f>SUM(X237,X239:X243)</f>
        <v>11691977</v>
      </c>
      <c r="Y244" s="114"/>
      <c r="Z244" s="405">
        <f>SUM(Z237,Z239:Z243)</f>
        <v>-651334</v>
      </c>
      <c r="AA244" s="114"/>
      <c r="AB244" s="405">
        <f>SUM(AB237,AB239:AB243)</f>
        <v>11227556</v>
      </c>
      <c r="AC244" s="114"/>
      <c r="AD244" s="405">
        <f>SUM(AD237,AD239:AD243)</f>
        <v>-189210</v>
      </c>
      <c r="AE244" s="114"/>
      <c r="AF244" s="405">
        <f>SUM(AF237,AF239:AF243)</f>
        <v>51083</v>
      </c>
      <c r="AG244" s="114"/>
      <c r="AH244" s="405">
        <f>SUM(AH237,AH239:AH243)</f>
        <v>0</v>
      </c>
      <c r="AI244" s="114"/>
      <c r="AJ244" s="405">
        <f>SUM(AJ237,AJ239:AJ243)</f>
        <v>12074</v>
      </c>
      <c r="AL244" s="405">
        <v>-1752238</v>
      </c>
    </row>
    <row r="245" spans="1:38">
      <c r="A245" s="397">
        <v>233</v>
      </c>
      <c r="B245" s="409" t="s">
        <v>775</v>
      </c>
      <c r="C245" s="114"/>
      <c r="D245" s="114"/>
      <c r="E245" s="114"/>
      <c r="H245" s="405">
        <v>-27596766</v>
      </c>
      <c r="I245" s="114"/>
      <c r="J245" s="405">
        <v>1456268076</v>
      </c>
      <c r="K245" s="114"/>
      <c r="L245" s="405">
        <v>1410150218</v>
      </c>
      <c r="M245" s="114"/>
      <c r="N245" s="405">
        <v>4835158</v>
      </c>
      <c r="O245" s="114"/>
      <c r="P245" s="405">
        <v>-11103359</v>
      </c>
      <c r="Q245" s="405">
        <v>3946732</v>
      </c>
      <c r="R245" s="405">
        <v>129449849</v>
      </c>
      <c r="S245" s="114"/>
      <c r="T245" s="405">
        <v>28536391</v>
      </c>
      <c r="U245" s="114"/>
      <c r="V245" s="405">
        <v>892868</v>
      </c>
      <c r="W245" s="114"/>
      <c r="X245" s="405">
        <v>22199344</v>
      </c>
      <c r="Y245" s="114"/>
      <c r="Z245" s="405">
        <v>864925</v>
      </c>
      <c r="AA245" s="114"/>
      <c r="AB245" s="405">
        <v>47228964</v>
      </c>
      <c r="AC245" s="114"/>
      <c r="AD245" s="405">
        <v>197051</v>
      </c>
      <c r="AE245" s="114"/>
      <c r="AF245" s="260">
        <v>402864</v>
      </c>
      <c r="AG245" s="114"/>
      <c r="AH245" s="260"/>
      <c r="AI245" s="114"/>
      <c r="AJ245" s="405">
        <v>280085</v>
      </c>
      <c r="AL245" s="405">
        <v>2866829</v>
      </c>
    </row>
    <row r="246" spans="1:38">
      <c r="A246" s="397">
        <v>234</v>
      </c>
      <c r="B246" s="409" t="s">
        <v>774</v>
      </c>
      <c r="C246" s="114"/>
      <c r="D246" s="114"/>
      <c r="E246" s="114"/>
      <c r="H246" s="405">
        <f>SUM(H244:H245)</f>
        <v>-23421223</v>
      </c>
      <c r="I246" s="114"/>
      <c r="J246" s="405">
        <f>SUM(J244:J245)</f>
        <v>1657527012</v>
      </c>
      <c r="K246" s="114"/>
      <c r="L246" s="405">
        <f>SUM(L244:L245)</f>
        <v>1496729256</v>
      </c>
      <c r="M246" s="114"/>
      <c r="N246" s="405">
        <f>SUM(N244:N245)</f>
        <v>10902539</v>
      </c>
      <c r="O246" s="114"/>
      <c r="P246" s="405">
        <f>SUM(P244:P245)</f>
        <v>-1286044</v>
      </c>
      <c r="Q246" s="405">
        <f>SUM(Q244:Q245)</f>
        <v>4290426</v>
      </c>
      <c r="R246" s="405">
        <f>SUM(R244:R245)</f>
        <v>131085351</v>
      </c>
      <c r="S246" s="114"/>
      <c r="T246" s="405">
        <f>SUM(T244:T245)</f>
        <v>25331305</v>
      </c>
      <c r="U246" s="114"/>
      <c r="V246" s="405">
        <f>SUM(V244:V245)</f>
        <v>934748</v>
      </c>
      <c r="W246" s="114"/>
      <c r="X246" s="405">
        <f>SUM(X244:X245)</f>
        <v>33891321</v>
      </c>
      <c r="Y246" s="114"/>
      <c r="Z246" s="405">
        <f>SUM(Z244:Z245)</f>
        <v>213591</v>
      </c>
      <c r="AA246" s="114"/>
      <c r="AB246" s="405">
        <f>SUM(AB244:AB245)</f>
        <v>58456520</v>
      </c>
      <c r="AC246" s="114"/>
      <c r="AD246" s="405">
        <f>SUM(AD244:AD245)</f>
        <v>7841</v>
      </c>
      <c r="AE246" s="114"/>
      <c r="AF246" s="405">
        <f>SUM(AF244:AF245)</f>
        <v>453947</v>
      </c>
      <c r="AG246" s="114"/>
      <c r="AH246" s="405">
        <f>SUM(AH244:AH245)</f>
        <v>0</v>
      </c>
      <c r="AI246" s="114"/>
      <c r="AJ246" s="405">
        <f>SUM(AJ244:AJ245)</f>
        <v>292159</v>
      </c>
      <c r="AL246" s="405">
        <f>SUM(AL244:AL245)</f>
        <v>1114591</v>
      </c>
    </row>
    <row r="247" spans="1:38">
      <c r="A247" s="397">
        <v>235</v>
      </c>
      <c r="B247" s="409"/>
      <c r="C247" s="114"/>
      <c r="D247" s="114"/>
      <c r="E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209"/>
      <c r="AE247" s="114"/>
      <c r="AF247" s="114"/>
      <c r="AG247" s="114"/>
      <c r="AH247" s="114"/>
      <c r="AI247" s="114"/>
      <c r="AJ247" s="114"/>
      <c r="AL247" s="114"/>
    </row>
    <row r="248" spans="1:38">
      <c r="A248" s="397">
        <v>236</v>
      </c>
      <c r="B248" s="1008"/>
      <c r="C248" s="1008"/>
      <c r="D248" s="1008"/>
      <c r="E248" s="1008"/>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2"/>
      <c r="AG248" s="114"/>
      <c r="AH248" s="12"/>
      <c r="AI248" s="114"/>
      <c r="AJ248" s="114"/>
      <c r="AL248" s="114"/>
    </row>
    <row r="249" spans="1:38">
      <c r="A249" s="397">
        <v>237</v>
      </c>
      <c r="B249" s="398"/>
      <c r="C249" s="200"/>
      <c r="D249" s="200"/>
      <c r="E249" s="200"/>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2"/>
      <c r="AG249" s="114"/>
      <c r="AH249" s="12"/>
      <c r="AI249" s="114"/>
      <c r="AJ249" s="114"/>
      <c r="AL249" s="114"/>
    </row>
    <row r="250" spans="1:38">
      <c r="A250" s="397">
        <v>238</v>
      </c>
      <c r="B250" s="398" t="s">
        <v>284</v>
      </c>
      <c r="C250" s="200"/>
      <c r="D250" s="200"/>
      <c r="E250" s="200"/>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2"/>
      <c r="AG250" s="114"/>
      <c r="AH250" s="12"/>
      <c r="AI250" s="114"/>
      <c r="AJ250" s="114"/>
      <c r="AL250" s="114"/>
    </row>
    <row r="251" spans="1:38">
      <c r="A251" s="397">
        <v>239</v>
      </c>
      <c r="B251" s="420"/>
      <c r="C251" s="399"/>
      <c r="D251" s="399"/>
      <c r="E251" s="399"/>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2"/>
      <c r="AG251" s="114"/>
      <c r="AH251" s="12"/>
      <c r="AI251" s="114"/>
      <c r="AJ251" s="114"/>
      <c r="AL251" s="114"/>
    </row>
    <row r="252" spans="1:38">
      <c r="A252" s="397">
        <v>240</v>
      </c>
      <c r="B252" s="814"/>
      <c r="C252" s="421"/>
      <c r="D252" s="421"/>
      <c r="E252" s="421"/>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0"/>
      <c r="AG252" s="114"/>
      <c r="AH252" s="110"/>
      <c r="AI252" s="114"/>
      <c r="AJ252" s="114"/>
      <c r="AL252" s="114"/>
    </row>
    <row r="253" spans="1:38" ht="11.25" customHeight="1" thickBot="1">
      <c r="A253" s="397">
        <v>241</v>
      </c>
      <c r="B253" s="416" t="s">
        <v>35</v>
      </c>
      <c r="C253" s="400"/>
      <c r="D253" s="400"/>
      <c r="E253" s="400"/>
      <c r="H253" s="412" t="s">
        <v>301</v>
      </c>
      <c r="I253" s="114"/>
      <c r="J253" s="412" t="s">
        <v>301</v>
      </c>
      <c r="K253" s="114"/>
      <c r="L253" s="412" t="s">
        <v>301</v>
      </c>
      <c r="M253" s="114"/>
      <c r="N253" s="412" t="s">
        <v>301</v>
      </c>
      <c r="O253" s="114"/>
      <c r="P253" s="412" t="s">
        <v>301</v>
      </c>
      <c r="Q253" s="412" t="s">
        <v>301</v>
      </c>
      <c r="R253" s="412" t="s">
        <v>301</v>
      </c>
      <c r="S253" s="114"/>
      <c r="T253" s="412" t="s">
        <v>301</v>
      </c>
      <c r="U253" s="114"/>
      <c r="V253" s="412" t="s">
        <v>301</v>
      </c>
      <c r="W253" s="114"/>
      <c r="X253" s="412" t="s">
        <v>301</v>
      </c>
      <c r="Y253" s="114"/>
      <c r="Z253" s="412" t="s">
        <v>301</v>
      </c>
      <c r="AA253" s="114"/>
      <c r="AB253" s="412" t="s">
        <v>301</v>
      </c>
      <c r="AC253" s="114"/>
      <c r="AD253" s="412" t="s">
        <v>301</v>
      </c>
      <c r="AE253" s="114"/>
      <c r="AF253" s="113" t="s">
        <v>301</v>
      </c>
      <c r="AG253" s="114"/>
      <c r="AH253" s="113" t="s">
        <v>301</v>
      </c>
      <c r="AI253" s="114"/>
      <c r="AJ253" s="412" t="s">
        <v>301</v>
      </c>
      <c r="AL253" s="412" t="s">
        <v>301</v>
      </c>
    </row>
    <row r="254" spans="1:38">
      <c r="A254" s="397">
        <v>242</v>
      </c>
      <c r="B254" s="398"/>
      <c r="C254" s="114"/>
      <c r="D254" s="114"/>
      <c r="E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2"/>
      <c r="AG254" s="114"/>
      <c r="AH254" s="12"/>
      <c r="AI254" s="114"/>
      <c r="AJ254" s="114"/>
      <c r="AL254" s="114"/>
    </row>
    <row r="255" spans="1:38">
      <c r="A255" s="397">
        <v>243</v>
      </c>
      <c r="B255" s="409" t="s">
        <v>36</v>
      </c>
      <c r="C255" s="114"/>
      <c r="D255" s="114"/>
      <c r="E255" s="114"/>
      <c r="H255" s="260">
        <v>4592107934</v>
      </c>
      <c r="I255" s="114"/>
      <c r="J255" s="260">
        <v>97144863</v>
      </c>
      <c r="K255" s="114"/>
      <c r="L255" s="260">
        <v>297741018</v>
      </c>
      <c r="M255" s="114"/>
      <c r="N255" s="260">
        <v>1214704435</v>
      </c>
      <c r="O255" s="114"/>
      <c r="P255" s="260">
        <v>14457767</v>
      </c>
      <c r="Q255" s="260">
        <v>433951</v>
      </c>
      <c r="R255" s="260">
        <v>518691560</v>
      </c>
      <c r="S255" s="114"/>
      <c r="T255" s="260">
        <v>38348333</v>
      </c>
      <c r="U255" s="114"/>
      <c r="V255" s="260">
        <v>17555104</v>
      </c>
      <c r="W255" s="114"/>
      <c r="X255" s="260">
        <v>22098544</v>
      </c>
      <c r="Y255" s="114"/>
      <c r="Z255" s="260">
        <v>11849846</v>
      </c>
      <c r="AA255" s="114"/>
      <c r="AB255" s="260">
        <v>74298245</v>
      </c>
      <c r="AC255" s="114"/>
      <c r="AD255" s="260">
        <v>7540604</v>
      </c>
      <c r="AE255" s="114"/>
      <c r="AF255" s="260">
        <v>566976</v>
      </c>
      <c r="AG255" s="114"/>
      <c r="AH255" s="260"/>
      <c r="AI255" s="114"/>
      <c r="AJ255" s="260">
        <v>303489</v>
      </c>
      <c r="AL255" s="260">
        <v>21685076</v>
      </c>
    </row>
    <row r="256" spans="1:38">
      <c r="A256" s="397">
        <v>244</v>
      </c>
      <c r="B256" s="409" t="s">
        <v>206</v>
      </c>
      <c r="C256" s="114"/>
      <c r="D256" s="114"/>
      <c r="E256" s="114"/>
      <c r="H256" s="260">
        <v>0</v>
      </c>
      <c r="I256" s="114"/>
      <c r="J256" s="260">
        <v>0</v>
      </c>
      <c r="K256" s="114"/>
      <c r="L256" s="260">
        <v>27422818</v>
      </c>
      <c r="M256" s="114"/>
      <c r="N256" s="260">
        <v>0</v>
      </c>
      <c r="O256" s="114"/>
      <c r="P256" s="260">
        <v>0</v>
      </c>
      <c r="Q256" s="260">
        <v>0</v>
      </c>
      <c r="R256" s="260"/>
      <c r="S256" s="114"/>
      <c r="T256" s="260"/>
      <c r="U256" s="114"/>
      <c r="V256" s="260"/>
      <c r="W256" s="114"/>
      <c r="X256" s="260"/>
      <c r="Y256" s="114"/>
      <c r="Z256" s="260"/>
      <c r="AA256" s="114"/>
      <c r="AB256" s="260">
        <v>0</v>
      </c>
      <c r="AC256" s="114"/>
      <c r="AD256" s="260"/>
      <c r="AE256" s="114"/>
      <c r="AF256" s="260"/>
      <c r="AG256" s="114"/>
      <c r="AH256" s="260"/>
      <c r="AI256" s="114"/>
      <c r="AJ256" s="260"/>
      <c r="AL256" s="260">
        <v>0</v>
      </c>
    </row>
    <row r="257" spans="1:38">
      <c r="A257" s="397">
        <v>245</v>
      </c>
      <c r="B257" s="409" t="s">
        <v>37</v>
      </c>
      <c r="C257" s="114"/>
      <c r="D257" s="114"/>
      <c r="E257" s="114"/>
      <c r="H257" s="260">
        <v>0</v>
      </c>
      <c r="I257" s="114"/>
      <c r="J257" s="260">
        <v>0</v>
      </c>
      <c r="K257" s="114"/>
      <c r="L257" s="260">
        <v>1344481</v>
      </c>
      <c r="M257" s="114"/>
      <c r="N257" s="260">
        <v>0</v>
      </c>
      <c r="O257" s="114"/>
      <c r="P257" s="260">
        <v>0</v>
      </c>
      <c r="Q257" s="260">
        <v>0</v>
      </c>
      <c r="R257" s="260"/>
      <c r="S257" s="114"/>
      <c r="T257" s="260">
        <v>3051651</v>
      </c>
      <c r="U257" s="114"/>
      <c r="V257" s="260"/>
      <c r="W257" s="114"/>
      <c r="X257" s="260">
        <v>6270671</v>
      </c>
      <c r="Y257" s="114"/>
      <c r="Z257" s="260"/>
      <c r="AA257" s="114"/>
      <c r="AB257" s="260">
        <v>0</v>
      </c>
      <c r="AC257" s="114"/>
      <c r="AD257" s="260"/>
      <c r="AE257" s="114"/>
      <c r="AF257" s="260"/>
      <c r="AG257" s="114"/>
      <c r="AH257" s="260"/>
      <c r="AI257" s="114"/>
      <c r="AJ257" s="260"/>
      <c r="AL257" s="260">
        <v>0</v>
      </c>
    </row>
    <row r="258" spans="1:38">
      <c r="A258" s="397">
        <v>246</v>
      </c>
      <c r="B258" s="409" t="s">
        <v>38</v>
      </c>
      <c r="C258" s="114"/>
      <c r="D258" s="114"/>
      <c r="E258" s="114"/>
      <c r="H258" s="260">
        <v>0</v>
      </c>
      <c r="I258" s="114"/>
      <c r="J258" s="260">
        <v>-285021</v>
      </c>
      <c r="K258" s="114"/>
      <c r="L258" s="260">
        <v>0</v>
      </c>
      <c r="M258" s="114"/>
      <c r="N258" s="260">
        <v>0</v>
      </c>
      <c r="O258" s="114"/>
      <c r="P258" s="260">
        <v>0</v>
      </c>
      <c r="Q258" s="260">
        <v>0</v>
      </c>
      <c r="R258" s="260"/>
      <c r="S258" s="114"/>
      <c r="T258" s="260"/>
      <c r="U258" s="114"/>
      <c r="V258" s="260">
        <v>-2123418</v>
      </c>
      <c r="W258" s="114"/>
      <c r="X258" s="260">
        <v>-1939523</v>
      </c>
      <c r="Y258" s="114"/>
      <c r="Z258" s="260"/>
      <c r="AA258" s="114"/>
      <c r="AB258" s="260"/>
      <c r="AC258" s="114"/>
      <c r="AD258" s="260"/>
      <c r="AE258" s="114"/>
      <c r="AF258" s="260"/>
      <c r="AG258" s="114"/>
      <c r="AH258" s="260"/>
      <c r="AI258" s="114"/>
      <c r="AJ258" s="260"/>
      <c r="AL258" s="260">
        <v>0</v>
      </c>
    </row>
    <row r="259" spans="1:38">
      <c r="A259" s="397">
        <v>247</v>
      </c>
      <c r="B259" s="409" t="s">
        <v>39</v>
      </c>
      <c r="C259" s="114"/>
      <c r="D259" s="114"/>
      <c r="E259" s="114"/>
      <c r="H259" s="260">
        <v>-232471988</v>
      </c>
      <c r="I259" s="114"/>
      <c r="J259" s="260">
        <v>-1620974</v>
      </c>
      <c r="K259" s="114"/>
      <c r="L259" s="260">
        <v>0</v>
      </c>
      <c r="M259" s="114"/>
      <c r="N259" s="260">
        <v>-698849562</v>
      </c>
      <c r="O259" s="114"/>
      <c r="P259" s="260">
        <v>0</v>
      </c>
      <c r="Q259" s="260">
        <v>0</v>
      </c>
      <c r="R259" s="260">
        <v>210131</v>
      </c>
      <c r="S259" s="114"/>
      <c r="T259" s="260">
        <v>-29087121</v>
      </c>
      <c r="U259" s="114"/>
      <c r="V259" s="260">
        <v>-5320627</v>
      </c>
      <c r="W259" s="114"/>
      <c r="X259" s="260">
        <v>28219</v>
      </c>
      <c r="Y259" s="114"/>
      <c r="Z259" s="260">
        <v>-60826</v>
      </c>
      <c r="AA259" s="114"/>
      <c r="AB259" s="260">
        <v>-3577</v>
      </c>
      <c r="AC259" s="114"/>
      <c r="AD259" s="260">
        <v>-2519579</v>
      </c>
      <c r="AE259" s="114"/>
      <c r="AF259" s="260">
        <v>-203997</v>
      </c>
      <c r="AG259" s="114"/>
      <c r="AH259" s="260"/>
      <c r="AI259" s="114"/>
      <c r="AJ259" s="260">
        <v>-271507</v>
      </c>
      <c r="AL259" s="260">
        <v>0</v>
      </c>
    </row>
    <row r="260" spans="1:38">
      <c r="A260" s="397">
        <v>248</v>
      </c>
      <c r="B260" s="404" t="s">
        <v>209</v>
      </c>
      <c r="C260" s="114"/>
      <c r="D260" s="114"/>
      <c r="E260" s="114"/>
      <c r="H260" s="260">
        <v>-24919311</v>
      </c>
      <c r="I260" s="114"/>
      <c r="J260" s="260">
        <v>-15226887</v>
      </c>
      <c r="K260" s="114"/>
      <c r="L260" s="260">
        <v>0</v>
      </c>
      <c r="M260" s="114"/>
      <c r="N260" s="260">
        <v>-58506328</v>
      </c>
      <c r="O260" s="114"/>
      <c r="P260" s="260">
        <v>-498420</v>
      </c>
      <c r="Q260" s="260">
        <v>-13788</v>
      </c>
      <c r="R260" s="260">
        <v>-26507146</v>
      </c>
      <c r="S260" s="114"/>
      <c r="T260" s="260">
        <v>-1908342</v>
      </c>
      <c r="U260" s="114"/>
      <c r="V260" s="260">
        <v>-1167686</v>
      </c>
      <c r="W260" s="114"/>
      <c r="X260" s="260">
        <v>-1856261</v>
      </c>
      <c r="Y260" s="114"/>
      <c r="Z260" s="260">
        <v>-947015</v>
      </c>
      <c r="AA260" s="114"/>
      <c r="AB260" s="260">
        <v>-8570223</v>
      </c>
      <c r="AC260" s="114"/>
      <c r="AD260" s="260">
        <v>-992027</v>
      </c>
      <c r="AE260" s="114"/>
      <c r="AF260" s="260">
        <v>0</v>
      </c>
      <c r="AG260" s="114"/>
      <c r="AH260" s="441"/>
      <c r="AI260" s="114"/>
      <c r="AJ260" s="260">
        <v>0</v>
      </c>
      <c r="AL260" s="260">
        <v>-847511</v>
      </c>
    </row>
    <row r="261" spans="1:38">
      <c r="A261" s="397">
        <v>249</v>
      </c>
      <c r="B261" s="409"/>
      <c r="C261" s="114"/>
      <c r="D261" s="114"/>
      <c r="E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L261" s="114"/>
    </row>
    <row r="262" spans="1:38">
      <c r="A262" s="397">
        <v>250</v>
      </c>
      <c r="B262" s="417" t="s">
        <v>41</v>
      </c>
      <c r="C262" s="114"/>
      <c r="D262" s="114"/>
      <c r="E262" s="114"/>
      <c r="H262" s="260"/>
      <c r="I262" s="114"/>
      <c r="J262" s="260"/>
      <c r="K262" s="114"/>
      <c r="L262" s="260">
        <v>-205893444</v>
      </c>
      <c r="M262" s="114"/>
      <c r="N262" s="260"/>
      <c r="O262" s="114"/>
      <c r="P262" s="260">
        <v>-9118003</v>
      </c>
      <c r="Q262" s="260">
        <v>-123699</v>
      </c>
      <c r="R262" s="260">
        <v>-493876844</v>
      </c>
      <c r="S262" s="114"/>
      <c r="T262" s="260"/>
      <c r="U262" s="114"/>
      <c r="V262" s="260"/>
      <c r="W262" s="114"/>
      <c r="X262" s="260"/>
      <c r="Y262" s="114"/>
      <c r="Z262" s="260"/>
      <c r="AA262" s="114"/>
      <c r="AB262" s="260"/>
      <c r="AC262" s="114"/>
      <c r="AD262" s="260"/>
      <c r="AE262" s="114"/>
      <c r="AF262" s="260"/>
      <c r="AG262" s="114"/>
      <c r="AH262" s="260"/>
      <c r="AI262" s="114"/>
      <c r="AJ262" s="260"/>
      <c r="AL262" s="260">
        <v>-22466584</v>
      </c>
    </row>
    <row r="263" spans="1:38">
      <c r="A263" s="397">
        <v>251</v>
      </c>
      <c r="B263" s="417" t="s">
        <v>61</v>
      </c>
      <c r="C263" s="114"/>
      <c r="D263" s="114"/>
      <c r="E263" s="114"/>
      <c r="H263" s="406">
        <v>-3331321772</v>
      </c>
      <c r="I263" s="114"/>
      <c r="J263" s="260"/>
      <c r="K263" s="114"/>
      <c r="L263" s="260">
        <v>0</v>
      </c>
      <c r="M263" s="114"/>
      <c r="N263" s="260"/>
      <c r="O263" s="114"/>
      <c r="P263" s="260">
        <v>0</v>
      </c>
      <c r="Q263" s="260">
        <v>0</v>
      </c>
      <c r="R263" s="260">
        <v>0</v>
      </c>
      <c r="S263" s="114"/>
      <c r="T263" s="260"/>
      <c r="U263" s="114"/>
      <c r="V263" s="260"/>
      <c r="W263" s="114"/>
      <c r="X263" s="260"/>
      <c r="Y263" s="114"/>
      <c r="Z263" s="260"/>
      <c r="AA263" s="114"/>
      <c r="AB263" s="260"/>
      <c r="AC263" s="114"/>
      <c r="AD263" s="260"/>
      <c r="AE263" s="114"/>
      <c r="AF263" s="260"/>
      <c r="AG263" s="114"/>
      <c r="AH263" s="260"/>
      <c r="AI263" s="114"/>
      <c r="AJ263" s="260"/>
      <c r="AL263" s="260"/>
    </row>
    <row r="264" spans="1:38">
      <c r="A264" s="397">
        <v>252</v>
      </c>
      <c r="B264" s="409"/>
      <c r="C264" s="404" t="s">
        <v>62</v>
      </c>
      <c r="D264" s="114"/>
      <c r="E264" s="114"/>
      <c r="H264" s="405">
        <f>SUM(H262:H263)</f>
        <v>-3331321772</v>
      </c>
      <c r="I264" s="114"/>
      <c r="J264" s="405">
        <v>0</v>
      </c>
      <c r="K264" s="114"/>
      <c r="L264" s="260">
        <f>SUM(L262:L263)</f>
        <v>-205893444</v>
      </c>
      <c r="M264" s="114"/>
      <c r="N264" s="260">
        <f>SUM(N262:N263)</f>
        <v>0</v>
      </c>
      <c r="O264" s="114"/>
      <c r="P264" s="260">
        <f>SUM(P262:P263)</f>
        <v>-9118003</v>
      </c>
      <c r="Q264" s="260">
        <f>SUM(Q262:Q263)</f>
        <v>-123699</v>
      </c>
      <c r="R264" s="260">
        <f>SUM(R262:R263)</f>
        <v>-493876844</v>
      </c>
      <c r="S264" s="114"/>
      <c r="T264" s="260">
        <v>0</v>
      </c>
      <c r="U264" s="114"/>
      <c r="V264" s="260">
        <v>0</v>
      </c>
      <c r="W264" s="114"/>
      <c r="X264" s="260">
        <v>0</v>
      </c>
      <c r="Y264" s="114"/>
      <c r="Z264" s="260">
        <v>0</v>
      </c>
      <c r="AA264" s="114"/>
      <c r="AB264" s="260">
        <v>0</v>
      </c>
      <c r="AC264" s="114"/>
      <c r="AD264" s="260">
        <v>0</v>
      </c>
      <c r="AE264" s="114"/>
      <c r="AF264" s="405">
        <v>0</v>
      </c>
      <c r="AG264" s="114"/>
      <c r="AH264" s="405"/>
      <c r="AI264" s="114"/>
      <c r="AJ264" s="260">
        <v>0</v>
      </c>
      <c r="AL264" s="260">
        <f>SUM(AL262:AL263)</f>
        <v>-22466584</v>
      </c>
    </row>
    <row r="265" spans="1:38">
      <c r="A265" s="397">
        <v>253</v>
      </c>
      <c r="B265" s="409" t="s">
        <v>3196</v>
      </c>
      <c r="C265" s="409"/>
      <c r="D265" s="114"/>
      <c r="E265" s="114"/>
      <c r="H265" s="408"/>
      <c r="I265" s="114"/>
      <c r="J265" s="260">
        <v>-181208392</v>
      </c>
      <c r="K265" s="114"/>
      <c r="L265" s="260"/>
      <c r="M265" s="114"/>
      <c r="N265" s="260">
        <v>0</v>
      </c>
      <c r="O265" s="114"/>
      <c r="P265" s="260">
        <v>0</v>
      </c>
      <c r="Q265" s="260">
        <v>0</v>
      </c>
      <c r="R265" s="260"/>
      <c r="S265" s="114"/>
      <c r="T265" s="260"/>
      <c r="U265" s="114"/>
      <c r="V265" s="260"/>
      <c r="W265" s="114"/>
      <c r="X265" s="260"/>
      <c r="Y265" s="114"/>
      <c r="Z265" s="260"/>
      <c r="AA265" s="114"/>
      <c r="AB265" s="260"/>
      <c r="AC265" s="114"/>
      <c r="AD265" s="260"/>
      <c r="AE265" s="114"/>
      <c r="AF265" s="260"/>
      <c r="AG265" s="114"/>
      <c r="AH265" s="260"/>
      <c r="AI265" s="114"/>
      <c r="AJ265" s="260"/>
      <c r="AL265" s="260"/>
    </row>
    <row r="266" spans="1:38">
      <c r="A266" s="397">
        <v>254</v>
      </c>
      <c r="B266" s="409" t="s">
        <v>40</v>
      </c>
      <c r="C266" s="114"/>
      <c r="D266" s="114"/>
      <c r="E266" s="114"/>
      <c r="H266" s="260">
        <v>-38615580</v>
      </c>
      <c r="I266" s="114"/>
      <c r="J266" s="260">
        <v>-19833294</v>
      </c>
      <c r="K266" s="114"/>
      <c r="L266" s="260"/>
      <c r="M266" s="114"/>
      <c r="N266" s="260">
        <v>-144396831</v>
      </c>
      <c r="O266" s="114"/>
      <c r="P266" s="260">
        <v>-1122672</v>
      </c>
      <c r="Q266" s="260">
        <v>-18351</v>
      </c>
      <c r="R266" s="260">
        <v>-1431778</v>
      </c>
      <c r="S266" s="114"/>
      <c r="T266" s="260">
        <v>-9558103</v>
      </c>
      <c r="U266" s="114"/>
      <c r="V266" s="260">
        <v>-4624045</v>
      </c>
      <c r="W266" s="114"/>
      <c r="X266" s="260">
        <v>-2603027</v>
      </c>
      <c r="Y266" s="114"/>
      <c r="Z266" s="260">
        <v>-10628093</v>
      </c>
      <c r="AA266" s="114"/>
      <c r="AB266" s="260">
        <v>-1321801</v>
      </c>
      <c r="AC266" s="114"/>
      <c r="AD266" s="260">
        <v>-4234285</v>
      </c>
      <c r="AE266" s="114"/>
      <c r="AF266" s="260"/>
      <c r="AG266" s="114"/>
      <c r="AH266" s="260"/>
      <c r="AI266" s="114"/>
      <c r="AJ266" s="260"/>
      <c r="AL266" s="260"/>
    </row>
    <row r="267" spans="1:38">
      <c r="A267" s="397">
        <v>255</v>
      </c>
      <c r="B267" s="409" t="s">
        <v>207</v>
      </c>
      <c r="C267" s="114"/>
      <c r="D267" s="114"/>
      <c r="E267" s="114"/>
      <c r="H267" s="406"/>
      <c r="I267" s="114"/>
      <c r="J267" s="406">
        <v>0</v>
      </c>
      <c r="K267" s="114"/>
      <c r="L267" s="260"/>
      <c r="M267" s="114"/>
      <c r="N267" s="260">
        <v>0</v>
      </c>
      <c r="O267" s="114"/>
      <c r="P267" s="260">
        <v>0</v>
      </c>
      <c r="Q267" s="260">
        <v>0</v>
      </c>
      <c r="R267" s="260"/>
      <c r="S267" s="114"/>
      <c r="T267" s="260"/>
      <c r="U267" s="114"/>
      <c r="V267" s="260"/>
      <c r="W267" s="114"/>
      <c r="X267" s="260"/>
      <c r="Y267" s="114"/>
      <c r="Z267" s="260"/>
      <c r="AA267" s="114"/>
      <c r="AB267" s="260">
        <v>-41822763</v>
      </c>
      <c r="AC267" s="114"/>
      <c r="AD267" s="260"/>
      <c r="AE267" s="114"/>
      <c r="AF267" s="260"/>
      <c r="AG267" s="114"/>
      <c r="AH267" s="260"/>
      <c r="AI267" s="114"/>
      <c r="AJ267" s="260"/>
      <c r="AL267" s="260"/>
    </row>
    <row r="268" spans="1:38">
      <c r="A268" s="397">
        <v>256</v>
      </c>
      <c r="B268" s="409" t="s">
        <v>208</v>
      </c>
      <c r="C268" s="114"/>
      <c r="D268" s="114"/>
      <c r="E268" s="114"/>
      <c r="H268" s="405"/>
      <c r="I268" s="114"/>
      <c r="J268" s="405">
        <v>0</v>
      </c>
      <c r="K268" s="114"/>
      <c r="L268" s="260"/>
      <c r="M268" s="114"/>
      <c r="N268" s="260">
        <v>0</v>
      </c>
      <c r="O268" s="114"/>
      <c r="P268" s="260">
        <v>0</v>
      </c>
      <c r="Q268" s="260">
        <v>0</v>
      </c>
      <c r="R268" s="260"/>
      <c r="S268" s="114"/>
      <c r="T268" s="260"/>
      <c r="U268" s="114"/>
      <c r="V268" s="260"/>
      <c r="W268" s="114"/>
      <c r="X268" s="260"/>
      <c r="Y268" s="114"/>
      <c r="Z268" s="260"/>
      <c r="AA268" s="114"/>
      <c r="AB268" s="260"/>
      <c r="AC268" s="114"/>
      <c r="AD268" s="260"/>
      <c r="AE268" s="114"/>
      <c r="AF268" s="260"/>
      <c r="AG268" s="114"/>
      <c r="AH268" s="260"/>
      <c r="AI268" s="114"/>
      <c r="AJ268" s="260"/>
      <c r="AL268" s="260"/>
    </row>
    <row r="269" spans="1:38">
      <c r="A269" s="397">
        <v>257</v>
      </c>
      <c r="B269" s="409"/>
      <c r="C269" s="114"/>
      <c r="D269" s="114"/>
      <c r="E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L269" s="114"/>
    </row>
    <row r="270" spans="1:38">
      <c r="A270" s="397">
        <v>258</v>
      </c>
      <c r="B270" s="417" t="s">
        <v>223</v>
      </c>
      <c r="C270" s="114"/>
      <c r="D270" s="114"/>
      <c r="E270" s="114"/>
      <c r="H270" s="260"/>
      <c r="I270" s="114"/>
      <c r="J270" s="260"/>
      <c r="K270" s="114"/>
      <c r="L270" s="260"/>
      <c r="M270" s="114"/>
      <c r="N270" s="260">
        <v>10333586</v>
      </c>
      <c r="O270" s="114"/>
      <c r="P270" s="260">
        <v>0</v>
      </c>
      <c r="Q270" s="260">
        <v>0</v>
      </c>
      <c r="R270" s="260"/>
      <c r="S270" s="114"/>
      <c r="T270" s="785">
        <f>-7182+7182</f>
        <v>0</v>
      </c>
      <c r="U270" s="114"/>
      <c r="V270" s="260"/>
      <c r="W270" s="114"/>
      <c r="X270" s="260"/>
      <c r="Y270" s="114"/>
      <c r="Z270" s="260">
        <v>0</v>
      </c>
      <c r="AA270" s="114"/>
      <c r="AB270" s="260">
        <v>0</v>
      </c>
      <c r="AC270" s="114"/>
      <c r="AD270" s="260"/>
      <c r="AE270" s="114"/>
      <c r="AF270" s="260">
        <v>39543</v>
      </c>
      <c r="AG270" s="114"/>
      <c r="AH270" s="441">
        <f>33-33</f>
        <v>0</v>
      </c>
      <c r="AI270" s="114"/>
      <c r="AJ270" s="260"/>
      <c r="AL270" s="260"/>
    </row>
    <row r="271" spans="1:38">
      <c r="A271" s="397">
        <v>259</v>
      </c>
      <c r="B271" s="417" t="s">
        <v>223</v>
      </c>
      <c r="C271" s="114"/>
      <c r="D271" s="114"/>
      <c r="E271" s="114"/>
      <c r="H271" s="260"/>
      <c r="I271" s="114"/>
      <c r="J271" s="260">
        <v>1764</v>
      </c>
      <c r="K271" s="114"/>
      <c r="L271" s="260"/>
      <c r="M271" s="114"/>
      <c r="N271" s="260">
        <v>0</v>
      </c>
      <c r="O271" s="114"/>
      <c r="P271" s="260">
        <v>0</v>
      </c>
      <c r="Q271" s="260">
        <v>0</v>
      </c>
      <c r="R271" s="260"/>
      <c r="S271" s="114"/>
      <c r="T271" s="260">
        <v>202114</v>
      </c>
      <c r="U271" s="114"/>
      <c r="V271" s="260"/>
      <c r="W271" s="114"/>
      <c r="X271" s="405"/>
      <c r="Y271" s="114"/>
      <c r="Z271" s="260"/>
      <c r="AA271" s="114"/>
      <c r="AB271" s="260"/>
      <c r="AC271" s="114"/>
      <c r="AD271" s="260"/>
      <c r="AE271" s="114"/>
      <c r="AF271" s="260"/>
      <c r="AG271" s="114"/>
      <c r="AH271" s="260"/>
      <c r="AI271" s="114"/>
      <c r="AJ271" s="260"/>
      <c r="AL271" s="260"/>
    </row>
    <row r="272" spans="1:38">
      <c r="A272" s="397">
        <v>260</v>
      </c>
      <c r="B272" s="417"/>
      <c r="C272" s="404" t="s">
        <v>63</v>
      </c>
      <c r="D272" s="114"/>
      <c r="E272" s="114"/>
      <c r="H272" s="405">
        <f>SUM(H270:H271)</f>
        <v>0</v>
      </c>
      <c r="I272" s="114"/>
      <c r="J272" s="405">
        <f>SUM(J270:J271)</f>
        <v>1764</v>
      </c>
      <c r="K272" s="114"/>
      <c r="L272" s="405">
        <f>SUM(L270:L271)</f>
        <v>0</v>
      </c>
      <c r="M272" s="114"/>
      <c r="N272" s="405">
        <f>SUM(N270:N271)</f>
        <v>10333586</v>
      </c>
      <c r="O272" s="114"/>
      <c r="P272" s="405">
        <v>0</v>
      </c>
      <c r="Q272" s="405">
        <v>0</v>
      </c>
      <c r="R272" s="405">
        <f>SUM(R270:R271)</f>
        <v>0</v>
      </c>
      <c r="S272" s="114"/>
      <c r="T272" s="405">
        <f>SUM(T270:T271)</f>
        <v>202114</v>
      </c>
      <c r="U272" s="114"/>
      <c r="V272" s="405">
        <v>0</v>
      </c>
      <c r="W272" s="114"/>
      <c r="X272" s="405">
        <v>0</v>
      </c>
      <c r="Y272" s="114"/>
      <c r="Z272" s="405">
        <f>SUM(Z270:Z271)</f>
        <v>0</v>
      </c>
      <c r="AA272" s="114"/>
      <c r="AB272" s="405">
        <f>SUM(AB270:AB271)</f>
        <v>0</v>
      </c>
      <c r="AC272" s="114"/>
      <c r="AD272" s="405">
        <v>0</v>
      </c>
      <c r="AE272" s="114"/>
      <c r="AF272" s="405">
        <f>SUM(AF270:AF271)</f>
        <v>39543</v>
      </c>
      <c r="AG272" s="114"/>
      <c r="AH272" s="405">
        <f>SUM(AH270:AH271)</f>
        <v>0</v>
      </c>
      <c r="AI272" s="114"/>
      <c r="AJ272" s="405">
        <v>0</v>
      </c>
      <c r="AL272" s="405">
        <v>0</v>
      </c>
    </row>
    <row r="273" spans="1:38">
      <c r="A273" s="397">
        <v>261</v>
      </c>
      <c r="B273" s="417"/>
      <c r="C273" s="114"/>
      <c r="D273" s="114"/>
      <c r="E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L273" s="114"/>
    </row>
    <row r="274" spans="1:38">
      <c r="A274" s="397">
        <v>262</v>
      </c>
      <c r="B274" s="417" t="s">
        <v>222</v>
      </c>
      <c r="C274" s="114"/>
      <c r="D274" s="114"/>
      <c r="E274" s="114"/>
      <c r="H274" s="260"/>
      <c r="I274" s="114"/>
      <c r="J274" s="260">
        <v>-2282375</v>
      </c>
      <c r="K274" s="114"/>
      <c r="L274" s="260"/>
      <c r="M274" s="114"/>
      <c r="N274" s="260">
        <v>-65397108</v>
      </c>
      <c r="O274" s="114"/>
      <c r="P274" s="260">
        <v>0</v>
      </c>
      <c r="Q274" s="260">
        <v>0</v>
      </c>
      <c r="R274" s="260">
        <v>0</v>
      </c>
      <c r="S274" s="114"/>
      <c r="T274" s="260">
        <v>-47200</v>
      </c>
      <c r="U274" s="114"/>
      <c r="V274" s="260">
        <v>0</v>
      </c>
      <c r="W274" s="114"/>
      <c r="X274" s="260">
        <v>0</v>
      </c>
      <c r="Y274" s="114"/>
      <c r="Z274" s="260">
        <v>-832550</v>
      </c>
      <c r="AA274" s="114"/>
      <c r="AB274" s="260"/>
      <c r="AC274" s="114"/>
      <c r="AD274" s="260"/>
      <c r="AE274" s="114"/>
      <c r="AF274" s="260">
        <v>-84376</v>
      </c>
      <c r="AG274" s="114"/>
      <c r="AH274" s="260"/>
      <c r="AI274" s="114"/>
      <c r="AJ274" s="260"/>
      <c r="AL274" s="260"/>
    </row>
    <row r="275" spans="1:38">
      <c r="A275" s="397">
        <v>263</v>
      </c>
      <c r="B275" s="417" t="s">
        <v>222</v>
      </c>
      <c r="C275" s="114"/>
      <c r="D275" s="114"/>
      <c r="E275" s="114"/>
      <c r="H275" s="260"/>
      <c r="I275" s="114"/>
      <c r="J275" s="260">
        <v>0</v>
      </c>
      <c r="K275" s="114"/>
      <c r="L275" s="260"/>
      <c r="M275" s="114"/>
      <c r="N275" s="260"/>
      <c r="O275" s="114"/>
      <c r="P275" s="260">
        <v>0</v>
      </c>
      <c r="Q275" s="260">
        <v>0</v>
      </c>
      <c r="R275" s="260"/>
      <c r="S275" s="114"/>
      <c r="T275" s="785">
        <f>-2544875-7182</f>
        <v>-2552057</v>
      </c>
      <c r="U275" s="114"/>
      <c r="V275" s="260"/>
      <c r="W275" s="114"/>
      <c r="X275" s="260">
        <v>0</v>
      </c>
      <c r="Y275" s="114"/>
      <c r="Z275" s="260"/>
      <c r="AA275" s="114"/>
      <c r="AB275" s="260"/>
      <c r="AC275" s="114"/>
      <c r="AD275" s="260"/>
      <c r="AE275" s="114"/>
      <c r="AF275" s="260">
        <v>0</v>
      </c>
      <c r="AG275" s="114"/>
      <c r="AH275" s="260">
        <v>0</v>
      </c>
      <c r="AI275" s="114"/>
      <c r="AJ275" s="260"/>
      <c r="AL275" s="260"/>
    </row>
    <row r="276" spans="1:38">
      <c r="A276" s="397">
        <v>264</v>
      </c>
      <c r="B276" s="114"/>
      <c r="C276" s="404" t="s">
        <v>66</v>
      </c>
      <c r="D276" s="114"/>
      <c r="E276" s="114"/>
      <c r="H276" s="405">
        <v>0</v>
      </c>
      <c r="I276" s="114"/>
      <c r="J276" s="405">
        <f>SUM(J274:J275)</f>
        <v>-2282375</v>
      </c>
      <c r="K276" s="114"/>
      <c r="L276" s="405">
        <v>0</v>
      </c>
      <c r="M276" s="114"/>
      <c r="N276" s="405">
        <f>SUM(N274:N275)</f>
        <v>-65397108</v>
      </c>
      <c r="O276" s="114"/>
      <c r="P276" s="405">
        <v>0</v>
      </c>
      <c r="Q276" s="405">
        <v>0</v>
      </c>
      <c r="R276" s="405">
        <f>R274+R275</f>
        <v>0</v>
      </c>
      <c r="S276" s="114"/>
      <c r="T276" s="405">
        <f>SUM(T274:T275)</f>
        <v>-2599257</v>
      </c>
      <c r="U276" s="114"/>
      <c r="V276" s="405">
        <f>SUM(V274:V275)</f>
        <v>0</v>
      </c>
      <c r="W276" s="114"/>
      <c r="X276" s="405">
        <f>SUM(X274:X275)</f>
        <v>0</v>
      </c>
      <c r="Y276" s="114"/>
      <c r="Z276" s="405">
        <f>SUM(Z274:Z275)</f>
        <v>-832550</v>
      </c>
      <c r="AA276" s="114"/>
      <c r="AB276" s="405">
        <v>0</v>
      </c>
      <c r="AC276" s="114"/>
      <c r="AD276" s="405">
        <v>0</v>
      </c>
      <c r="AE276" s="114"/>
      <c r="AF276" s="405">
        <f>SUM(AF274:AF275)</f>
        <v>-84376</v>
      </c>
      <c r="AG276" s="114"/>
      <c r="AH276" s="405">
        <f>SUM(AH274:AH275)</f>
        <v>0</v>
      </c>
      <c r="AI276" s="114"/>
      <c r="AJ276" s="405">
        <v>0</v>
      </c>
      <c r="AL276" s="405">
        <v>0</v>
      </c>
    </row>
    <row r="277" spans="1:38">
      <c r="A277" s="397">
        <v>265</v>
      </c>
      <c r="B277" s="417"/>
      <c r="C277" s="114"/>
      <c r="D277" s="114"/>
      <c r="E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L277" s="114"/>
    </row>
    <row r="278" spans="1:38">
      <c r="A278" s="397">
        <v>266</v>
      </c>
      <c r="B278" s="114"/>
      <c r="C278" s="409" t="s">
        <v>67</v>
      </c>
      <c r="D278" s="114"/>
      <c r="E278" s="114"/>
      <c r="H278" s="405">
        <f>SUM(H255:H260,H264,H265:H268,H272,H276)</f>
        <v>964779283</v>
      </c>
      <c r="I278" s="114"/>
      <c r="J278" s="405">
        <f>SUM(J255:J260,J264,J265:J268,J272,J276)</f>
        <v>-123310316</v>
      </c>
      <c r="K278" s="114"/>
      <c r="L278" s="405">
        <f>SUM(L255:L260,L264,L265:L268,L272,L276)</f>
        <v>120614873</v>
      </c>
      <c r="M278" s="114"/>
      <c r="N278" s="405">
        <f>SUM(N255:N260,N264,N265:N268,N272,N276)</f>
        <v>257888192</v>
      </c>
      <c r="O278" s="114"/>
      <c r="P278" s="405">
        <f>SUM(P255:P260,P264,P265:P268,P272,P276)</f>
        <v>3718672</v>
      </c>
      <c r="Q278" s="405">
        <f>SUM(Q255:Q260,Q264,Q265:Q268,Q272,Q276)</f>
        <v>278113</v>
      </c>
      <c r="R278" s="405">
        <f>SUM(R255:R260,R264,R265:R268,R272,R276)</f>
        <v>-2914077</v>
      </c>
      <c r="S278" s="114"/>
      <c r="T278" s="405">
        <f>SUM(T255:T260,T264,T265:T268,T272,T276)</f>
        <v>-1550725</v>
      </c>
      <c r="U278" s="114"/>
      <c r="V278" s="405">
        <f>SUM(V255:V260,V264,V265:V268,V272,V276)</f>
        <v>4319328</v>
      </c>
      <c r="W278" s="114"/>
      <c r="X278" s="405">
        <f>SUM(X255:X260,X264,X265:X268,X272,X276)</f>
        <v>21998623</v>
      </c>
      <c r="Y278" s="114"/>
      <c r="Z278" s="405">
        <f>SUM(Z255:Z260,Z264,Z265:Z268,Z272,Z276)</f>
        <v>-618638</v>
      </c>
      <c r="AA278" s="114"/>
      <c r="AB278" s="405">
        <f>SUM(AB255:AB260,AB264,AB265:AB268,AB272,AB276)</f>
        <v>22579881</v>
      </c>
      <c r="AC278" s="114"/>
      <c r="AD278" s="405">
        <f>SUM(AD255:AD260,AD264,AD265:AD268,AD272,AD276)</f>
        <v>-205287</v>
      </c>
      <c r="AE278" s="114"/>
      <c r="AF278" s="405">
        <f>SUM(AF255:AF260,AF264,AF265:AF268,AF272,AF276)</f>
        <v>318146</v>
      </c>
      <c r="AG278" s="114"/>
      <c r="AH278" s="405">
        <f>SUM(AH255:AH260,AH264,AH265:AH268,AH272,AH276)</f>
        <v>0</v>
      </c>
      <c r="AI278" s="114"/>
      <c r="AJ278" s="405">
        <f>SUM(AJ255:AJ260,AJ264,AJ265:AJ268,AJ272,AJ276)</f>
        <v>31982</v>
      </c>
      <c r="AL278" s="405">
        <f>SUM(AL255:AL260,AL264,AL265:AL268,AL272,AL276)</f>
        <v>-1629019</v>
      </c>
    </row>
    <row r="279" spans="1:38">
      <c r="A279" s="397">
        <v>267</v>
      </c>
      <c r="B279" s="417"/>
      <c r="C279" s="114"/>
      <c r="D279" s="114"/>
      <c r="E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L279" s="114"/>
    </row>
    <row r="280" spans="1:38">
      <c r="A280" s="397">
        <v>268</v>
      </c>
      <c r="B280" s="398" t="s">
        <v>68</v>
      </c>
      <c r="C280" s="114"/>
      <c r="D280" s="114"/>
      <c r="E280" s="114"/>
      <c r="H280" s="114"/>
      <c r="I280" s="114"/>
      <c r="J280" s="114"/>
      <c r="K280" s="114"/>
      <c r="L280" s="400"/>
      <c r="M280" s="114"/>
      <c r="N280" s="400"/>
      <c r="O280" s="114"/>
      <c r="P280" s="400"/>
      <c r="Q280" s="400"/>
      <c r="R280" s="114"/>
      <c r="S280" s="114"/>
      <c r="T280" s="114"/>
      <c r="U280" s="114"/>
      <c r="V280" s="114"/>
      <c r="W280" s="114"/>
      <c r="X280" s="114"/>
      <c r="Y280" s="114"/>
      <c r="Z280" s="114"/>
      <c r="AA280" s="114"/>
      <c r="AB280" s="114"/>
      <c r="AC280" s="114"/>
      <c r="AD280" s="114"/>
      <c r="AE280" s="114"/>
      <c r="AF280" s="114"/>
      <c r="AG280" s="114"/>
      <c r="AH280" s="114"/>
      <c r="AI280" s="114"/>
      <c r="AJ280" s="114"/>
      <c r="AL280" s="114"/>
    </row>
    <row r="281" spans="1:38">
      <c r="A281" s="397">
        <v>269</v>
      </c>
      <c r="B281" s="409" t="s">
        <v>69</v>
      </c>
      <c r="C281" s="114"/>
      <c r="D281" s="114"/>
      <c r="E281" s="114"/>
      <c r="H281" s="260"/>
      <c r="I281" s="114"/>
      <c r="J281" s="260">
        <v>0</v>
      </c>
      <c r="K281" s="114"/>
      <c r="L281" s="260">
        <v>2245446</v>
      </c>
      <c r="M281" s="114"/>
      <c r="N281" s="260">
        <v>1865289</v>
      </c>
      <c r="O281" s="114"/>
      <c r="P281" s="260">
        <v>0</v>
      </c>
      <c r="Q281" s="260">
        <v>0</v>
      </c>
      <c r="R281" s="260"/>
      <c r="S281" s="114"/>
      <c r="T281" s="260">
        <v>0</v>
      </c>
      <c r="U281" s="114"/>
      <c r="V281" s="260">
        <v>0</v>
      </c>
      <c r="W281" s="114"/>
      <c r="X281" s="260">
        <v>0</v>
      </c>
      <c r="Y281" s="114"/>
      <c r="Z281" s="260">
        <v>0</v>
      </c>
      <c r="AA281" s="114"/>
      <c r="AB281" s="260"/>
      <c r="AC281" s="114"/>
      <c r="AD281" s="260"/>
      <c r="AE281" s="114"/>
      <c r="AF281" s="260"/>
      <c r="AG281" s="114"/>
      <c r="AH281" s="260"/>
      <c r="AI281" s="114"/>
      <c r="AJ281" s="260"/>
      <c r="AL281" s="260">
        <v>30226</v>
      </c>
    </row>
    <row r="282" spans="1:38">
      <c r="A282" s="397">
        <v>270</v>
      </c>
      <c r="B282" s="409" t="s">
        <v>70</v>
      </c>
      <c r="C282" s="114"/>
      <c r="D282" s="114"/>
      <c r="E282" s="114"/>
      <c r="H282" s="260">
        <v>-784957370</v>
      </c>
      <c r="I282" s="114"/>
      <c r="J282" s="260">
        <v>-292414</v>
      </c>
      <c r="K282" s="114"/>
      <c r="L282" s="260">
        <v>-3843020</v>
      </c>
      <c r="M282" s="114"/>
      <c r="N282" s="260">
        <v>-580151273</v>
      </c>
      <c r="O282" s="114"/>
      <c r="P282" s="260">
        <v>0</v>
      </c>
      <c r="Q282" s="260">
        <v>0</v>
      </c>
      <c r="R282" s="260">
        <v>-513704</v>
      </c>
      <c r="S282" s="114"/>
      <c r="T282" s="260"/>
      <c r="U282" s="114"/>
      <c r="V282" s="260">
        <v>-1702690</v>
      </c>
      <c r="W282" s="114"/>
      <c r="X282" s="260"/>
      <c r="Y282" s="114"/>
      <c r="Z282" s="260">
        <v>0</v>
      </c>
      <c r="AA282" s="114"/>
      <c r="AB282" s="260">
        <v>-13450000</v>
      </c>
      <c r="AC282" s="114"/>
      <c r="AD282" s="260">
        <v>-13651</v>
      </c>
      <c r="AE282" s="114"/>
      <c r="AF282" s="260"/>
      <c r="AG282" s="114"/>
      <c r="AH282" s="260"/>
      <c r="AI282" s="114"/>
      <c r="AJ282" s="260">
        <v>-30834</v>
      </c>
      <c r="AL282" s="260">
        <v>-304591</v>
      </c>
    </row>
    <row r="283" spans="1:38">
      <c r="A283" s="397">
        <v>271</v>
      </c>
      <c r="B283" s="409"/>
      <c r="C283" s="114"/>
      <c r="D283" s="114"/>
      <c r="E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L283" s="114"/>
    </row>
    <row r="284" spans="1:38">
      <c r="A284" s="397">
        <v>272</v>
      </c>
      <c r="B284" s="417" t="s">
        <v>71</v>
      </c>
      <c r="C284" s="114"/>
      <c r="D284" s="114"/>
      <c r="E284" s="114"/>
      <c r="H284" s="260"/>
      <c r="I284" s="114"/>
      <c r="J284" s="260">
        <v>2000000</v>
      </c>
      <c r="K284" s="114"/>
      <c r="L284" s="260">
        <v>0</v>
      </c>
      <c r="M284" s="114"/>
      <c r="N284" s="260">
        <v>52507190</v>
      </c>
      <c r="O284" s="114">
        <v>0</v>
      </c>
      <c r="P284" s="260">
        <v>0</v>
      </c>
      <c r="Q284" s="260">
        <v>0</v>
      </c>
      <c r="R284" s="260">
        <v>0</v>
      </c>
      <c r="S284" s="114"/>
      <c r="T284" s="260"/>
      <c r="U284" s="114"/>
      <c r="V284" s="260"/>
      <c r="W284" s="114"/>
      <c r="X284" s="260"/>
      <c r="Y284" s="114"/>
      <c r="Z284" s="260"/>
      <c r="AA284" s="114"/>
      <c r="AB284" s="260"/>
      <c r="AC284" s="114"/>
      <c r="AD284" s="260"/>
      <c r="AE284" s="114"/>
      <c r="AF284" s="260"/>
      <c r="AG284" s="114"/>
      <c r="AH284" s="260"/>
      <c r="AI284" s="114"/>
      <c r="AJ284" s="260"/>
      <c r="AL284" s="260"/>
    </row>
    <row r="285" spans="1:38">
      <c r="A285" s="397">
        <v>273</v>
      </c>
      <c r="B285" s="419" t="s">
        <v>210</v>
      </c>
      <c r="C285" s="418"/>
      <c r="D285" s="418"/>
      <c r="E285" s="418"/>
      <c r="H285" s="260"/>
      <c r="I285" s="114"/>
      <c r="J285" s="260"/>
      <c r="K285" s="114"/>
      <c r="L285" s="260">
        <v>0</v>
      </c>
      <c r="M285" s="114"/>
      <c r="N285" s="260">
        <v>0</v>
      </c>
      <c r="O285" s="114"/>
      <c r="P285" s="260">
        <v>0</v>
      </c>
      <c r="Q285" s="260">
        <v>0</v>
      </c>
      <c r="R285" s="260"/>
      <c r="S285" s="114"/>
      <c r="T285" s="260"/>
      <c r="U285" s="114"/>
      <c r="V285" s="260"/>
      <c r="W285" s="114"/>
      <c r="X285" s="260"/>
      <c r="Y285" s="114"/>
      <c r="Z285" s="260"/>
      <c r="AA285" s="114"/>
      <c r="AB285" s="260"/>
      <c r="AC285" s="114"/>
      <c r="AD285" s="260"/>
      <c r="AE285" s="114"/>
      <c r="AF285" s="260"/>
      <c r="AG285" s="114"/>
      <c r="AH285" s="260"/>
      <c r="AI285" s="114"/>
      <c r="AJ285" s="260"/>
      <c r="AL285" s="260"/>
    </row>
    <row r="286" spans="1:38">
      <c r="A286" s="397">
        <v>274</v>
      </c>
      <c r="B286" s="419" t="s">
        <v>3017</v>
      </c>
      <c r="C286" s="418"/>
      <c r="D286" s="418"/>
      <c r="E286" s="418"/>
      <c r="H286" s="260"/>
      <c r="I286" s="114"/>
      <c r="J286" s="260"/>
      <c r="K286" s="114"/>
      <c r="L286" s="260">
        <v>0</v>
      </c>
      <c r="M286" s="114"/>
      <c r="N286" s="260">
        <v>0</v>
      </c>
      <c r="O286" s="114"/>
      <c r="P286" s="260">
        <v>0</v>
      </c>
      <c r="Q286" s="260">
        <v>0</v>
      </c>
      <c r="R286" s="260"/>
      <c r="S286" s="114"/>
      <c r="T286" s="260"/>
      <c r="U286" s="114"/>
      <c r="V286" s="260"/>
      <c r="W286" s="114"/>
      <c r="X286" s="260"/>
      <c r="Y286" s="114"/>
      <c r="Z286" s="260"/>
      <c r="AA286" s="114"/>
      <c r="AB286" s="260"/>
      <c r="AC286" s="114"/>
      <c r="AD286" s="260"/>
      <c r="AE286" s="114"/>
      <c r="AF286" s="260"/>
      <c r="AG286" s="114"/>
      <c r="AH286" s="260"/>
      <c r="AI286" s="114"/>
      <c r="AJ286" s="260"/>
      <c r="AL286" s="260"/>
    </row>
    <row r="287" spans="1:38">
      <c r="A287" s="397">
        <v>275</v>
      </c>
      <c r="B287" s="417" t="s">
        <v>211</v>
      </c>
      <c r="C287" s="114"/>
      <c r="D287" s="114"/>
      <c r="E287" s="114"/>
      <c r="H287" s="260"/>
      <c r="I287" s="114"/>
      <c r="J287" s="260"/>
      <c r="K287" s="114"/>
      <c r="L287" s="260">
        <v>0</v>
      </c>
      <c r="M287" s="114"/>
      <c r="N287" s="260">
        <v>348602564</v>
      </c>
      <c r="O287" s="114"/>
      <c r="P287" s="260">
        <v>0</v>
      </c>
      <c r="Q287" s="260">
        <v>0</v>
      </c>
      <c r="R287" s="260"/>
      <c r="S287" s="114"/>
      <c r="T287" s="260"/>
      <c r="U287" s="114"/>
      <c r="V287" s="260"/>
      <c r="W287" s="114"/>
      <c r="X287" s="260"/>
      <c r="Y287" s="114"/>
      <c r="Z287" s="260"/>
      <c r="AA287" s="114"/>
      <c r="AB287" s="260"/>
      <c r="AC287" s="114"/>
      <c r="AD287" s="260"/>
      <c r="AE287" s="114"/>
      <c r="AF287" s="260"/>
      <c r="AG287" s="114"/>
      <c r="AH287" s="260"/>
      <c r="AI287" s="114"/>
      <c r="AJ287" s="260"/>
      <c r="AL287" s="260"/>
    </row>
    <row r="288" spans="1:38">
      <c r="A288" s="397">
        <v>276</v>
      </c>
      <c r="B288" s="417" t="s">
        <v>320</v>
      </c>
      <c r="C288" s="114"/>
      <c r="D288" s="114"/>
      <c r="E288" s="114"/>
      <c r="H288" s="260">
        <v>514868</v>
      </c>
      <c r="I288" s="114"/>
      <c r="J288" s="260"/>
      <c r="K288" s="114"/>
      <c r="L288" s="260">
        <v>0</v>
      </c>
      <c r="M288" s="114"/>
      <c r="N288" s="260">
        <v>279356</v>
      </c>
      <c r="O288" s="114"/>
      <c r="P288" s="260">
        <v>0</v>
      </c>
      <c r="Q288" s="260">
        <v>0</v>
      </c>
      <c r="R288" s="260"/>
      <c r="S288" s="114"/>
      <c r="T288" s="260"/>
      <c r="U288" s="114"/>
      <c r="V288" s="260">
        <v>0</v>
      </c>
      <c r="W288" s="114"/>
      <c r="X288" s="260"/>
      <c r="Y288" s="114"/>
      <c r="Z288" s="260"/>
      <c r="AA288" s="114"/>
      <c r="AB288" s="260"/>
      <c r="AC288" s="114"/>
      <c r="AD288" s="260"/>
      <c r="AE288" s="114"/>
      <c r="AF288" s="260"/>
      <c r="AG288" s="114"/>
      <c r="AH288" s="260"/>
      <c r="AI288" s="114"/>
      <c r="AJ288" s="260"/>
      <c r="AL288" s="260"/>
    </row>
    <row r="289" spans="1:38">
      <c r="A289" s="397">
        <v>277</v>
      </c>
      <c r="B289" s="417" t="s">
        <v>320</v>
      </c>
      <c r="C289" s="114"/>
      <c r="D289" s="114"/>
      <c r="E289" s="114"/>
      <c r="H289" s="260"/>
      <c r="I289" s="114"/>
      <c r="J289" s="260"/>
      <c r="K289" s="114"/>
      <c r="L289" s="260">
        <v>0</v>
      </c>
      <c r="M289" s="114"/>
      <c r="N289" s="260">
        <v>0</v>
      </c>
      <c r="O289" s="114"/>
      <c r="P289" s="260">
        <v>0</v>
      </c>
      <c r="Q289" s="260">
        <v>0</v>
      </c>
      <c r="R289" s="260"/>
      <c r="S289" s="114"/>
      <c r="T289" s="260"/>
      <c r="U289" s="114"/>
      <c r="V289" s="260"/>
      <c r="W289" s="114"/>
      <c r="X289" s="260"/>
      <c r="Y289" s="114"/>
      <c r="Z289" s="260"/>
      <c r="AA289" s="114"/>
      <c r="AB289" s="260"/>
      <c r="AC289" s="114"/>
      <c r="AD289" s="260"/>
      <c r="AE289" s="114"/>
      <c r="AF289" s="260"/>
      <c r="AG289" s="114"/>
      <c r="AH289" s="260"/>
      <c r="AI289" s="114"/>
      <c r="AJ289" s="260"/>
      <c r="AL289" s="260"/>
    </row>
    <row r="290" spans="1:38">
      <c r="A290" s="397">
        <v>278</v>
      </c>
      <c r="B290" s="409"/>
      <c r="C290" s="404" t="s">
        <v>74</v>
      </c>
      <c r="D290" s="114"/>
      <c r="E290" s="114"/>
      <c r="H290" s="405">
        <f>SUM(H284:H289)</f>
        <v>514868</v>
      </c>
      <c r="I290" s="114"/>
      <c r="J290" s="405">
        <f>SUM(J284:J289)</f>
        <v>2000000</v>
      </c>
      <c r="K290" s="114"/>
      <c r="L290" s="405">
        <f>SUM(L284:L289)</f>
        <v>0</v>
      </c>
      <c r="M290" s="114"/>
      <c r="N290" s="405">
        <f>SUM(N284:N289)</f>
        <v>401389110</v>
      </c>
      <c r="O290" s="114"/>
      <c r="P290" s="405">
        <f>SUM(P284:P289)</f>
        <v>0</v>
      </c>
      <c r="Q290" s="405">
        <f>SUM(Q284:Q289)</f>
        <v>0</v>
      </c>
      <c r="R290" s="405">
        <f>SUM(R284:R289)</f>
        <v>0</v>
      </c>
      <c r="S290" s="114"/>
      <c r="T290" s="405">
        <v>0</v>
      </c>
      <c r="U290" s="114"/>
      <c r="V290" s="405">
        <v>0</v>
      </c>
      <c r="W290" s="114"/>
      <c r="X290" s="405">
        <f>SUM(X284:X289)</f>
        <v>0</v>
      </c>
      <c r="Y290" s="114"/>
      <c r="Z290" s="405">
        <v>0</v>
      </c>
      <c r="AA290" s="114"/>
      <c r="AB290" s="405">
        <v>0</v>
      </c>
      <c r="AC290" s="114"/>
      <c r="AD290" s="405">
        <f>SUM(AD284:AD289)</f>
        <v>0</v>
      </c>
      <c r="AE290" s="114"/>
      <c r="AF290" s="405">
        <f>SUM(AF284:AF289)</f>
        <v>0</v>
      </c>
      <c r="AG290" s="114"/>
      <c r="AH290" s="405"/>
      <c r="AI290" s="114"/>
      <c r="AJ290" s="405">
        <v>0</v>
      </c>
      <c r="AL290" s="405">
        <f>SUM(AL284:AL289)</f>
        <v>0</v>
      </c>
    </row>
    <row r="291" spans="1:38">
      <c r="A291" s="397">
        <v>279</v>
      </c>
      <c r="B291" s="409"/>
      <c r="C291" s="404"/>
      <c r="D291" s="114"/>
      <c r="E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L291" s="114"/>
    </row>
    <row r="292" spans="1:38">
      <c r="A292" s="397">
        <v>280</v>
      </c>
      <c r="B292" s="417" t="s">
        <v>212</v>
      </c>
      <c r="C292" s="114"/>
      <c r="D292" s="114"/>
      <c r="E292" s="114"/>
      <c r="H292" s="260"/>
      <c r="I292" s="114"/>
      <c r="J292" s="260"/>
      <c r="K292" s="114"/>
      <c r="L292" s="260"/>
      <c r="M292" s="114"/>
      <c r="N292" s="260">
        <v>-43688626</v>
      </c>
      <c r="O292" s="114"/>
      <c r="P292" s="260">
        <v>0</v>
      </c>
      <c r="Q292" s="260">
        <v>0</v>
      </c>
      <c r="R292" s="260"/>
      <c r="S292" s="114"/>
      <c r="T292" s="260"/>
      <c r="U292" s="114"/>
      <c r="V292" s="260"/>
      <c r="W292" s="114"/>
      <c r="X292" s="260">
        <v>-1500000</v>
      </c>
      <c r="Y292" s="114"/>
      <c r="Z292" s="260"/>
      <c r="AA292" s="114"/>
      <c r="AB292" s="260"/>
      <c r="AC292" s="114"/>
      <c r="AD292" s="260"/>
      <c r="AE292" s="114"/>
      <c r="AF292" s="260"/>
      <c r="AG292" s="114"/>
      <c r="AH292" s="260"/>
      <c r="AI292" s="114"/>
      <c r="AJ292" s="260"/>
      <c r="AL292" s="260"/>
    </row>
    <row r="293" spans="1:38">
      <c r="A293" s="397">
        <v>281</v>
      </c>
      <c r="B293" s="417" t="s">
        <v>321</v>
      </c>
      <c r="C293" s="114"/>
      <c r="D293" s="114"/>
      <c r="E293" s="114"/>
      <c r="H293" s="260"/>
      <c r="I293" s="114"/>
      <c r="J293" s="260"/>
      <c r="K293" s="114"/>
      <c r="L293" s="260">
        <v>0</v>
      </c>
      <c r="M293" s="114"/>
      <c r="N293" s="260">
        <v>0</v>
      </c>
      <c r="O293" s="114"/>
      <c r="P293" s="260">
        <v>0</v>
      </c>
      <c r="Q293" s="260">
        <v>0</v>
      </c>
      <c r="R293" s="260"/>
      <c r="S293" s="114"/>
      <c r="T293" s="260"/>
      <c r="U293" s="114"/>
      <c r="V293" s="260">
        <v>-200000</v>
      </c>
      <c r="W293" s="114"/>
      <c r="X293" s="260"/>
      <c r="Y293" s="114"/>
      <c r="Z293" s="260"/>
      <c r="AA293" s="114"/>
      <c r="AB293" s="260"/>
      <c r="AC293" s="114"/>
      <c r="AD293" s="260"/>
      <c r="AE293" s="114"/>
      <c r="AF293" s="260">
        <f>-30000+30000</f>
        <v>0</v>
      </c>
      <c r="AG293" s="114"/>
      <c r="AH293" s="260"/>
      <c r="AI293" s="114"/>
      <c r="AJ293" s="260"/>
      <c r="AL293" s="260"/>
    </row>
    <row r="294" spans="1:38">
      <c r="A294" s="397">
        <v>282</v>
      </c>
      <c r="B294" s="417" t="s">
        <v>321</v>
      </c>
      <c r="C294" s="114"/>
      <c r="D294" s="114"/>
      <c r="E294" s="114"/>
      <c r="H294" s="260"/>
      <c r="I294" s="114"/>
      <c r="J294" s="260"/>
      <c r="K294" s="114"/>
      <c r="L294" s="260"/>
      <c r="M294" s="114"/>
      <c r="N294" s="260">
        <v>0</v>
      </c>
      <c r="O294" s="114"/>
      <c r="P294" s="260">
        <v>0</v>
      </c>
      <c r="Q294" s="260">
        <v>0</v>
      </c>
      <c r="R294" s="260"/>
      <c r="S294" s="114"/>
      <c r="T294" s="260"/>
      <c r="U294" s="114"/>
      <c r="V294" s="260"/>
      <c r="W294" s="114"/>
      <c r="X294" s="260"/>
      <c r="Y294" s="114"/>
      <c r="Z294" s="260"/>
      <c r="AA294" s="114"/>
      <c r="AB294" s="260"/>
      <c r="AC294" s="114"/>
      <c r="AD294" s="260"/>
      <c r="AE294" s="114"/>
      <c r="AF294" s="260"/>
      <c r="AG294" s="114"/>
      <c r="AH294" s="260"/>
      <c r="AI294" s="114"/>
      <c r="AJ294" s="260"/>
      <c r="AL294" s="260"/>
    </row>
    <row r="295" spans="1:38">
      <c r="A295" s="397">
        <v>283</v>
      </c>
      <c r="B295" s="417"/>
      <c r="C295" s="404" t="s">
        <v>75</v>
      </c>
      <c r="D295" s="114"/>
      <c r="E295" s="114"/>
      <c r="H295" s="400">
        <f>SUM(H292:H294)</f>
        <v>0</v>
      </c>
      <c r="I295" s="114"/>
      <c r="J295" s="400">
        <v>0</v>
      </c>
      <c r="K295" s="114"/>
      <c r="L295" s="400">
        <f>SUM(L292:L294)</f>
        <v>0</v>
      </c>
      <c r="M295" s="114"/>
      <c r="N295" s="400">
        <f>SUM(N292:N294)</f>
        <v>-43688626</v>
      </c>
      <c r="O295" s="114"/>
      <c r="P295" s="400">
        <f>SUM(P292:P294)</f>
        <v>0</v>
      </c>
      <c r="Q295" s="400">
        <f>SUM(Q292:Q294)</f>
        <v>0</v>
      </c>
      <c r="R295" s="400">
        <f>SUM(R292:R294)</f>
        <v>0</v>
      </c>
      <c r="S295" s="114"/>
      <c r="T295" s="400">
        <f>SUM(T292:T294)</f>
        <v>0</v>
      </c>
      <c r="U295" s="114"/>
      <c r="V295" s="400">
        <f>SUM(V292:V294)</f>
        <v>-200000</v>
      </c>
      <c r="W295" s="114"/>
      <c r="X295" s="400">
        <f>SUM(X292:X294)</f>
        <v>-1500000</v>
      </c>
      <c r="Y295" s="400"/>
      <c r="Z295" s="400">
        <f>SUM(Z292:Z294)</f>
        <v>0</v>
      </c>
      <c r="AA295" s="114"/>
      <c r="AB295" s="400">
        <f>SUM(AB292:AB294)</f>
        <v>0</v>
      </c>
      <c r="AC295" s="114"/>
      <c r="AD295" s="400">
        <f>SUM(AD292:AD294)</f>
        <v>0</v>
      </c>
      <c r="AE295" s="114"/>
      <c r="AF295" s="400">
        <f>SUM(AF292:AF294)</f>
        <v>0</v>
      </c>
      <c r="AG295" s="114"/>
      <c r="AH295" s="400"/>
      <c r="AI295" s="114"/>
      <c r="AJ295" s="400">
        <f>SUM(AJ293:AJ294)</f>
        <v>0</v>
      </c>
      <c r="AL295" s="400">
        <f>SUM(AL292:AL294)</f>
        <v>0</v>
      </c>
    </row>
    <row r="296" spans="1:38">
      <c r="A296" s="397">
        <v>284</v>
      </c>
      <c r="B296" s="417"/>
      <c r="C296" s="114"/>
      <c r="D296" s="114"/>
      <c r="E296" s="114"/>
      <c r="H296" s="114"/>
      <c r="I296" s="114"/>
      <c r="J296" s="114"/>
      <c r="K296" s="114"/>
      <c r="L296" s="114"/>
      <c r="M296" s="114"/>
      <c r="N296" s="114"/>
      <c r="O296" s="114"/>
      <c r="P296" s="114"/>
      <c r="Q296" s="114"/>
      <c r="R296" s="114"/>
      <c r="S296" s="114"/>
      <c r="T296" s="114"/>
      <c r="U296" s="114"/>
      <c r="V296" s="114"/>
      <c r="W296" s="114"/>
      <c r="X296" s="114"/>
      <c r="Y296" s="114"/>
      <c r="Z296" s="405"/>
      <c r="AA296" s="114"/>
      <c r="AB296" s="114"/>
      <c r="AC296" s="114"/>
      <c r="AD296" s="114"/>
      <c r="AE296" s="114"/>
      <c r="AF296" s="114"/>
      <c r="AG296" s="114"/>
      <c r="AH296" s="114"/>
      <c r="AI296" s="114"/>
      <c r="AJ296" s="114"/>
      <c r="AL296" s="114"/>
    </row>
    <row r="297" spans="1:38">
      <c r="A297" s="397">
        <v>285</v>
      </c>
      <c r="B297" s="114"/>
      <c r="C297" s="409" t="s">
        <v>76</v>
      </c>
      <c r="D297" s="114"/>
      <c r="E297" s="114"/>
      <c r="H297" s="405">
        <f>SUM(H281:H282,H290,H295)</f>
        <v>-784442502</v>
      </c>
      <c r="I297" s="114"/>
      <c r="J297" s="405">
        <f>SUM(J281:J282,J290,J295)</f>
        <v>1707586</v>
      </c>
      <c r="K297" s="114"/>
      <c r="L297" s="405">
        <f>SUM(L281:L282,L290,L295)</f>
        <v>-1597574</v>
      </c>
      <c r="M297" s="114"/>
      <c r="N297" s="405">
        <f>SUM(N281:N282,N290,N295)</f>
        <v>-220585500</v>
      </c>
      <c r="O297" s="114"/>
      <c r="P297" s="405">
        <f>SUM(P281:P282,P290,P295)</f>
        <v>0</v>
      </c>
      <c r="Q297" s="405">
        <f>SUM(Q281:Q282,Q290,Q295)</f>
        <v>0</v>
      </c>
      <c r="R297" s="405">
        <f>SUM(R281:R282,R290,R295)</f>
        <v>-513704</v>
      </c>
      <c r="S297" s="114"/>
      <c r="T297" s="405">
        <f>SUM(T281:T282,T290,T295)</f>
        <v>0</v>
      </c>
      <c r="U297" s="114"/>
      <c r="V297" s="405">
        <f>SUM(V281:V282,V290,V295)</f>
        <v>-1902690</v>
      </c>
      <c r="W297" s="114"/>
      <c r="X297" s="405">
        <f>SUM(X281:X282,X290,X295)</f>
        <v>-1500000</v>
      </c>
      <c r="Y297" s="114"/>
      <c r="Z297" s="405">
        <f>SUM(Z281:Z282,Z290,Z295)</f>
        <v>0</v>
      </c>
      <c r="AA297" s="114"/>
      <c r="AB297" s="405">
        <f>SUM(AB281:AB282,AB290,AB295)</f>
        <v>-13450000</v>
      </c>
      <c r="AC297" s="114"/>
      <c r="AD297" s="405">
        <f>SUM(AD281:AD282,AD290,AD295)</f>
        <v>-13651</v>
      </c>
      <c r="AE297" s="114"/>
      <c r="AF297" s="405">
        <f>SUM(AF281:AF282,AF290,AF295)</f>
        <v>0</v>
      </c>
      <c r="AG297" s="114"/>
      <c r="AH297" s="405"/>
      <c r="AI297" s="114"/>
      <c r="AJ297" s="405">
        <f>SUM(AJ281:AJ282,AJ290,AJ295)</f>
        <v>-30834</v>
      </c>
      <c r="AL297" s="405">
        <f>SUM(AL281:AL282,AL290,AL295)</f>
        <v>-274365</v>
      </c>
    </row>
    <row r="298" spans="1:38">
      <c r="A298" s="397">
        <v>286</v>
      </c>
      <c r="B298" s="114"/>
      <c r="C298" s="417"/>
      <c r="D298" s="114"/>
      <c r="E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L298" s="114"/>
    </row>
    <row r="299" spans="1:38">
      <c r="A299" s="397">
        <v>287</v>
      </c>
      <c r="B299" s="114"/>
      <c r="C299" s="417"/>
      <c r="D299" s="114"/>
      <c r="E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L299" s="114"/>
    </row>
    <row r="300" spans="1:38">
      <c r="A300" s="397">
        <v>288</v>
      </c>
      <c r="B300" s="1008"/>
      <c r="C300" s="1008"/>
      <c r="D300" s="1008"/>
      <c r="E300" s="1008"/>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L300" s="114"/>
    </row>
    <row r="301" spans="1:38">
      <c r="A301" s="397">
        <v>289</v>
      </c>
      <c r="B301" s="200"/>
      <c r="C301" s="398"/>
      <c r="D301" s="200"/>
      <c r="E301" s="200"/>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L301" s="114"/>
    </row>
    <row r="302" spans="1:38" ht="13.5" customHeight="1">
      <c r="A302" s="397">
        <v>290</v>
      </c>
      <c r="B302" s="200" t="str">
        <f>B250</f>
        <v>Statement of Cash Flows-Part 1</v>
      </c>
      <c r="C302" s="398"/>
      <c r="D302" s="200"/>
      <c r="E302" s="200"/>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L302" s="114"/>
    </row>
    <row r="303" spans="1:38">
      <c r="A303" s="397">
        <v>291</v>
      </c>
      <c r="B303" s="399"/>
      <c r="C303" s="416"/>
      <c r="D303" s="399"/>
      <c r="E303" s="399"/>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L303" s="114"/>
    </row>
    <row r="304" spans="1:38">
      <c r="A304" s="397">
        <v>292</v>
      </c>
      <c r="B304" s="114"/>
      <c r="C304" s="417"/>
      <c r="D304" s="114"/>
      <c r="E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98"/>
      <c r="AG304" s="114"/>
      <c r="AH304" s="198"/>
      <c r="AI304" s="114"/>
      <c r="AJ304" s="114"/>
      <c r="AL304" s="114"/>
    </row>
    <row r="305" spans="1:38">
      <c r="A305" s="397">
        <v>293</v>
      </c>
      <c r="B305" s="114"/>
      <c r="C305" s="417"/>
      <c r="D305" s="114"/>
      <c r="E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2"/>
      <c r="AG305" s="114"/>
      <c r="AH305" s="12"/>
      <c r="AI305" s="114"/>
      <c r="AJ305" s="114"/>
      <c r="AL305" s="114"/>
    </row>
    <row r="306" spans="1:38" ht="13.5" thickBot="1">
      <c r="A306" s="397">
        <v>294</v>
      </c>
      <c r="B306" s="416" t="s">
        <v>77</v>
      </c>
      <c r="C306" s="400"/>
      <c r="D306" s="400"/>
      <c r="E306" s="400"/>
      <c r="H306" s="412" t="s">
        <v>301</v>
      </c>
      <c r="I306" s="114"/>
      <c r="J306" s="412" t="s">
        <v>301</v>
      </c>
      <c r="K306" s="114"/>
      <c r="L306" s="412" t="s">
        <v>301</v>
      </c>
      <c r="M306" s="114"/>
      <c r="N306" s="412" t="s">
        <v>301</v>
      </c>
      <c r="O306" s="114"/>
      <c r="P306" s="412" t="s">
        <v>301</v>
      </c>
      <c r="Q306" s="412" t="s">
        <v>301</v>
      </c>
      <c r="R306" s="412" t="s">
        <v>301</v>
      </c>
      <c r="S306" s="114"/>
      <c r="T306" s="412" t="s">
        <v>301</v>
      </c>
      <c r="U306" s="114"/>
      <c r="V306" s="412" t="s">
        <v>301</v>
      </c>
      <c r="W306" s="114"/>
      <c r="X306" s="412" t="s">
        <v>301</v>
      </c>
      <c r="Y306" s="114"/>
      <c r="Z306" s="412" t="s">
        <v>301</v>
      </c>
      <c r="AA306" s="114"/>
      <c r="AB306" s="412" t="s">
        <v>301</v>
      </c>
      <c r="AC306" s="114"/>
      <c r="AD306" s="412" t="s">
        <v>301</v>
      </c>
      <c r="AE306" s="114"/>
      <c r="AF306" s="332" t="s">
        <v>301</v>
      </c>
      <c r="AG306" s="114"/>
      <c r="AH306" s="332" t="s">
        <v>301</v>
      </c>
      <c r="AI306" s="114"/>
      <c r="AJ306" s="412" t="s">
        <v>301</v>
      </c>
      <c r="AL306" s="412" t="s">
        <v>301</v>
      </c>
    </row>
    <row r="307" spans="1:38">
      <c r="A307" s="397">
        <v>295</v>
      </c>
      <c r="B307" s="398"/>
      <c r="C307" s="114"/>
      <c r="D307" s="114"/>
      <c r="E307" s="114"/>
      <c r="H307" s="114"/>
      <c r="I307" s="114"/>
      <c r="J307" s="114"/>
      <c r="K307" s="114"/>
      <c r="L307" s="114"/>
      <c r="M307" s="114"/>
      <c r="N307" s="114"/>
      <c r="O307" s="114"/>
      <c r="P307" s="114"/>
      <c r="Q307" s="114"/>
      <c r="R307" s="114"/>
      <c r="S307" s="114"/>
      <c r="T307" s="114"/>
      <c r="U307" s="114"/>
      <c r="V307" s="114"/>
      <c r="W307" s="114"/>
      <c r="X307" s="260"/>
      <c r="Y307" s="114"/>
      <c r="Z307" s="114"/>
      <c r="AA307" s="114"/>
      <c r="AB307" s="114"/>
      <c r="AC307" s="114"/>
      <c r="AD307" s="114"/>
      <c r="AE307" s="114"/>
      <c r="AF307" s="114"/>
      <c r="AG307" s="114"/>
      <c r="AH307" s="114"/>
      <c r="AI307" s="114"/>
      <c r="AJ307" s="114"/>
      <c r="AL307" s="114"/>
    </row>
    <row r="308" spans="1:38">
      <c r="A308" s="397">
        <v>296</v>
      </c>
      <c r="B308" s="409" t="s">
        <v>78</v>
      </c>
      <c r="C308" s="114"/>
      <c r="D308" s="114"/>
      <c r="E308" s="114"/>
      <c r="H308" s="260">
        <v>-1802833</v>
      </c>
      <c r="I308" s="114"/>
      <c r="J308" s="260">
        <v>-135558</v>
      </c>
      <c r="K308" s="114"/>
      <c r="L308" s="260"/>
      <c r="M308" s="114"/>
      <c r="N308" s="260">
        <v>-6234603</v>
      </c>
      <c r="O308" s="114"/>
      <c r="P308" s="260">
        <v>0</v>
      </c>
      <c r="Q308" s="260">
        <v>0</v>
      </c>
      <c r="R308" s="260"/>
      <c r="S308" s="114"/>
      <c r="T308" s="260">
        <v>-145917</v>
      </c>
      <c r="U308" s="114"/>
      <c r="V308" s="260">
        <v>-145895</v>
      </c>
      <c r="W308" s="114"/>
      <c r="X308" s="260">
        <v>-9139200</v>
      </c>
      <c r="Y308" s="114"/>
      <c r="Z308" s="260">
        <v>0</v>
      </c>
      <c r="AA308" s="114"/>
      <c r="AB308" s="260"/>
      <c r="AC308" s="114"/>
      <c r="AD308" s="260"/>
      <c r="AE308" s="114"/>
      <c r="AF308" s="260">
        <v>0</v>
      </c>
      <c r="AG308" s="114"/>
      <c r="AH308" s="260"/>
      <c r="AI308" s="114"/>
      <c r="AJ308" s="260"/>
      <c r="AL308" s="260"/>
    </row>
    <row r="309" spans="1:38">
      <c r="A309" s="397">
        <v>297</v>
      </c>
      <c r="B309" s="409" t="s">
        <v>3558</v>
      </c>
      <c r="C309" s="114"/>
      <c r="D309" s="114"/>
      <c r="E309" s="114"/>
      <c r="H309" s="260">
        <v>-6022253</v>
      </c>
      <c r="I309" s="114"/>
      <c r="J309" s="260">
        <v>-1029405</v>
      </c>
      <c r="K309" s="114"/>
      <c r="L309" s="260"/>
      <c r="M309" s="114"/>
      <c r="N309" s="260">
        <v>-33948917</v>
      </c>
      <c r="O309" s="114"/>
      <c r="P309" s="260">
        <v>0</v>
      </c>
      <c r="Q309" s="260">
        <v>0</v>
      </c>
      <c r="R309" s="260"/>
      <c r="S309" s="114"/>
      <c r="T309" s="260"/>
      <c r="U309" s="114"/>
      <c r="V309" s="260">
        <v>-579948</v>
      </c>
      <c r="W309" s="114"/>
      <c r="X309" s="260">
        <v>-8413336</v>
      </c>
      <c r="Y309" s="114"/>
      <c r="Z309" s="260"/>
      <c r="AA309" s="114"/>
      <c r="AB309" s="260"/>
      <c r="AC309" s="114"/>
      <c r="AD309" s="260"/>
      <c r="AE309" s="114"/>
      <c r="AF309" s="260"/>
      <c r="AG309" s="114"/>
      <c r="AH309" s="260"/>
      <c r="AI309" s="114"/>
      <c r="AJ309" s="260"/>
      <c r="AL309" s="260"/>
    </row>
    <row r="310" spans="1:38">
      <c r="A310" s="397">
        <v>298</v>
      </c>
      <c r="B310" s="409" t="s">
        <v>79</v>
      </c>
      <c r="C310" s="114"/>
      <c r="D310" s="114"/>
      <c r="E310" s="114"/>
      <c r="H310" s="260">
        <v>0</v>
      </c>
      <c r="I310" s="114"/>
      <c r="J310" s="260"/>
      <c r="K310" s="114"/>
      <c r="L310" s="260"/>
      <c r="M310" s="114"/>
      <c r="N310" s="260">
        <v>0</v>
      </c>
      <c r="O310" s="114"/>
      <c r="P310" s="260">
        <v>0</v>
      </c>
      <c r="Q310" s="260">
        <v>0</v>
      </c>
      <c r="R310" s="260"/>
      <c r="S310" s="114"/>
      <c r="T310" s="260"/>
      <c r="U310" s="114"/>
      <c r="V310" s="260"/>
      <c r="W310" s="114"/>
      <c r="X310" s="260"/>
      <c r="Y310" s="114"/>
      <c r="Z310" s="260"/>
      <c r="AA310" s="114"/>
      <c r="AB310" s="260"/>
      <c r="AC310" s="114"/>
      <c r="AD310" s="260"/>
      <c r="AE310" s="114"/>
      <c r="AF310" s="260"/>
      <c r="AG310" s="114"/>
      <c r="AH310" s="260"/>
      <c r="AI310" s="114"/>
      <c r="AJ310" s="260"/>
      <c r="AL310" s="260"/>
    </row>
    <row r="311" spans="1:38">
      <c r="A311" s="397">
        <v>299</v>
      </c>
      <c r="B311" s="409" t="s">
        <v>80</v>
      </c>
      <c r="C311" s="114"/>
      <c r="D311" s="114"/>
      <c r="E311" s="114"/>
      <c r="H311" s="260">
        <v>10662</v>
      </c>
      <c r="I311" s="114"/>
      <c r="J311" s="260"/>
      <c r="K311" s="114"/>
      <c r="L311" s="260"/>
      <c r="M311" s="114"/>
      <c r="N311" s="260">
        <v>24910</v>
      </c>
      <c r="O311" s="114"/>
      <c r="P311" s="260">
        <v>0</v>
      </c>
      <c r="Q311" s="260">
        <v>0</v>
      </c>
      <c r="R311" s="260"/>
      <c r="S311" s="114"/>
      <c r="T311" s="260"/>
      <c r="U311" s="114"/>
      <c r="V311" s="260"/>
      <c r="W311" s="114"/>
      <c r="X311" s="260"/>
      <c r="Y311" s="114"/>
      <c r="Z311" s="260"/>
      <c r="AA311" s="114"/>
      <c r="AB311" s="260"/>
      <c r="AC311" s="114"/>
      <c r="AD311" s="260"/>
      <c r="AE311" s="114"/>
      <c r="AF311" s="260"/>
      <c r="AG311" s="114"/>
      <c r="AH311" s="260"/>
      <c r="AI311" s="114"/>
      <c r="AJ311" s="260"/>
      <c r="AL311" s="260"/>
    </row>
    <row r="312" spans="1:38">
      <c r="A312" s="397">
        <v>300</v>
      </c>
      <c r="B312" s="409" t="s">
        <v>33</v>
      </c>
      <c r="C312" s="114"/>
      <c r="D312" s="114"/>
      <c r="E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260">
        <v>0</v>
      </c>
      <c r="AI312" s="114"/>
      <c r="AJ312" s="114"/>
      <c r="AL312" s="114"/>
    </row>
    <row r="313" spans="1:38">
      <c r="A313" s="397">
        <v>301</v>
      </c>
      <c r="B313" s="409" t="s">
        <v>796</v>
      </c>
      <c r="C313" s="114"/>
      <c r="D313" s="114"/>
      <c r="E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260">
        <v>0</v>
      </c>
      <c r="AI313" s="114"/>
      <c r="AJ313" s="114"/>
      <c r="AL313" s="114"/>
    </row>
    <row r="314" spans="1:38">
      <c r="A314" s="397">
        <v>302</v>
      </c>
      <c r="B314" s="409"/>
      <c r="C314" s="114"/>
      <c r="D314" s="114"/>
      <c r="E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L314" s="114"/>
    </row>
    <row r="315" spans="1:38">
      <c r="A315" s="397">
        <v>303</v>
      </c>
      <c r="B315" s="417" t="s">
        <v>322</v>
      </c>
      <c r="C315" s="114"/>
      <c r="D315" s="114"/>
      <c r="E315" s="114"/>
      <c r="H315" s="260"/>
      <c r="I315" s="114"/>
      <c r="J315" s="260"/>
      <c r="K315" s="114"/>
      <c r="L315" s="260"/>
      <c r="M315" s="114"/>
      <c r="N315" s="260">
        <v>1258385</v>
      </c>
      <c r="O315" s="114"/>
      <c r="P315" s="260">
        <v>0</v>
      </c>
      <c r="Q315" s="260">
        <v>0</v>
      </c>
      <c r="R315" s="260"/>
      <c r="S315" s="114"/>
      <c r="T315" s="260"/>
      <c r="U315" s="114"/>
      <c r="V315" s="260"/>
      <c r="W315" s="114"/>
      <c r="X315" s="260"/>
      <c r="Y315" s="114"/>
      <c r="Z315" s="260"/>
      <c r="AA315" s="114"/>
      <c r="AB315" s="260"/>
      <c r="AC315" s="114"/>
      <c r="AD315" s="260"/>
      <c r="AE315" s="114"/>
      <c r="AF315" s="260">
        <v>0</v>
      </c>
      <c r="AG315" s="114"/>
      <c r="AH315" s="260"/>
      <c r="AI315" s="114"/>
      <c r="AJ315" s="260"/>
      <c r="AL315" s="260"/>
    </row>
    <row r="316" spans="1:38">
      <c r="A316" s="397">
        <v>304</v>
      </c>
      <c r="B316" s="417" t="s">
        <v>322</v>
      </c>
      <c r="C316" s="114"/>
      <c r="D316" s="114"/>
      <c r="E316" s="114"/>
      <c r="H316" s="260"/>
      <c r="I316" s="114"/>
      <c r="J316" s="260"/>
      <c r="K316" s="114"/>
      <c r="L316" s="260"/>
      <c r="M316" s="114"/>
      <c r="N316" s="260"/>
      <c r="O316" s="114"/>
      <c r="P316" s="260">
        <v>0</v>
      </c>
      <c r="Q316" s="260">
        <v>0</v>
      </c>
      <c r="R316" s="260"/>
      <c r="S316" s="114"/>
      <c r="T316" s="260"/>
      <c r="U316" s="114"/>
      <c r="V316" s="260"/>
      <c r="W316" s="114"/>
      <c r="X316" s="260"/>
      <c r="Y316" s="114"/>
      <c r="Z316" s="260"/>
      <c r="AA316" s="114"/>
      <c r="AB316" s="260"/>
      <c r="AC316" s="114"/>
      <c r="AD316" s="260"/>
      <c r="AE316" s="114"/>
      <c r="AF316" s="260">
        <v>0</v>
      </c>
      <c r="AG316" s="114"/>
      <c r="AH316" s="260"/>
      <c r="AI316" s="114"/>
      <c r="AJ316" s="260"/>
      <c r="AL316" s="260"/>
    </row>
    <row r="317" spans="1:38">
      <c r="A317" s="397">
        <v>305</v>
      </c>
      <c r="B317" s="409"/>
      <c r="C317" s="404" t="s">
        <v>81</v>
      </c>
      <c r="D317" s="114"/>
      <c r="E317" s="114"/>
      <c r="H317" s="114">
        <v>0</v>
      </c>
      <c r="I317" s="114"/>
      <c r="J317" s="114">
        <v>0</v>
      </c>
      <c r="K317" s="114"/>
      <c r="L317" s="114">
        <f>L315+L316</f>
        <v>0</v>
      </c>
      <c r="M317" s="114"/>
      <c r="N317" s="114">
        <f>N315+N316</f>
        <v>1258385</v>
      </c>
      <c r="O317" s="114"/>
      <c r="P317" s="114">
        <v>0</v>
      </c>
      <c r="Q317" s="114">
        <v>0</v>
      </c>
      <c r="R317" s="114">
        <v>0</v>
      </c>
      <c r="S317" s="114"/>
      <c r="T317" s="114">
        <v>0</v>
      </c>
      <c r="U317" s="114"/>
      <c r="V317" s="114">
        <v>0</v>
      </c>
      <c r="W317" s="114"/>
      <c r="X317" s="114">
        <v>0</v>
      </c>
      <c r="Y317" s="114"/>
      <c r="Z317" s="114">
        <v>0</v>
      </c>
      <c r="AA317" s="114"/>
      <c r="AB317" s="114">
        <v>0</v>
      </c>
      <c r="AC317" s="114"/>
      <c r="AD317" s="114">
        <v>0</v>
      </c>
      <c r="AE317" s="114"/>
      <c r="AF317" s="405">
        <f>SUM(AF315:AF316)</f>
        <v>0</v>
      </c>
      <c r="AG317" s="114"/>
      <c r="AH317" s="405"/>
      <c r="AI317" s="114"/>
      <c r="AJ317" s="114">
        <v>0</v>
      </c>
      <c r="AL317" s="114">
        <v>0</v>
      </c>
    </row>
    <row r="318" spans="1:38">
      <c r="A318" s="397">
        <v>306</v>
      </c>
      <c r="B318" s="409"/>
      <c r="C318" s="114"/>
      <c r="D318" s="114"/>
      <c r="E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L318" s="114"/>
    </row>
    <row r="319" spans="1:38">
      <c r="A319" s="397">
        <v>307</v>
      </c>
      <c r="B319" s="409"/>
      <c r="C319" s="114"/>
      <c r="D319" s="114"/>
      <c r="E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L319" s="114"/>
    </row>
    <row r="320" spans="1:38">
      <c r="A320" s="397">
        <v>308</v>
      </c>
      <c r="B320" s="417" t="s">
        <v>323</v>
      </c>
      <c r="C320" s="114"/>
      <c r="D320" s="114"/>
      <c r="E320" s="114"/>
      <c r="H320" s="260"/>
      <c r="I320" s="114"/>
      <c r="J320" s="260"/>
      <c r="K320" s="114"/>
      <c r="L320" s="260"/>
      <c r="M320" s="114"/>
      <c r="N320" s="260">
        <v>0</v>
      </c>
      <c r="O320" s="114"/>
      <c r="P320" s="260">
        <v>0</v>
      </c>
      <c r="Q320" s="260">
        <v>0</v>
      </c>
      <c r="R320" s="260"/>
      <c r="S320" s="114"/>
      <c r="T320" s="260">
        <v>0</v>
      </c>
      <c r="U320" s="114"/>
      <c r="V320" s="260"/>
      <c r="W320" s="114"/>
      <c r="X320" s="260">
        <v>-5222400</v>
      </c>
      <c r="Y320" s="114"/>
      <c r="Z320" s="260"/>
      <c r="AA320" s="114"/>
      <c r="AB320" s="260"/>
      <c r="AC320" s="114"/>
      <c r="AD320" s="260"/>
      <c r="AE320" s="114"/>
      <c r="AF320" s="260"/>
      <c r="AG320" s="114"/>
      <c r="AH320" s="260"/>
      <c r="AI320" s="114"/>
      <c r="AJ320" s="260"/>
      <c r="AL320" s="260"/>
    </row>
    <row r="321" spans="1:38">
      <c r="A321" s="397">
        <v>309</v>
      </c>
      <c r="B321" s="417" t="s">
        <v>323</v>
      </c>
      <c r="C321" s="114"/>
      <c r="D321" s="114"/>
      <c r="E321" s="114"/>
      <c r="H321" s="406"/>
      <c r="I321" s="114"/>
      <c r="J321" s="406"/>
      <c r="K321" s="114"/>
      <c r="L321" s="406"/>
      <c r="M321" s="114"/>
      <c r="N321" s="406"/>
      <c r="O321" s="114"/>
      <c r="P321" s="406">
        <v>0</v>
      </c>
      <c r="Q321" s="406">
        <v>0</v>
      </c>
      <c r="R321" s="406"/>
      <c r="S321" s="114"/>
      <c r="T321" s="260"/>
      <c r="U321" s="114"/>
      <c r="V321" s="406"/>
      <c r="W321" s="114"/>
      <c r="X321" s="406"/>
      <c r="Y321" s="114"/>
      <c r="Z321" s="406"/>
      <c r="AA321" s="114"/>
      <c r="AB321" s="406"/>
      <c r="AC321" s="114"/>
      <c r="AD321" s="406"/>
      <c r="AE321" s="114"/>
      <c r="AF321" s="260"/>
      <c r="AG321" s="114"/>
      <c r="AH321" s="260"/>
      <c r="AI321" s="114"/>
      <c r="AJ321" s="406"/>
      <c r="AL321" s="406"/>
    </row>
    <row r="322" spans="1:38">
      <c r="A322" s="397">
        <v>310</v>
      </c>
      <c r="B322" s="417"/>
      <c r="C322" s="404" t="s">
        <v>82</v>
      </c>
      <c r="D322" s="114"/>
      <c r="E322" s="114"/>
      <c r="H322" s="405">
        <f>H320+H321</f>
        <v>0</v>
      </c>
      <c r="I322" s="114"/>
      <c r="J322" s="405">
        <v>0</v>
      </c>
      <c r="K322" s="114"/>
      <c r="L322" s="405">
        <v>0</v>
      </c>
      <c r="M322" s="114"/>
      <c r="N322" s="405">
        <f>N320+N321</f>
        <v>0</v>
      </c>
      <c r="O322" s="114"/>
      <c r="P322" s="405">
        <v>0</v>
      </c>
      <c r="Q322" s="405">
        <v>0</v>
      </c>
      <c r="R322" s="405">
        <v>0</v>
      </c>
      <c r="S322" s="114"/>
      <c r="T322" s="405">
        <f>SUM(T320:T321)</f>
        <v>0</v>
      </c>
      <c r="U322" s="114"/>
      <c r="V322" s="405">
        <f>SUM(V320:V321)</f>
        <v>0</v>
      </c>
      <c r="W322" s="114"/>
      <c r="X322" s="405">
        <f>SUM(X320:X321)</f>
        <v>-5222400</v>
      </c>
      <c r="Y322" s="114"/>
      <c r="Z322" s="405">
        <v>0</v>
      </c>
      <c r="AA322" s="114"/>
      <c r="AB322" s="405">
        <v>0</v>
      </c>
      <c r="AC322" s="114"/>
      <c r="AD322" s="405">
        <v>0</v>
      </c>
      <c r="AE322" s="114"/>
      <c r="AF322" s="405">
        <v>0</v>
      </c>
      <c r="AG322" s="114"/>
      <c r="AH322" s="405">
        <f>SUM(AH320:AH321)</f>
        <v>0</v>
      </c>
      <c r="AI322" s="114"/>
      <c r="AJ322" s="405">
        <f>AJ320+AJ321</f>
        <v>0</v>
      </c>
      <c r="AL322" s="405">
        <f>AL320+AL321</f>
        <v>0</v>
      </c>
    </row>
    <row r="323" spans="1:38">
      <c r="A323" s="397">
        <v>311</v>
      </c>
      <c r="B323" s="417"/>
      <c r="C323" s="404"/>
      <c r="D323" s="114"/>
      <c r="E323" s="114"/>
      <c r="H323" s="114"/>
      <c r="I323" s="114"/>
      <c r="J323" s="114"/>
      <c r="K323" s="114"/>
      <c r="L323" s="405"/>
      <c r="M323" s="114"/>
      <c r="N323" s="114"/>
      <c r="O323" s="114"/>
      <c r="P323" s="405"/>
      <c r="Q323" s="405"/>
      <c r="R323" s="114"/>
      <c r="S323" s="114"/>
      <c r="T323" s="114"/>
      <c r="U323" s="114"/>
      <c r="V323" s="114"/>
      <c r="W323" s="114"/>
      <c r="X323" s="114"/>
      <c r="Y323" s="114"/>
      <c r="Z323" s="114"/>
      <c r="AA323" s="114"/>
      <c r="AB323" s="114"/>
      <c r="AC323" s="114"/>
      <c r="AD323" s="114"/>
      <c r="AE323" s="114"/>
      <c r="AF323" s="114"/>
      <c r="AG323" s="114"/>
      <c r="AH323" s="114"/>
      <c r="AI323" s="114"/>
      <c r="AJ323" s="114"/>
      <c r="AL323" s="114"/>
    </row>
    <row r="324" spans="1:38">
      <c r="A324" s="397">
        <v>312</v>
      </c>
      <c r="B324" s="114"/>
      <c r="C324" s="409" t="s">
        <v>83</v>
      </c>
      <c r="D324" s="114"/>
      <c r="E324" s="114"/>
      <c r="H324" s="405">
        <f>SUM(H308:H311,H317,H322)</f>
        <v>-7814424</v>
      </c>
      <c r="I324" s="114"/>
      <c r="J324" s="405">
        <f>SUM(J308:J311,J317,J322)</f>
        <v>-1164963</v>
      </c>
      <c r="K324" s="114"/>
      <c r="L324" s="405">
        <f>SUM(L308:L311,L317,L322)</f>
        <v>0</v>
      </c>
      <c r="M324" s="114"/>
      <c r="N324" s="405">
        <f>SUM(N308:N311,N317,N322)</f>
        <v>-38900225</v>
      </c>
      <c r="O324" s="114"/>
      <c r="P324" s="405">
        <f>SUM(P308:P311,P317,P322)</f>
        <v>0</v>
      </c>
      <c r="Q324" s="405">
        <f>SUM(Q308:Q311,Q317,Q322)</f>
        <v>0</v>
      </c>
      <c r="R324" s="405">
        <f>SUM(R308:R311,R317,R322)</f>
        <v>0</v>
      </c>
      <c r="S324" s="114"/>
      <c r="T324" s="405">
        <f>SUM(T308:T311,T317,T322)</f>
        <v>-145917</v>
      </c>
      <c r="U324" s="114"/>
      <c r="V324" s="405">
        <f>SUM(V308:V311,V317,V322)</f>
        <v>-725843</v>
      </c>
      <c r="W324" s="114"/>
      <c r="X324" s="405">
        <f>SUM(X308:X311,X317,X322)</f>
        <v>-22774936</v>
      </c>
      <c r="Y324" s="114"/>
      <c r="Z324" s="405">
        <v>0</v>
      </c>
      <c r="AA324" s="114"/>
      <c r="AB324" s="405">
        <v>0</v>
      </c>
      <c r="AC324" s="114"/>
      <c r="AD324" s="405">
        <v>0</v>
      </c>
      <c r="AE324" s="114"/>
      <c r="AF324" s="405">
        <v>0</v>
      </c>
      <c r="AG324" s="114"/>
      <c r="AH324" s="405">
        <f>SUM(AH308:AH313)+AH322</f>
        <v>0</v>
      </c>
      <c r="AI324" s="114"/>
      <c r="AJ324" s="405">
        <f>AJ322</f>
        <v>0</v>
      </c>
      <c r="AL324" s="405">
        <f>AL322</f>
        <v>0</v>
      </c>
    </row>
    <row r="325" spans="1:38">
      <c r="A325" s="397">
        <v>313</v>
      </c>
      <c r="B325" s="114"/>
      <c r="C325" s="417"/>
      <c r="D325" s="114"/>
      <c r="E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L325" s="114"/>
    </row>
    <row r="326" spans="1:38">
      <c r="A326" s="397">
        <v>314</v>
      </c>
      <c r="B326" s="398" t="s">
        <v>84</v>
      </c>
      <c r="C326" s="114"/>
      <c r="D326" s="114"/>
      <c r="E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L326" s="114"/>
    </row>
    <row r="327" spans="1:38">
      <c r="A327" s="397">
        <v>315</v>
      </c>
      <c r="B327" s="409" t="s">
        <v>85</v>
      </c>
      <c r="C327" s="114"/>
      <c r="D327" s="114"/>
      <c r="E327" s="114"/>
      <c r="H327" s="260">
        <v>-91445471</v>
      </c>
      <c r="I327" s="114"/>
      <c r="J327" s="260">
        <v>-3528838287</v>
      </c>
      <c r="K327" s="114"/>
      <c r="L327" s="260"/>
      <c r="M327" s="114"/>
      <c r="N327" s="260">
        <v>0</v>
      </c>
      <c r="O327" s="114"/>
      <c r="P327" s="260">
        <v>0</v>
      </c>
      <c r="Q327" s="260">
        <v>0</v>
      </c>
      <c r="R327" s="260"/>
      <c r="S327" s="114"/>
      <c r="T327" s="260"/>
      <c r="U327" s="114"/>
      <c r="V327" s="260"/>
      <c r="W327" s="114"/>
      <c r="X327" s="260"/>
      <c r="Y327" s="114"/>
      <c r="Z327" s="260"/>
      <c r="AA327" s="114"/>
      <c r="AB327" s="260"/>
      <c r="AC327" s="114"/>
      <c r="AD327" s="260"/>
      <c r="AE327" s="114"/>
      <c r="AF327" s="260"/>
      <c r="AG327" s="114"/>
      <c r="AH327" s="260">
        <v>0</v>
      </c>
      <c r="AI327" s="114"/>
      <c r="AJ327" s="260"/>
      <c r="AL327" s="260"/>
    </row>
    <row r="328" spans="1:38">
      <c r="A328" s="397">
        <v>316</v>
      </c>
      <c r="B328" s="409" t="s">
        <v>86</v>
      </c>
      <c r="C328" s="114"/>
      <c r="D328" s="114"/>
      <c r="E328" s="114"/>
      <c r="H328" s="260">
        <v>10962000</v>
      </c>
      <c r="I328" s="114"/>
      <c r="J328" s="260">
        <v>3515755150</v>
      </c>
      <c r="K328" s="114"/>
      <c r="L328" s="260"/>
      <c r="M328" s="114"/>
      <c r="N328" s="260">
        <v>0</v>
      </c>
      <c r="O328" s="114"/>
      <c r="P328" s="260">
        <v>0</v>
      </c>
      <c r="Q328" s="260">
        <v>0</v>
      </c>
      <c r="R328" s="260"/>
      <c r="S328" s="114"/>
      <c r="T328" s="260"/>
      <c r="U328" s="114"/>
      <c r="V328" s="260"/>
      <c r="W328" s="114"/>
      <c r="X328" s="260"/>
      <c r="Y328" s="114"/>
      <c r="Z328" s="260"/>
      <c r="AA328" s="114"/>
      <c r="AB328" s="260"/>
      <c r="AC328" s="114"/>
      <c r="AD328" s="260"/>
      <c r="AE328" s="114"/>
      <c r="AF328" s="260"/>
      <c r="AG328" s="114"/>
      <c r="AH328" s="260"/>
      <c r="AI328" s="114"/>
      <c r="AJ328" s="260"/>
      <c r="AL328" s="260"/>
    </row>
    <row r="329" spans="1:38">
      <c r="A329" s="397">
        <v>317</v>
      </c>
      <c r="B329" s="409" t="s">
        <v>87</v>
      </c>
      <c r="C329" s="114"/>
      <c r="D329" s="114"/>
      <c r="E329" s="114"/>
      <c r="H329" s="406">
        <v>3985612</v>
      </c>
      <c r="I329" s="114"/>
      <c r="J329" s="406">
        <v>121111946</v>
      </c>
      <c r="K329" s="114"/>
      <c r="L329" s="406">
        <v>0</v>
      </c>
      <c r="M329" s="114"/>
      <c r="N329" s="406">
        <v>0</v>
      </c>
      <c r="O329" s="114"/>
      <c r="P329" s="406">
        <v>820604</v>
      </c>
      <c r="Q329" s="406">
        <v>73788</v>
      </c>
      <c r="R329" s="406">
        <v>2350999</v>
      </c>
      <c r="S329" s="114"/>
      <c r="T329" s="406"/>
      <c r="U329" s="114"/>
      <c r="V329" s="406"/>
      <c r="W329" s="114"/>
      <c r="X329" s="406"/>
      <c r="Y329" s="114"/>
      <c r="Z329" s="406"/>
      <c r="AA329" s="114"/>
      <c r="AB329" s="406">
        <v>1036260</v>
      </c>
      <c r="AC329" s="114"/>
      <c r="AD329" s="406"/>
      <c r="AE329" s="114"/>
      <c r="AF329" s="260"/>
      <c r="AG329" s="114"/>
      <c r="AH329" s="260"/>
      <c r="AI329" s="114"/>
      <c r="AJ329" s="406"/>
      <c r="AL329" s="406">
        <v>72325</v>
      </c>
    </row>
    <row r="330" spans="1:38">
      <c r="A330" s="397">
        <v>318</v>
      </c>
      <c r="B330" s="114"/>
      <c r="C330" s="409" t="s">
        <v>88</v>
      </c>
      <c r="D330" s="114"/>
      <c r="E330" s="114"/>
      <c r="H330" s="405">
        <f>SUM(H327:H329)</f>
        <v>-76497859</v>
      </c>
      <c r="I330" s="114"/>
      <c r="J330" s="405">
        <f>SUM(J327:J329)</f>
        <v>108028809</v>
      </c>
      <c r="K330" s="114"/>
      <c r="L330" s="405">
        <f>SUM(L327:L329)</f>
        <v>0</v>
      </c>
      <c r="M330" s="114"/>
      <c r="N330" s="405">
        <f>SUM(N327:N329)</f>
        <v>0</v>
      </c>
      <c r="O330" s="114"/>
      <c r="P330" s="405">
        <f>SUM(P327:P329)</f>
        <v>820604</v>
      </c>
      <c r="Q330" s="405">
        <f>SUM(Q327:Q329)</f>
        <v>73788</v>
      </c>
      <c r="R330" s="405">
        <f>SUM(R327:R329)</f>
        <v>2350999</v>
      </c>
      <c r="S330" s="114"/>
      <c r="T330" s="405">
        <v>0</v>
      </c>
      <c r="U330" s="114"/>
      <c r="V330" s="405">
        <v>0</v>
      </c>
      <c r="W330" s="114"/>
      <c r="X330" s="405">
        <v>0</v>
      </c>
      <c r="Y330" s="114"/>
      <c r="Z330" s="405"/>
      <c r="AA330" s="114"/>
      <c r="AB330" s="405">
        <f>AB327+AB328+AB329</f>
        <v>1036260</v>
      </c>
      <c r="AC330" s="114"/>
      <c r="AD330" s="405">
        <f>SUM(AD327:AD329)</f>
        <v>0</v>
      </c>
      <c r="AE330" s="114"/>
      <c r="AF330" s="405">
        <v>0</v>
      </c>
      <c r="AG330" s="114"/>
      <c r="AH330" s="405">
        <f>SUM(AH327:AH329)</f>
        <v>0</v>
      </c>
      <c r="AI330" s="114"/>
      <c r="AJ330" s="405">
        <v>0</v>
      </c>
      <c r="AL330" s="405">
        <f>AL327+AL328+AL329</f>
        <v>72325</v>
      </c>
    </row>
    <row r="331" spans="1:38">
      <c r="A331" s="397">
        <v>319</v>
      </c>
      <c r="B331" s="409"/>
      <c r="C331" s="114"/>
      <c r="D331" s="114"/>
      <c r="E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L331" s="114"/>
    </row>
    <row r="332" spans="1:38">
      <c r="A332" s="397">
        <v>320</v>
      </c>
      <c r="B332" s="114"/>
      <c r="C332" s="114"/>
      <c r="D332" s="409" t="s">
        <v>90</v>
      </c>
      <c r="E332" s="114"/>
      <c r="H332" s="405">
        <f>SUM(H278,H297,H324,H330)</f>
        <v>96024498</v>
      </c>
      <c r="I332" s="114"/>
      <c r="J332" s="405">
        <f>SUM(J278,J297,J324,J330)</f>
        <v>-14738884</v>
      </c>
      <c r="K332" s="114"/>
      <c r="L332" s="405">
        <f>SUM(L278,L297,L324,L330)</f>
        <v>119017299</v>
      </c>
      <c r="M332" s="114"/>
      <c r="N332" s="405">
        <f>SUM(N278,N297,N324,N330)</f>
        <v>-1597533</v>
      </c>
      <c r="O332" s="114"/>
      <c r="P332" s="405">
        <f>SUM(P278,P297,P324,P330)</f>
        <v>4539276</v>
      </c>
      <c r="Q332" s="405">
        <f>SUM(Q278,Q297,Q324,Q330)</f>
        <v>351901</v>
      </c>
      <c r="R332" s="405">
        <f>SUM(R278,R297,R324,R330)</f>
        <v>-1076782</v>
      </c>
      <c r="S332" s="114"/>
      <c r="T332" s="405">
        <v>-1696642</v>
      </c>
      <c r="U332" s="114"/>
      <c r="V332" s="405">
        <f>SUM(V278,V297,V324,V330)</f>
        <v>1690795</v>
      </c>
      <c r="W332" s="114"/>
      <c r="X332" s="405">
        <f>SUM(X278,X297,X324,X330)</f>
        <v>-2276313</v>
      </c>
      <c r="Y332" s="114"/>
      <c r="Z332" s="405">
        <f>SUM(Z278,Z297,Z324,Z330)</f>
        <v>-618638</v>
      </c>
      <c r="AA332" s="114"/>
      <c r="AB332" s="405">
        <f>SUM(AB278,AB297,AB324,AB330)</f>
        <v>10166141</v>
      </c>
      <c r="AC332" s="114"/>
      <c r="AD332" s="405">
        <f>SUM(AD278,AD297,AD324,AD330)</f>
        <v>-218938</v>
      </c>
      <c r="AE332" s="114"/>
      <c r="AF332" s="405">
        <f>SUM(AF278,AF297,AF324,AF330)</f>
        <v>318146</v>
      </c>
      <c r="AG332" s="114"/>
      <c r="AH332" s="405">
        <f>SUM(AH278,AH297,AH324,AH330)</f>
        <v>0</v>
      </c>
      <c r="AI332" s="114"/>
      <c r="AJ332" s="405">
        <f>SUM(AJ278,AJ297,AJ324,AJ330)</f>
        <v>1148</v>
      </c>
      <c r="AL332" s="405">
        <f>SUM(AL278,AL297,AL324,AL330)</f>
        <v>-1831059</v>
      </c>
    </row>
    <row r="333" spans="1:38">
      <c r="A333" s="397">
        <v>321</v>
      </c>
      <c r="B333" s="422" t="s">
        <v>277</v>
      </c>
      <c r="C333" s="114"/>
      <c r="D333" s="114"/>
      <c r="E333" s="114"/>
      <c r="H333" s="405">
        <v>60342444</v>
      </c>
      <c r="I333" s="114"/>
      <c r="J333" s="405">
        <v>143124292</v>
      </c>
      <c r="K333" s="114"/>
      <c r="L333" s="405">
        <v>1499903283</v>
      </c>
      <c r="M333" s="114"/>
      <c r="N333" s="405">
        <v>30816663</v>
      </c>
      <c r="O333" s="114"/>
      <c r="P333" s="405">
        <v>38071642</v>
      </c>
      <c r="Q333" s="405">
        <v>3850958</v>
      </c>
      <c r="R333" s="405">
        <v>152042146</v>
      </c>
      <c r="S333" s="114"/>
      <c r="T333" s="405">
        <v>11787575</v>
      </c>
      <c r="U333" s="114"/>
      <c r="V333" s="405">
        <v>2498436</v>
      </c>
      <c r="W333" s="114"/>
      <c r="X333" s="405">
        <v>17490240</v>
      </c>
      <c r="Y333" s="114"/>
      <c r="Z333" s="405">
        <v>3325094</v>
      </c>
      <c r="AA333" s="114"/>
      <c r="AB333" s="405">
        <v>52626479</v>
      </c>
      <c r="AC333" s="114"/>
      <c r="AD333" s="405">
        <v>582106</v>
      </c>
      <c r="AE333" s="114"/>
      <c r="AF333" s="260">
        <v>797196</v>
      </c>
      <c r="AG333" s="114"/>
      <c r="AH333" s="260"/>
      <c r="AI333" s="114"/>
      <c r="AJ333" s="405">
        <v>412585</v>
      </c>
      <c r="AL333" s="405">
        <v>4286696</v>
      </c>
    </row>
    <row r="334" spans="1:38">
      <c r="A334" s="397">
        <v>322</v>
      </c>
      <c r="B334" s="422" t="s">
        <v>278</v>
      </c>
      <c r="C334" s="114"/>
      <c r="D334" s="114"/>
      <c r="E334" s="114"/>
      <c r="H334" s="405">
        <f>SUM(H332:H333)</f>
        <v>156366942</v>
      </c>
      <c r="I334" s="114"/>
      <c r="J334" s="405">
        <f>SUM(J332:J333)</f>
        <v>128385408</v>
      </c>
      <c r="K334" s="114"/>
      <c r="L334" s="405">
        <f>SUM(L332:L333)</f>
        <v>1618920582</v>
      </c>
      <c r="M334" s="114"/>
      <c r="N334" s="405">
        <f>SUM(N332:N333)</f>
        <v>29219130</v>
      </c>
      <c r="O334" s="114"/>
      <c r="P334" s="405">
        <f>SUM(P332:P333)</f>
        <v>42610918</v>
      </c>
      <c r="Q334" s="405">
        <f>SUM(Q332:Q333)</f>
        <v>4202859</v>
      </c>
      <c r="R334" s="405">
        <f>SUM(R332:R333)</f>
        <v>150965364</v>
      </c>
      <c r="S334" s="114"/>
      <c r="T334" s="405">
        <f>SUM(T332:T333)</f>
        <v>10090933</v>
      </c>
      <c r="U334" s="114"/>
      <c r="V334" s="405">
        <f>SUM(V332:V333)</f>
        <v>4189231</v>
      </c>
      <c r="W334" s="114"/>
      <c r="X334" s="405">
        <f>SUM(X332:X333)</f>
        <v>15213927</v>
      </c>
      <c r="Y334" s="114"/>
      <c r="Z334" s="405">
        <f>SUM(Z332:Z333)</f>
        <v>2706456</v>
      </c>
      <c r="AA334" s="114"/>
      <c r="AB334" s="405">
        <f>SUM(AB332:AB333)</f>
        <v>62792620</v>
      </c>
      <c r="AC334" s="114"/>
      <c r="AD334" s="405">
        <f>SUM(AD332:AD333)</f>
        <v>363168</v>
      </c>
      <c r="AE334" s="114"/>
      <c r="AF334" s="405">
        <f>SUM(AF332:AF333)</f>
        <v>1115342</v>
      </c>
      <c r="AG334" s="114"/>
      <c r="AH334" s="405">
        <f>SUM(AH332:AH333)</f>
        <v>0</v>
      </c>
      <c r="AI334" s="114"/>
      <c r="AJ334" s="405">
        <f>SUM(AJ332:AJ333)</f>
        <v>413733</v>
      </c>
      <c r="AL334" s="405">
        <f>SUM(AL332:AL333)</f>
        <v>2455637</v>
      </c>
    </row>
    <row r="335" spans="1:38">
      <c r="A335" s="397">
        <v>323</v>
      </c>
      <c r="B335" s="398"/>
      <c r="C335" s="114"/>
      <c r="D335" s="114"/>
      <c r="E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2"/>
      <c r="AG335" s="114"/>
      <c r="AH335" s="12"/>
      <c r="AI335" s="114"/>
      <c r="AJ335" s="114"/>
      <c r="AL335" s="114"/>
    </row>
    <row r="336" spans="1:38">
      <c r="A336" s="397">
        <v>324</v>
      </c>
      <c r="B336" s="114"/>
      <c r="C336" s="114"/>
      <c r="D336" s="114"/>
      <c r="E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1"/>
      <c r="AG336" s="114"/>
      <c r="AH336" s="111"/>
      <c r="AI336" s="114"/>
      <c r="AJ336" s="114"/>
      <c r="AL336" s="114"/>
    </row>
    <row r="337" spans="1:38">
      <c r="A337" s="397">
        <v>325</v>
      </c>
      <c r="B337" s="422" t="s">
        <v>142</v>
      </c>
      <c r="C337" s="114"/>
      <c r="D337" s="114"/>
      <c r="E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2"/>
      <c r="AG337" s="114"/>
      <c r="AH337" s="12"/>
      <c r="AI337" s="114"/>
      <c r="AJ337" s="114"/>
      <c r="AL337" s="114"/>
    </row>
    <row r="338" spans="1:38">
      <c r="A338" s="397">
        <v>326</v>
      </c>
      <c r="B338" s="417"/>
      <c r="C338" s="114"/>
      <c r="D338" s="114"/>
      <c r="E338" s="404" t="s">
        <v>143</v>
      </c>
      <c r="H338" s="260">
        <v>215771155</v>
      </c>
      <c r="I338" s="114"/>
      <c r="J338" s="260">
        <v>129863531</v>
      </c>
      <c r="K338" s="114"/>
      <c r="L338" s="260">
        <v>1618920582</v>
      </c>
      <c r="M338" s="114"/>
      <c r="N338" s="260">
        <v>31937554</v>
      </c>
      <c r="O338" s="114"/>
      <c r="P338" s="260">
        <v>46835606</v>
      </c>
      <c r="Q338" s="260">
        <v>4619554</v>
      </c>
      <c r="R338" s="260">
        <v>165932928</v>
      </c>
      <c r="S338" s="114"/>
      <c r="T338" s="260">
        <v>10090933</v>
      </c>
      <c r="U338" s="114"/>
      <c r="V338" s="260">
        <v>4189231</v>
      </c>
      <c r="W338" s="114"/>
      <c r="X338" s="260">
        <v>15213927</v>
      </c>
      <c r="Y338" s="114"/>
      <c r="Z338" s="260">
        <v>2974789</v>
      </c>
      <c r="AA338" s="114"/>
      <c r="AB338" s="260">
        <v>69018237</v>
      </c>
      <c r="AC338" s="114"/>
      <c r="AD338" s="260">
        <v>357668</v>
      </c>
      <c r="AE338" s="114"/>
      <c r="AF338" s="260">
        <v>1115342</v>
      </c>
      <c r="AG338" s="114"/>
      <c r="AH338" s="260"/>
      <c r="AI338" s="114"/>
      <c r="AJ338" s="260">
        <v>413733</v>
      </c>
      <c r="AL338" s="260">
        <v>2699235</v>
      </c>
    </row>
    <row r="339" spans="1:38">
      <c r="A339" s="397">
        <v>327</v>
      </c>
      <c r="B339" s="417"/>
      <c r="C339" s="114"/>
      <c r="D339" s="114"/>
      <c r="E339" s="404" t="s">
        <v>144</v>
      </c>
      <c r="H339" s="260">
        <v>1065</v>
      </c>
      <c r="I339" s="114"/>
      <c r="J339" s="260">
        <v>0</v>
      </c>
      <c r="K339" s="114"/>
      <c r="L339" s="260">
        <v>0</v>
      </c>
      <c r="M339" s="114"/>
      <c r="N339" s="260">
        <v>423550</v>
      </c>
      <c r="O339" s="114"/>
      <c r="P339" s="260">
        <v>0</v>
      </c>
      <c r="Q339" s="260">
        <v>0</v>
      </c>
      <c r="R339" s="260">
        <v>0</v>
      </c>
      <c r="S339" s="114"/>
      <c r="T339" s="260"/>
      <c r="U339" s="114"/>
      <c r="V339" s="260">
        <v>0</v>
      </c>
      <c r="W339" s="114"/>
      <c r="X339" s="260"/>
      <c r="Y339" s="114"/>
      <c r="Z339" s="260">
        <v>0</v>
      </c>
      <c r="AA339" s="114"/>
      <c r="AB339" s="260">
        <v>0</v>
      </c>
      <c r="AC339" s="114"/>
      <c r="AD339" s="260">
        <v>5500</v>
      </c>
      <c r="AE339" s="114"/>
      <c r="AF339" s="260">
        <v>0</v>
      </c>
      <c r="AG339" s="114"/>
      <c r="AH339" s="260"/>
      <c r="AI339" s="114"/>
      <c r="AJ339" s="260">
        <v>0</v>
      </c>
      <c r="AL339" s="260">
        <v>0</v>
      </c>
    </row>
    <row r="340" spans="1:38">
      <c r="A340" s="397">
        <v>328</v>
      </c>
      <c r="B340" s="417"/>
      <c r="C340" s="114"/>
      <c r="D340" s="114" t="s">
        <v>422</v>
      </c>
      <c r="E340" s="114"/>
      <c r="H340" s="260"/>
      <c r="I340" s="114"/>
      <c r="J340" s="260"/>
      <c r="K340" s="114"/>
      <c r="L340" s="260"/>
      <c r="M340" s="114"/>
      <c r="N340" s="260"/>
      <c r="O340" s="114"/>
      <c r="P340" s="260"/>
      <c r="Q340" s="260"/>
      <c r="R340" s="260"/>
      <c r="S340" s="114"/>
      <c r="T340" s="260"/>
      <c r="U340" s="114"/>
      <c r="V340" s="260"/>
      <c r="W340" s="114"/>
      <c r="X340" s="260"/>
      <c r="Y340" s="114"/>
      <c r="Z340" s="260"/>
      <c r="AA340" s="114"/>
      <c r="AB340" s="260"/>
      <c r="AC340" s="114"/>
      <c r="AD340" s="260"/>
      <c r="AE340" s="114"/>
      <c r="AF340" s="260"/>
      <c r="AG340" s="114"/>
      <c r="AH340" s="260"/>
      <c r="AI340" s="114"/>
      <c r="AJ340" s="260"/>
      <c r="AL340" s="260"/>
    </row>
    <row r="341" spans="1:38">
      <c r="A341" s="397">
        <v>329</v>
      </c>
      <c r="B341" s="417"/>
      <c r="C341" s="114"/>
      <c r="D341" s="114"/>
      <c r="E341" s="114" t="s">
        <v>423</v>
      </c>
      <c r="H341" s="260">
        <v>-59405278</v>
      </c>
      <c r="I341" s="114"/>
      <c r="J341" s="260">
        <v>-1478123</v>
      </c>
      <c r="K341" s="114"/>
      <c r="L341" s="260">
        <v>0</v>
      </c>
      <c r="M341" s="114"/>
      <c r="N341" s="260">
        <v>-3141974</v>
      </c>
      <c r="O341" s="114"/>
      <c r="P341" s="260">
        <v>-4224688</v>
      </c>
      <c r="Q341" s="260">
        <v>-416695</v>
      </c>
      <c r="R341" s="260">
        <v>-14967564</v>
      </c>
      <c r="S341" s="114"/>
      <c r="T341" s="260">
        <v>0</v>
      </c>
      <c r="U341" s="114"/>
      <c r="V341" s="260">
        <v>0</v>
      </c>
      <c r="W341" s="114"/>
      <c r="X341" s="260"/>
      <c r="Y341" s="114"/>
      <c r="Z341" s="260">
        <v>-268333</v>
      </c>
      <c r="AA341" s="114"/>
      <c r="AB341" s="260">
        <v>-6225617</v>
      </c>
      <c r="AC341" s="114"/>
      <c r="AD341" s="260">
        <v>0</v>
      </c>
      <c r="AE341" s="114"/>
      <c r="AF341" s="260">
        <v>0</v>
      </c>
      <c r="AG341" s="114"/>
      <c r="AH341" s="260"/>
      <c r="AI341" s="114"/>
      <c r="AJ341" s="260">
        <v>0</v>
      </c>
      <c r="AL341" s="260">
        <v>-243598</v>
      </c>
    </row>
    <row r="342" spans="1:38">
      <c r="A342" s="397">
        <v>330</v>
      </c>
      <c r="B342" s="417"/>
      <c r="C342" s="114"/>
      <c r="D342" s="114" t="s">
        <v>424</v>
      </c>
      <c r="E342" s="114"/>
      <c r="H342" s="405">
        <f>SUM(H338:H341)</f>
        <v>156366942</v>
      </c>
      <c r="I342" s="114"/>
      <c r="J342" s="405">
        <f>SUM(J338:J341)</f>
        <v>128385408</v>
      </c>
      <c r="K342" s="114"/>
      <c r="L342" s="405">
        <f>SUM(L338:L341)</f>
        <v>1618920582</v>
      </c>
      <c r="M342" s="114"/>
      <c r="N342" s="405">
        <f>SUM(N338:N341)</f>
        <v>29219130</v>
      </c>
      <c r="O342" s="114"/>
      <c r="P342" s="405">
        <f>SUM(P338:P341)</f>
        <v>42610918</v>
      </c>
      <c r="Q342" s="405">
        <f>SUM(Q338:Q341)</f>
        <v>4202859</v>
      </c>
      <c r="R342" s="405">
        <f>SUM(R338:R341)</f>
        <v>150965364</v>
      </c>
      <c r="S342" s="114"/>
      <c r="T342" s="405">
        <f>SUM(T338:T341)</f>
        <v>10090933</v>
      </c>
      <c r="U342" s="114"/>
      <c r="V342" s="405">
        <f>SUM(V338:V341)</f>
        <v>4189231</v>
      </c>
      <c r="W342" s="114"/>
      <c r="X342" s="405">
        <f>SUM(X338:X341)</f>
        <v>15213927</v>
      </c>
      <c r="Y342" s="114"/>
      <c r="Z342" s="405">
        <f>SUM(Z338:Z341)</f>
        <v>2706456</v>
      </c>
      <c r="AA342" s="114"/>
      <c r="AB342" s="405">
        <f>SUM(AB338:AB341)</f>
        <v>62792620</v>
      </c>
      <c r="AC342" s="114"/>
      <c r="AD342" s="405">
        <f>SUM(AD338:AD341)</f>
        <v>363168</v>
      </c>
      <c r="AE342" s="114"/>
      <c r="AF342" s="405">
        <f>SUM(AF338:AF341)</f>
        <v>1115342</v>
      </c>
      <c r="AG342" s="114"/>
      <c r="AH342" s="405">
        <f>SUM(AH338:AH341)</f>
        <v>0</v>
      </c>
      <c r="AI342" s="114"/>
      <c r="AJ342" s="405">
        <f>SUM(AJ338:AJ341)</f>
        <v>413733</v>
      </c>
      <c r="AL342" s="405">
        <f>SUM(AL338:AL341)</f>
        <v>2455637</v>
      </c>
    </row>
    <row r="343" spans="1:38">
      <c r="A343" s="397">
        <v>331</v>
      </c>
      <c r="B343" s="1008"/>
      <c r="C343" s="1008"/>
      <c r="D343" s="1008"/>
      <c r="E343" s="1008"/>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2"/>
      <c r="AG343" s="114"/>
      <c r="AH343" s="12"/>
      <c r="AI343" s="114"/>
      <c r="AJ343" s="114"/>
      <c r="AL343" s="114"/>
    </row>
    <row r="344" spans="1:38">
      <c r="A344" s="397">
        <v>332</v>
      </c>
      <c r="B344" s="398"/>
      <c r="C344" s="200"/>
      <c r="D344" s="200"/>
      <c r="E344" s="200"/>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L344" s="114"/>
    </row>
    <row r="345" spans="1:38">
      <c r="A345" s="397">
        <v>333</v>
      </c>
      <c r="B345" s="398" t="s">
        <v>282</v>
      </c>
      <c r="C345" s="200"/>
      <c r="D345" s="200"/>
      <c r="E345" s="200"/>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2"/>
      <c r="AG345" s="114"/>
      <c r="AH345" s="12"/>
      <c r="AI345" s="114"/>
      <c r="AJ345" s="114"/>
      <c r="AL345" s="114"/>
    </row>
    <row r="346" spans="1:38">
      <c r="A346" s="397">
        <v>334</v>
      </c>
      <c r="B346" s="398"/>
      <c r="C346" s="200"/>
      <c r="D346" s="200"/>
      <c r="E346" s="200"/>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2"/>
      <c r="AG346" s="114"/>
      <c r="AH346" s="12"/>
      <c r="AI346" s="114"/>
      <c r="AJ346" s="114"/>
      <c r="AL346" s="114"/>
    </row>
    <row r="347" spans="1:38">
      <c r="A347" s="397">
        <v>335</v>
      </c>
      <c r="B347" s="398"/>
      <c r="C347" s="200"/>
      <c r="D347" s="200"/>
      <c r="E347" s="200"/>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2"/>
      <c r="AG347" s="114"/>
      <c r="AH347" s="12"/>
      <c r="AI347" s="114"/>
      <c r="AJ347" s="114"/>
      <c r="AL347" s="114"/>
    </row>
    <row r="348" spans="1:38">
      <c r="A348" s="397">
        <v>336</v>
      </c>
      <c r="B348" s="416"/>
      <c r="C348" s="399"/>
      <c r="D348" s="399"/>
      <c r="E348" s="399"/>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2"/>
      <c r="AG348" s="114"/>
      <c r="AH348" s="12"/>
      <c r="AI348" s="114"/>
      <c r="AJ348" s="114"/>
      <c r="AL348" s="114"/>
    </row>
    <row r="349" spans="1:38">
      <c r="A349" s="397">
        <v>337</v>
      </c>
      <c r="B349" s="200"/>
      <c r="C349" s="114"/>
      <c r="D349" s="114"/>
      <c r="E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1"/>
      <c r="AG349" s="114"/>
      <c r="AH349" s="111"/>
      <c r="AI349" s="114"/>
      <c r="AJ349" s="114"/>
      <c r="AL349" s="114"/>
    </row>
    <row r="350" spans="1:38">
      <c r="A350" s="397">
        <v>338</v>
      </c>
      <c r="B350" s="398" t="s">
        <v>91</v>
      </c>
      <c r="C350" s="114"/>
      <c r="D350" s="114"/>
      <c r="E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2"/>
      <c r="AG350" s="114"/>
      <c r="AH350" s="12"/>
      <c r="AI350" s="114"/>
      <c r="AJ350" s="114"/>
      <c r="AL350" s="114"/>
    </row>
    <row r="351" spans="1:38" ht="13.5" thickBot="1">
      <c r="A351" s="397">
        <v>339</v>
      </c>
      <c r="B351" s="416" t="s">
        <v>92</v>
      </c>
      <c r="C351" s="400"/>
      <c r="D351" s="400"/>
      <c r="E351" s="400"/>
      <c r="H351" s="412" t="s">
        <v>301</v>
      </c>
      <c r="I351" s="114"/>
      <c r="J351" s="412" t="s">
        <v>301</v>
      </c>
      <c r="K351" s="114"/>
      <c r="L351" s="412" t="s">
        <v>301</v>
      </c>
      <c r="M351" s="114"/>
      <c r="N351" s="412" t="s">
        <v>301</v>
      </c>
      <c r="O351" s="114"/>
      <c r="P351" s="412" t="s">
        <v>301</v>
      </c>
      <c r="Q351" s="412" t="s">
        <v>301</v>
      </c>
      <c r="R351" s="412" t="s">
        <v>301</v>
      </c>
      <c r="S351" s="114"/>
      <c r="T351" s="412" t="s">
        <v>301</v>
      </c>
      <c r="U351" s="114"/>
      <c r="V351" s="412" t="s">
        <v>301</v>
      </c>
      <c r="W351" s="114"/>
      <c r="X351" s="412" t="s">
        <v>301</v>
      </c>
      <c r="Y351" s="114"/>
      <c r="Z351" s="412" t="s">
        <v>301</v>
      </c>
      <c r="AA351" s="114"/>
      <c r="AB351" s="412" t="s">
        <v>301</v>
      </c>
      <c r="AC351" s="114"/>
      <c r="AD351" s="412" t="s">
        <v>301</v>
      </c>
      <c r="AE351" s="114"/>
      <c r="AF351" s="113" t="s">
        <v>301</v>
      </c>
      <c r="AG351" s="114"/>
      <c r="AH351" s="113" t="s">
        <v>301</v>
      </c>
      <c r="AI351" s="114"/>
      <c r="AJ351" s="412" t="s">
        <v>301</v>
      </c>
      <c r="AL351" s="412" t="s">
        <v>301</v>
      </c>
    </row>
    <row r="352" spans="1:38">
      <c r="A352" s="397">
        <v>340</v>
      </c>
      <c r="B352" s="398"/>
      <c r="C352" s="114"/>
      <c r="D352" s="114"/>
      <c r="E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2"/>
      <c r="AG352" s="114"/>
      <c r="AH352" s="12"/>
      <c r="AI352" s="114"/>
      <c r="AJ352" s="114"/>
      <c r="AL352" s="114"/>
    </row>
    <row r="353" spans="1:38">
      <c r="A353" s="397">
        <v>341</v>
      </c>
      <c r="B353" s="114"/>
      <c r="C353" s="409" t="s">
        <v>136</v>
      </c>
      <c r="D353" s="114"/>
      <c r="E353" s="114"/>
      <c r="H353" s="405">
        <v>866438749</v>
      </c>
      <c r="I353" s="114"/>
      <c r="J353" s="787">
        <f>201113773-33506</f>
        <v>201080267</v>
      </c>
      <c r="K353" s="114"/>
      <c r="L353" s="405">
        <v>86509868</v>
      </c>
      <c r="M353" s="114"/>
      <c r="N353" s="787">
        <f>230760681-3670823</f>
        <v>227089858</v>
      </c>
      <c r="O353" s="114"/>
      <c r="P353" s="405">
        <v>8996711</v>
      </c>
      <c r="Q353" s="405">
        <v>269906</v>
      </c>
      <c r="R353" s="405">
        <v>-201793</v>
      </c>
      <c r="S353" s="114"/>
      <c r="T353" s="405">
        <v>-3205086</v>
      </c>
      <c r="U353" s="114"/>
      <c r="V353" s="405">
        <v>1769876</v>
      </c>
      <c r="W353" s="114"/>
      <c r="X353" s="405">
        <v>15214019</v>
      </c>
      <c r="Y353" s="114"/>
      <c r="Z353" s="405">
        <v>-651334</v>
      </c>
      <c r="AA353" s="114"/>
      <c r="AB353" s="405">
        <v>23641296</v>
      </c>
      <c r="AC353" s="114"/>
      <c r="AD353" s="405">
        <v>-175559</v>
      </c>
      <c r="AE353" s="114"/>
      <c r="AF353" s="405">
        <v>51083</v>
      </c>
      <c r="AG353" s="114"/>
      <c r="AH353" s="405"/>
      <c r="AI353" s="114"/>
      <c r="AJ353" s="405">
        <v>42908</v>
      </c>
      <c r="AL353" s="405">
        <v>-1550197</v>
      </c>
    </row>
    <row r="354" spans="1:38">
      <c r="A354" s="397">
        <v>342</v>
      </c>
      <c r="B354" s="114"/>
      <c r="C354" s="114"/>
      <c r="D354" s="398" t="s">
        <v>93</v>
      </c>
      <c r="E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L354" s="114"/>
    </row>
    <row r="355" spans="1:38">
      <c r="A355" s="397">
        <v>343</v>
      </c>
      <c r="B355" s="114"/>
      <c r="C355" s="114"/>
      <c r="D355" s="398" t="s">
        <v>94</v>
      </c>
      <c r="E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L355" s="114"/>
    </row>
    <row r="356" spans="1:38">
      <c r="A356" s="397">
        <v>344</v>
      </c>
      <c r="B356" s="114"/>
      <c r="C356" s="114"/>
      <c r="D356" s="114"/>
      <c r="E356" s="409" t="s">
        <v>137</v>
      </c>
      <c r="H356" s="260">
        <v>10070848</v>
      </c>
      <c r="I356" s="114"/>
      <c r="J356" s="260">
        <v>1061771</v>
      </c>
      <c r="K356" s="114"/>
      <c r="L356" s="260">
        <v>0</v>
      </c>
      <c r="M356" s="114"/>
      <c r="N356" s="260">
        <v>40995658</v>
      </c>
      <c r="O356" s="114"/>
      <c r="P356" s="260">
        <v>14431</v>
      </c>
      <c r="Q356" s="260">
        <v>596</v>
      </c>
      <c r="R356" s="260">
        <v>0</v>
      </c>
      <c r="S356" s="114"/>
      <c r="T356" s="260">
        <v>399362</v>
      </c>
      <c r="U356" s="114"/>
      <c r="V356" s="260">
        <v>546147</v>
      </c>
      <c r="W356" s="114"/>
      <c r="X356" s="260">
        <v>6643267</v>
      </c>
      <c r="Y356" s="114"/>
      <c r="Z356" s="260">
        <v>0</v>
      </c>
      <c r="AA356" s="114"/>
      <c r="AB356" s="260">
        <v>4742</v>
      </c>
      <c r="AC356" s="114"/>
      <c r="AD356" s="260">
        <v>0</v>
      </c>
      <c r="AE356" s="114"/>
      <c r="AF356" s="260"/>
      <c r="AG356" s="114"/>
      <c r="AH356" s="114"/>
      <c r="AI356" s="114"/>
      <c r="AJ356" s="260">
        <v>0</v>
      </c>
      <c r="AL356" s="260">
        <v>0</v>
      </c>
    </row>
    <row r="357" spans="1:38">
      <c r="A357" s="397">
        <v>345</v>
      </c>
      <c r="B357" s="114"/>
      <c r="C357" s="114"/>
      <c r="D357" s="114"/>
      <c r="E357" s="409" t="s">
        <v>42</v>
      </c>
      <c r="H357" s="260"/>
      <c r="I357" s="114"/>
      <c r="J357" s="260">
        <v>0</v>
      </c>
      <c r="K357" s="114"/>
      <c r="L357" s="260">
        <v>0</v>
      </c>
      <c r="M357" s="114"/>
      <c r="N357" s="260">
        <v>0</v>
      </c>
      <c r="O357" s="114"/>
      <c r="P357" s="260">
        <v>0</v>
      </c>
      <c r="Q357" s="260">
        <v>0</v>
      </c>
      <c r="R357" s="260"/>
      <c r="S357" s="114"/>
      <c r="T357" s="260"/>
      <c r="U357" s="114"/>
      <c r="V357" s="260"/>
      <c r="W357" s="114"/>
      <c r="X357" s="260"/>
      <c r="Y357" s="114"/>
      <c r="Z357" s="260"/>
      <c r="AA357" s="114"/>
      <c r="AB357" s="260"/>
      <c r="AC357" s="114"/>
      <c r="AD357" s="260"/>
      <c r="AE357" s="114"/>
      <c r="AF357" s="260"/>
      <c r="AG357" s="114"/>
      <c r="AH357" s="260"/>
      <c r="AI357" s="114"/>
      <c r="AJ357" s="260"/>
      <c r="AL357" s="260"/>
    </row>
    <row r="358" spans="1:38">
      <c r="A358" s="397">
        <v>346</v>
      </c>
      <c r="B358" s="114"/>
      <c r="C358" s="114"/>
      <c r="D358" s="114"/>
      <c r="E358" s="409" t="s">
        <v>4</v>
      </c>
      <c r="H358" s="260">
        <v>-4816226</v>
      </c>
      <c r="I358" s="114"/>
      <c r="J358" s="785">
        <f>-112916909+33506</f>
        <v>-112883403</v>
      </c>
      <c r="K358" s="114"/>
      <c r="L358" s="260"/>
      <c r="M358" s="114"/>
      <c r="N358" s="260"/>
      <c r="O358" s="114"/>
      <c r="P358" s="260">
        <v>0</v>
      </c>
      <c r="Q358" s="260">
        <v>0</v>
      </c>
      <c r="R358" s="260"/>
      <c r="S358" s="114"/>
      <c r="T358" s="260">
        <v>0</v>
      </c>
      <c r="U358" s="114"/>
      <c r="V358" s="260"/>
      <c r="W358" s="114"/>
      <c r="X358" s="260"/>
      <c r="Y358" s="114"/>
      <c r="Z358" s="260"/>
      <c r="AA358" s="114"/>
      <c r="AB358" s="260"/>
      <c r="AC358" s="114"/>
      <c r="AD358" s="260"/>
      <c r="AE358" s="114"/>
      <c r="AF358" s="260"/>
      <c r="AG358" s="114"/>
      <c r="AH358" s="260"/>
      <c r="AI358" s="114"/>
      <c r="AJ358" s="260"/>
      <c r="AL358" s="260"/>
    </row>
    <row r="359" spans="1:38">
      <c r="A359" s="397">
        <v>347</v>
      </c>
      <c r="B359" s="114"/>
      <c r="C359" s="114"/>
      <c r="D359" s="114"/>
      <c r="E359" s="409" t="s">
        <v>95</v>
      </c>
      <c r="H359" s="260">
        <v>1096789</v>
      </c>
      <c r="I359" s="114"/>
      <c r="J359" s="785">
        <v>-55057</v>
      </c>
      <c r="K359" s="114"/>
      <c r="L359" s="260">
        <v>0</v>
      </c>
      <c r="M359" s="114"/>
      <c r="N359" s="260">
        <v>196023</v>
      </c>
      <c r="O359" s="114"/>
      <c r="P359" s="260">
        <v>0</v>
      </c>
      <c r="Q359" s="260">
        <v>0</v>
      </c>
      <c r="R359" s="260"/>
      <c r="S359" s="114"/>
      <c r="T359" s="260">
        <v>0</v>
      </c>
      <c r="U359" s="114"/>
      <c r="V359" s="260"/>
      <c r="W359" s="114"/>
      <c r="X359" s="260"/>
      <c r="Y359" s="114"/>
      <c r="Z359" s="260"/>
      <c r="AA359" s="114"/>
      <c r="AB359" s="260">
        <v>0</v>
      </c>
      <c r="AC359" s="114"/>
      <c r="AD359" s="260"/>
      <c r="AE359" s="114"/>
      <c r="AF359" s="260"/>
      <c r="AG359" s="114"/>
      <c r="AH359" s="260"/>
      <c r="AI359" s="114"/>
      <c r="AJ359" s="260"/>
      <c r="AL359" s="260"/>
    </row>
    <row r="360" spans="1:38">
      <c r="A360" s="397">
        <v>348</v>
      </c>
      <c r="B360" s="114"/>
      <c r="C360" s="114"/>
      <c r="D360" s="114"/>
      <c r="E360" s="409" t="s">
        <v>909</v>
      </c>
      <c r="H360" s="260">
        <v>0</v>
      </c>
      <c r="I360" s="114"/>
      <c r="J360" s="260">
        <v>0</v>
      </c>
      <c r="K360" s="114"/>
      <c r="L360" s="260">
        <f>126299-126299</f>
        <v>0</v>
      </c>
      <c r="M360" s="114"/>
      <c r="N360" s="260">
        <f>823271+3474800</f>
        <v>4298071</v>
      </c>
      <c r="O360" s="114"/>
      <c r="P360" s="260">
        <v>0</v>
      </c>
      <c r="Q360" s="260">
        <v>0</v>
      </c>
      <c r="R360" s="260"/>
      <c r="S360" s="114"/>
      <c r="T360" s="260">
        <v>0</v>
      </c>
      <c r="U360" s="114"/>
      <c r="V360" s="260">
        <f>-300000+300000</f>
        <v>0</v>
      </c>
      <c r="W360" s="114"/>
      <c r="X360" s="260">
        <v>0</v>
      </c>
      <c r="Y360" s="114"/>
      <c r="Z360" s="260"/>
      <c r="AA360" s="114"/>
      <c r="AB360" s="260">
        <v>0</v>
      </c>
      <c r="AC360" s="114"/>
      <c r="AD360" s="260"/>
      <c r="AE360" s="114"/>
      <c r="AF360" s="260"/>
      <c r="AG360" s="114"/>
      <c r="AH360" s="260">
        <v>0</v>
      </c>
      <c r="AI360" s="114"/>
      <c r="AJ360" s="260"/>
      <c r="AL360" s="260"/>
    </row>
    <row r="361" spans="1:38">
      <c r="A361" s="397">
        <v>349</v>
      </c>
      <c r="B361" s="114"/>
      <c r="C361" s="114"/>
      <c r="D361" s="114"/>
      <c r="E361" s="417"/>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L361" s="114"/>
    </row>
    <row r="362" spans="1:38">
      <c r="A362" s="397">
        <v>350</v>
      </c>
      <c r="B362" s="114"/>
      <c r="C362" s="114"/>
      <c r="D362" s="417" t="s">
        <v>96</v>
      </c>
      <c r="E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L362" s="114"/>
    </row>
    <row r="363" spans="1:38">
      <c r="A363" s="397">
        <v>351</v>
      </c>
      <c r="B363" s="114"/>
      <c r="C363" s="114"/>
      <c r="D363" s="114"/>
      <c r="E363" s="409" t="s">
        <v>218</v>
      </c>
      <c r="H363" s="260">
        <v>-19870506</v>
      </c>
      <c r="I363" s="114"/>
      <c r="J363" s="260">
        <v>17390130</v>
      </c>
      <c r="K363" s="114"/>
      <c r="L363" s="260">
        <v>39091935</v>
      </c>
      <c r="M363" s="114"/>
      <c r="N363" s="260">
        <v>-6144983</v>
      </c>
      <c r="O363" s="114"/>
      <c r="P363" s="260">
        <v>-1657</v>
      </c>
      <c r="Q363" s="260">
        <v>-2389</v>
      </c>
      <c r="R363" s="260">
        <v>-5236996</v>
      </c>
      <c r="S363" s="114"/>
      <c r="T363" s="260">
        <v>-385050</v>
      </c>
      <c r="U363" s="114"/>
      <c r="V363" s="260">
        <v>260816</v>
      </c>
      <c r="W363" s="114"/>
      <c r="X363" s="260">
        <v>-331065</v>
      </c>
      <c r="Y363" s="114"/>
      <c r="Z363" s="260">
        <v>0</v>
      </c>
      <c r="AA363" s="114"/>
      <c r="AB363" s="260">
        <v>0</v>
      </c>
      <c r="AC363" s="114">
        <v>0</v>
      </c>
      <c r="AD363" s="260">
        <v>-59695</v>
      </c>
      <c r="AE363" s="114"/>
      <c r="AF363" s="260"/>
      <c r="AG363" s="114"/>
      <c r="AH363" s="260"/>
      <c r="AI363" s="114"/>
      <c r="AJ363" s="260"/>
      <c r="AL363" s="260">
        <v>74372</v>
      </c>
    </row>
    <row r="364" spans="1:38">
      <c r="A364" s="397">
        <v>352</v>
      </c>
      <c r="B364" s="114"/>
      <c r="C364" s="114"/>
      <c r="D364" s="114"/>
      <c r="E364" s="409" t="s">
        <v>97</v>
      </c>
      <c r="H364" s="260">
        <v>0</v>
      </c>
      <c r="I364" s="114"/>
      <c r="J364" s="260">
        <v>0</v>
      </c>
      <c r="K364" s="114"/>
      <c r="L364" s="260">
        <v>-186659</v>
      </c>
      <c r="M364" s="114"/>
      <c r="N364" s="260">
        <v>0</v>
      </c>
      <c r="O364" s="114"/>
      <c r="P364" s="260">
        <v>0</v>
      </c>
      <c r="Q364" s="260">
        <v>0</v>
      </c>
      <c r="R364" s="260"/>
      <c r="S364" s="114"/>
      <c r="T364" s="260">
        <v>-58674</v>
      </c>
      <c r="U364" s="114"/>
      <c r="V364" s="260">
        <v>881</v>
      </c>
      <c r="W364" s="114"/>
      <c r="X364" s="260">
        <v>-320930</v>
      </c>
      <c r="Y364" s="114"/>
      <c r="Z364" s="260"/>
      <c r="AA364" s="114"/>
      <c r="AB364" s="260"/>
      <c r="AC364" s="114"/>
      <c r="AD364" s="260"/>
      <c r="AE364" s="114"/>
      <c r="AF364" s="260">
        <v>-1171</v>
      </c>
      <c r="AG364" s="114"/>
      <c r="AH364" s="260"/>
      <c r="AI364" s="114"/>
      <c r="AJ364" s="260"/>
      <c r="AL364" s="260">
        <v>-585</v>
      </c>
    </row>
    <row r="365" spans="1:38">
      <c r="A365" s="397">
        <v>353</v>
      </c>
      <c r="B365" s="114"/>
      <c r="C365" s="114"/>
      <c r="D365" s="114"/>
      <c r="E365" s="409" t="s">
        <v>394</v>
      </c>
      <c r="H365" s="260">
        <v>0</v>
      </c>
      <c r="I365" s="114"/>
      <c r="J365" s="260">
        <v>0</v>
      </c>
      <c r="K365" s="114"/>
      <c r="L365" s="260">
        <v>0</v>
      </c>
      <c r="M365" s="114"/>
      <c r="N365" s="260">
        <v>0</v>
      </c>
      <c r="O365" s="114"/>
      <c r="P365" s="260">
        <v>0</v>
      </c>
      <c r="Q365" s="260">
        <v>0</v>
      </c>
      <c r="R365" s="260"/>
      <c r="S365" s="114"/>
      <c r="T365" s="260"/>
      <c r="U365" s="114"/>
      <c r="V365" s="260"/>
      <c r="W365" s="114"/>
      <c r="X365" s="260">
        <v>0</v>
      </c>
      <c r="Y365" s="114"/>
      <c r="Z365" s="260"/>
      <c r="AA365" s="114"/>
      <c r="AB365" s="260"/>
      <c r="AC365" s="114"/>
      <c r="AD365" s="260"/>
      <c r="AE365" s="114"/>
      <c r="AF365" s="260"/>
      <c r="AG365" s="114"/>
      <c r="AH365" s="260"/>
      <c r="AI365" s="114"/>
      <c r="AJ365" s="260"/>
      <c r="AL365" s="260"/>
    </row>
    <row r="366" spans="1:38">
      <c r="A366" s="397">
        <v>354</v>
      </c>
      <c r="B366" s="114"/>
      <c r="C366" s="114"/>
      <c r="D366" s="114"/>
      <c r="E366" s="409" t="s">
        <v>216</v>
      </c>
      <c r="H366" s="260">
        <v>559729</v>
      </c>
      <c r="I366" s="114"/>
      <c r="J366" s="260">
        <v>0</v>
      </c>
      <c r="K366" s="114"/>
      <c r="L366" s="260">
        <v>0</v>
      </c>
      <c r="M366" s="114"/>
      <c r="N366" s="260">
        <v>-3675606</v>
      </c>
      <c r="O366" s="114"/>
      <c r="P366" s="260">
        <v>0</v>
      </c>
      <c r="Q366" s="260">
        <v>0</v>
      </c>
      <c r="R366" s="260"/>
      <c r="S366" s="114"/>
      <c r="T366" s="260">
        <v>-321993</v>
      </c>
      <c r="U366" s="114"/>
      <c r="V366" s="260">
        <v>-24031</v>
      </c>
      <c r="W366" s="114"/>
      <c r="X366" s="260">
        <v>0</v>
      </c>
      <c r="Y366" s="114"/>
      <c r="Z366" s="260"/>
      <c r="AA366" s="114"/>
      <c r="AB366" s="260"/>
      <c r="AC366" s="114"/>
      <c r="AD366" s="260">
        <v>91296</v>
      </c>
      <c r="AE366" s="114"/>
      <c r="AF366" s="260">
        <v>-3192</v>
      </c>
      <c r="AG366" s="114"/>
      <c r="AH366" s="260"/>
      <c r="AI366" s="114"/>
      <c r="AJ366" s="260"/>
      <c r="AL366" s="260"/>
    </row>
    <row r="367" spans="1:38">
      <c r="A367" s="397">
        <v>355</v>
      </c>
      <c r="B367" s="114"/>
      <c r="C367" s="114"/>
      <c r="D367" s="114"/>
      <c r="E367" s="409" t="s">
        <v>217</v>
      </c>
      <c r="H367" s="260">
        <v>19727</v>
      </c>
      <c r="I367" s="114"/>
      <c r="J367" s="260">
        <v>-1140755</v>
      </c>
      <c r="K367" s="114"/>
      <c r="L367" s="260">
        <v>0</v>
      </c>
      <c r="M367" s="114"/>
      <c r="N367" s="260">
        <v>1369436</v>
      </c>
      <c r="O367" s="114"/>
      <c r="P367" s="260">
        <v>-47</v>
      </c>
      <c r="Q367" s="260">
        <v>-1</v>
      </c>
      <c r="R367" s="260"/>
      <c r="S367" s="114"/>
      <c r="T367" s="260"/>
      <c r="U367" s="114"/>
      <c r="V367" s="260"/>
      <c r="W367" s="114"/>
      <c r="X367" s="260"/>
      <c r="Y367" s="114"/>
      <c r="Z367" s="260"/>
      <c r="AA367" s="114"/>
      <c r="AB367" s="260"/>
      <c r="AC367" s="114"/>
      <c r="AD367" s="260">
        <v>0</v>
      </c>
      <c r="AE367" s="114"/>
      <c r="AF367" s="260"/>
      <c r="AG367" s="114"/>
      <c r="AH367" s="260"/>
      <c r="AI367" s="114"/>
      <c r="AJ367" s="260"/>
      <c r="AL367" s="260"/>
    </row>
    <row r="368" spans="1:38">
      <c r="A368" s="397">
        <v>356</v>
      </c>
      <c r="B368" s="114"/>
      <c r="C368" s="114"/>
      <c r="D368" s="114"/>
      <c r="E368" s="409" t="s">
        <v>3188</v>
      </c>
      <c r="H368" s="260"/>
      <c r="I368" s="114"/>
      <c r="J368" s="260">
        <v>0</v>
      </c>
      <c r="K368" s="114"/>
      <c r="L368" s="260">
        <v>0</v>
      </c>
      <c r="M368" s="114"/>
      <c r="N368" s="260">
        <v>0</v>
      </c>
      <c r="O368" s="114"/>
      <c r="P368" s="260"/>
      <c r="Q368" s="260">
        <v>11762</v>
      </c>
      <c r="R368" s="260"/>
      <c r="S368" s="114"/>
      <c r="T368" s="260"/>
      <c r="U368" s="114"/>
      <c r="V368" s="260"/>
      <c r="W368" s="114"/>
      <c r="X368" s="260"/>
      <c r="Y368" s="114"/>
      <c r="Z368" s="260"/>
      <c r="AA368" s="114"/>
      <c r="AB368" s="260"/>
      <c r="AC368" s="114"/>
      <c r="AD368" s="260"/>
      <c r="AE368" s="114"/>
      <c r="AF368" s="260"/>
      <c r="AG368" s="114"/>
      <c r="AH368" s="260"/>
      <c r="AI368" s="114"/>
      <c r="AJ368" s="260"/>
      <c r="AL368" s="260"/>
    </row>
    <row r="369" spans="1:38">
      <c r="A369" s="397">
        <v>357</v>
      </c>
      <c r="B369" s="114"/>
      <c r="C369" s="114"/>
      <c r="D369" s="114"/>
      <c r="E369" s="409" t="s">
        <v>3189</v>
      </c>
      <c r="H369" s="260">
        <v>236309</v>
      </c>
      <c r="I369" s="114"/>
      <c r="J369" s="260">
        <v>108176</v>
      </c>
      <c r="K369" s="114"/>
      <c r="L369" s="260"/>
      <c r="M369" s="114"/>
      <c r="N369" s="260">
        <v>-97321</v>
      </c>
      <c r="O369" s="114"/>
      <c r="P369" s="260"/>
      <c r="Q369" s="260"/>
      <c r="R369" s="260"/>
      <c r="S369" s="114"/>
      <c r="T369" s="260"/>
      <c r="U369" s="114"/>
      <c r="V369" s="260"/>
      <c r="W369" s="114"/>
      <c r="X369" s="260"/>
      <c r="Y369" s="114"/>
      <c r="Z369" s="260"/>
      <c r="AA369" s="114"/>
      <c r="AB369" s="260">
        <v>-115422</v>
      </c>
      <c r="AC369" s="114"/>
      <c r="AD369" s="260"/>
      <c r="AE369" s="114"/>
      <c r="AF369" s="260"/>
      <c r="AG369" s="114"/>
      <c r="AH369" s="260"/>
      <c r="AI369" s="114"/>
      <c r="AJ369" s="260"/>
      <c r="AL369" s="260"/>
    </row>
    <row r="370" spans="1:38">
      <c r="A370" s="397">
        <v>358</v>
      </c>
      <c r="B370" s="114"/>
      <c r="C370" s="114"/>
      <c r="D370" s="114"/>
      <c r="E370" s="409" t="s">
        <v>98</v>
      </c>
      <c r="H370" s="785">
        <f>12203231-18915</f>
        <v>12184316</v>
      </c>
      <c r="I370" s="114"/>
      <c r="J370" s="785">
        <f>-67326-934</f>
        <v>-68260</v>
      </c>
      <c r="K370" s="114"/>
      <c r="L370" s="260"/>
      <c r="M370" s="114"/>
      <c r="N370" s="785">
        <f>-2352885+198559</f>
        <v>-2154326</v>
      </c>
      <c r="O370" s="114"/>
      <c r="P370" s="260">
        <v>146727</v>
      </c>
      <c r="Q370" s="260">
        <v>-1749</v>
      </c>
      <c r="R370" s="785">
        <f>1347801-834</f>
        <v>1346967</v>
      </c>
      <c r="S370" s="114"/>
      <c r="T370" s="785">
        <f>1542270+65052</f>
        <v>1607322</v>
      </c>
      <c r="U370" s="114"/>
      <c r="V370" s="785">
        <f>-18602+7019</f>
        <v>-11583</v>
      </c>
      <c r="W370" s="114"/>
      <c r="X370" s="785">
        <f>1089791+7840</f>
        <v>1097631</v>
      </c>
      <c r="Y370" s="114"/>
      <c r="Z370" s="785">
        <f>164253+1212</f>
        <v>165465</v>
      </c>
      <c r="AA370" s="114"/>
      <c r="AB370" s="785">
        <f>359344+1327</f>
        <v>360671</v>
      </c>
      <c r="AC370" s="114"/>
      <c r="AD370" s="785">
        <f>-9033+9827</f>
        <v>794</v>
      </c>
      <c r="AE370" s="114"/>
      <c r="AF370" s="260">
        <v>4886</v>
      </c>
      <c r="AG370" s="114"/>
      <c r="AH370" s="260"/>
      <c r="AI370" s="114"/>
      <c r="AJ370" s="260"/>
      <c r="AL370" s="260">
        <v>-145288</v>
      </c>
    </row>
    <row r="371" spans="1:38">
      <c r="A371" s="397">
        <v>359</v>
      </c>
      <c r="B371" s="114"/>
      <c r="C371" s="114"/>
      <c r="D371" s="114"/>
      <c r="E371" s="409" t="s">
        <v>219</v>
      </c>
      <c r="H371" s="260">
        <v>0</v>
      </c>
      <c r="I371" s="114"/>
      <c r="J371" s="260"/>
      <c r="K371" s="114"/>
      <c r="L371" s="260">
        <v>-1934113</v>
      </c>
      <c r="M371" s="114"/>
      <c r="N371" s="260">
        <v>0</v>
      </c>
      <c r="O371" s="114"/>
      <c r="P371" s="260">
        <v>0</v>
      </c>
      <c r="Q371" s="260"/>
      <c r="R371" s="260"/>
      <c r="S371" s="114"/>
      <c r="T371" s="260">
        <v>0</v>
      </c>
      <c r="U371" s="114"/>
      <c r="V371" s="260"/>
      <c r="W371" s="114"/>
      <c r="X371" s="260"/>
      <c r="Y371" s="114"/>
      <c r="Z371" s="260"/>
      <c r="AA371" s="114"/>
      <c r="AB371" s="260">
        <v>-1282070</v>
      </c>
      <c r="AC371" s="114"/>
      <c r="AD371" s="260"/>
      <c r="AE371" s="114"/>
      <c r="AF371" s="260"/>
      <c r="AG371" s="114"/>
      <c r="AH371" s="260"/>
      <c r="AI371" s="114"/>
      <c r="AJ371" s="260"/>
      <c r="AL371" s="260"/>
    </row>
    <row r="372" spans="1:38">
      <c r="A372" s="397">
        <v>360</v>
      </c>
      <c r="B372" s="114"/>
      <c r="C372" s="114"/>
      <c r="D372" s="114"/>
      <c r="E372" s="409" t="s">
        <v>99</v>
      </c>
      <c r="H372" s="785">
        <v>-2478</v>
      </c>
      <c r="I372" s="114"/>
      <c r="J372" s="785">
        <f>40958-33121</f>
        <v>7837</v>
      </c>
      <c r="K372" s="114"/>
      <c r="L372" s="260">
        <v>-5482316</v>
      </c>
      <c r="M372" s="114"/>
      <c r="N372" s="260">
        <v>38382</v>
      </c>
      <c r="O372" s="114"/>
      <c r="P372" s="260">
        <v>580</v>
      </c>
      <c r="Q372" s="260">
        <v>9</v>
      </c>
      <c r="R372" s="260">
        <v>438</v>
      </c>
      <c r="S372" s="114"/>
      <c r="T372" s="785">
        <f>59208-61543</f>
        <v>-2335</v>
      </c>
      <c r="U372" s="114"/>
      <c r="V372" s="785">
        <f>-226396-9206</f>
        <v>-235602</v>
      </c>
      <c r="W372" s="114"/>
      <c r="X372" s="260">
        <f>-283762-10248</f>
        <v>-294010</v>
      </c>
      <c r="Y372" s="114"/>
      <c r="Z372" s="785">
        <f>-143358-24000</f>
        <v>-167358</v>
      </c>
      <c r="AA372" s="114"/>
      <c r="AB372" s="785">
        <f>2364-1859</f>
        <v>505</v>
      </c>
      <c r="AC372" s="114"/>
      <c r="AD372" s="785">
        <f>10053-7983</f>
        <v>2070</v>
      </c>
      <c r="AE372" s="114"/>
      <c r="AF372" s="260">
        <v>33500</v>
      </c>
      <c r="AG372" s="114"/>
      <c r="AH372" s="260"/>
      <c r="AI372" s="114"/>
      <c r="AJ372" s="260"/>
      <c r="AL372" s="260"/>
    </row>
    <row r="373" spans="1:38">
      <c r="A373" s="397">
        <v>361</v>
      </c>
      <c r="B373" s="114"/>
      <c r="C373" s="114"/>
      <c r="D373" s="114"/>
      <c r="E373" s="409" t="s">
        <v>369</v>
      </c>
      <c r="H373" s="785">
        <v>21393</v>
      </c>
      <c r="I373" s="114"/>
      <c r="J373" s="785">
        <f>-9690+34055</f>
        <v>24365</v>
      </c>
      <c r="K373" s="114"/>
      <c r="L373" s="260">
        <v>0</v>
      </c>
      <c r="M373" s="114"/>
      <c r="N373" s="785">
        <f>174448-2536</f>
        <v>171912</v>
      </c>
      <c r="O373" s="114"/>
      <c r="P373" s="260">
        <v>-9342</v>
      </c>
      <c r="Q373" s="260">
        <v>-151</v>
      </c>
      <c r="R373" s="785">
        <f>2105+834</f>
        <v>2939</v>
      </c>
      <c r="S373" s="114"/>
      <c r="T373" s="785">
        <f>-31466-3509</f>
        <v>-34975</v>
      </c>
      <c r="U373" s="114"/>
      <c r="V373" s="785">
        <f>-2556+2187</f>
        <v>-369</v>
      </c>
      <c r="W373" s="114"/>
      <c r="X373" s="260">
        <v>5437</v>
      </c>
      <c r="Y373" s="114"/>
      <c r="Z373" s="785">
        <f>458+4788</f>
        <v>5246</v>
      </c>
      <c r="AA373" s="114"/>
      <c r="AB373" s="785">
        <f>224+532</f>
        <v>756</v>
      </c>
      <c r="AC373" s="114"/>
      <c r="AD373" s="785">
        <f>4365-1844</f>
        <v>2521</v>
      </c>
      <c r="AE373" s="114"/>
      <c r="AF373" s="260"/>
      <c r="AG373" s="114"/>
      <c r="AH373" s="260"/>
      <c r="AI373" s="114"/>
      <c r="AJ373" s="260"/>
      <c r="AL373" s="260"/>
    </row>
    <row r="374" spans="1:38">
      <c r="A374" s="397">
        <v>362</v>
      </c>
      <c r="B374" s="114"/>
      <c r="C374" s="114"/>
      <c r="D374" s="114"/>
      <c r="E374" s="409" t="s">
        <v>187</v>
      </c>
      <c r="H374" s="260">
        <v>122620</v>
      </c>
      <c r="I374" s="114"/>
      <c r="J374" s="260">
        <v>0</v>
      </c>
      <c r="K374" s="114"/>
      <c r="L374" s="260">
        <v>0</v>
      </c>
      <c r="M374" s="114"/>
      <c r="N374" s="260">
        <v>1118364</v>
      </c>
      <c r="O374" s="114"/>
      <c r="P374" s="260">
        <v>-279445</v>
      </c>
      <c r="Q374" s="260"/>
      <c r="R374" s="260"/>
      <c r="S374" s="114"/>
      <c r="T374" s="260">
        <v>186896</v>
      </c>
      <c r="U374" s="114"/>
      <c r="V374" s="260">
        <v>2032252</v>
      </c>
      <c r="W374" s="114"/>
      <c r="X374" s="260">
        <v>0</v>
      </c>
      <c r="Y374" s="114"/>
      <c r="Z374" s="260">
        <v>13431</v>
      </c>
      <c r="AA374" s="114"/>
      <c r="AB374" s="260"/>
      <c r="AC374" s="114"/>
      <c r="AD374" s="260">
        <v>-21454</v>
      </c>
      <c r="AE374" s="114"/>
      <c r="AF374" s="260">
        <v>80</v>
      </c>
      <c r="AG374" s="114"/>
      <c r="AH374" s="260"/>
      <c r="AI374" s="114"/>
      <c r="AJ374" s="260"/>
      <c r="AL374" s="260"/>
    </row>
    <row r="375" spans="1:38">
      <c r="A375" s="397">
        <v>363</v>
      </c>
      <c r="B375" s="114"/>
      <c r="C375" s="114"/>
      <c r="D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L375" s="114"/>
    </row>
    <row r="376" spans="1:38">
      <c r="A376" s="397">
        <v>364</v>
      </c>
      <c r="B376" s="114"/>
      <c r="C376" s="114"/>
      <c r="D376" s="114"/>
      <c r="E376" s="423" t="s">
        <v>2819</v>
      </c>
      <c r="H376" s="260">
        <v>0</v>
      </c>
      <c r="I376" s="114"/>
      <c r="J376" s="260">
        <v>0</v>
      </c>
      <c r="K376" s="114"/>
      <c r="L376" s="260">
        <v>0</v>
      </c>
      <c r="M376" s="114"/>
      <c r="N376" s="260"/>
      <c r="O376" s="114"/>
      <c r="P376" s="260">
        <v>0</v>
      </c>
      <c r="Q376" s="260">
        <v>0</v>
      </c>
      <c r="R376" s="260"/>
      <c r="S376" s="114"/>
      <c r="T376" s="260"/>
      <c r="U376" s="114"/>
      <c r="V376" s="260"/>
      <c r="W376" s="114"/>
      <c r="X376" s="260"/>
      <c r="Y376" s="114"/>
      <c r="Z376" s="260"/>
      <c r="AA376" s="114"/>
      <c r="AB376" s="260"/>
      <c r="AC376" s="114"/>
      <c r="AD376" s="260"/>
      <c r="AE376" s="114"/>
      <c r="AF376" s="260"/>
      <c r="AG376" s="114"/>
      <c r="AH376" s="260"/>
      <c r="AI376" s="114"/>
      <c r="AJ376" s="260"/>
      <c r="AL376" s="260"/>
    </row>
    <row r="377" spans="1:38">
      <c r="A377" s="397">
        <v>365</v>
      </c>
      <c r="B377" s="114"/>
      <c r="C377" s="114"/>
      <c r="D377" s="114"/>
      <c r="E377" s="423" t="s">
        <v>2820</v>
      </c>
      <c r="H377" s="260"/>
      <c r="I377" s="114"/>
      <c r="J377" s="260"/>
      <c r="K377" s="114"/>
      <c r="L377" s="260"/>
      <c r="M377" s="114"/>
      <c r="N377" s="260"/>
      <c r="O377" s="114"/>
      <c r="P377" s="260"/>
      <c r="Q377" s="260"/>
      <c r="R377" s="260"/>
      <c r="S377" s="114"/>
      <c r="T377" s="260"/>
      <c r="U377" s="114"/>
      <c r="V377" s="260"/>
      <c r="W377" s="114"/>
      <c r="X377" s="260"/>
      <c r="Y377" s="114"/>
      <c r="Z377" s="260"/>
      <c r="AA377" s="114"/>
      <c r="AB377" s="260"/>
      <c r="AC377" s="114"/>
      <c r="AD377" s="260"/>
      <c r="AE377" s="114"/>
      <c r="AF377" s="260"/>
      <c r="AG377" s="114"/>
      <c r="AH377" s="260"/>
      <c r="AI377" s="114"/>
      <c r="AJ377" s="260"/>
      <c r="AL377" s="260"/>
    </row>
    <row r="378" spans="1:38">
      <c r="A378" s="397">
        <v>366</v>
      </c>
      <c r="B378" s="114"/>
      <c r="C378" s="114"/>
      <c r="D378" s="114"/>
      <c r="E378" s="423" t="s">
        <v>648</v>
      </c>
      <c r="H378" s="260"/>
      <c r="I378" s="114"/>
      <c r="J378" s="260"/>
      <c r="K378" s="114"/>
      <c r="L378" s="260"/>
      <c r="M378" s="114"/>
      <c r="N378" s="260"/>
      <c r="O378" s="114"/>
      <c r="P378" s="260">
        <v>-1421000</v>
      </c>
      <c r="Q378" s="260"/>
      <c r="R378" s="260">
        <v>1144169</v>
      </c>
      <c r="S378" s="114"/>
      <c r="T378" s="260"/>
      <c r="U378" s="114"/>
      <c r="V378" s="260"/>
      <c r="W378" s="114"/>
      <c r="X378" s="260"/>
      <c r="Y378" s="114"/>
      <c r="Z378" s="260"/>
      <c r="AA378" s="114"/>
      <c r="AB378" s="260"/>
      <c r="AC378" s="114"/>
      <c r="AD378" s="260"/>
      <c r="AE378" s="114"/>
      <c r="AF378" s="260"/>
      <c r="AG378" s="114"/>
      <c r="AH378" s="260"/>
      <c r="AI378" s="114"/>
      <c r="AJ378" s="260"/>
      <c r="AL378" s="260">
        <v>-7321</v>
      </c>
    </row>
    <row r="379" spans="1:38">
      <c r="A379" s="397">
        <v>367</v>
      </c>
      <c r="B379" s="114"/>
      <c r="C379" s="114"/>
      <c r="D379" s="114"/>
      <c r="E379" s="423" t="s">
        <v>649</v>
      </c>
      <c r="H379" s="260"/>
      <c r="I379" s="114"/>
      <c r="J379" s="260"/>
      <c r="K379" s="114"/>
      <c r="L379" s="260"/>
      <c r="M379" s="114"/>
      <c r="N379" s="260"/>
      <c r="O379" s="114"/>
      <c r="P379" s="260">
        <v>-3736000</v>
      </c>
      <c r="Q379" s="260"/>
      <c r="R379" s="260"/>
      <c r="S379" s="114"/>
      <c r="T379" s="260"/>
      <c r="U379" s="114"/>
      <c r="V379" s="260"/>
      <c r="W379" s="114"/>
      <c r="X379" s="260"/>
      <c r="Y379" s="114"/>
      <c r="Z379" s="260"/>
      <c r="AA379" s="114"/>
      <c r="AB379" s="260"/>
      <c r="AC379" s="114"/>
      <c r="AD379" s="260"/>
      <c r="AE379" s="114"/>
      <c r="AF379" s="260"/>
      <c r="AG379" s="114"/>
      <c r="AH379" s="260"/>
      <c r="AI379" s="114"/>
      <c r="AJ379" s="260"/>
      <c r="AL379" s="260"/>
    </row>
    <row r="380" spans="1:38">
      <c r="A380" s="397">
        <v>368</v>
      </c>
      <c r="B380" s="114"/>
      <c r="C380" s="114"/>
      <c r="D380" s="114"/>
      <c r="E380" s="423" t="s">
        <v>2821</v>
      </c>
      <c r="H380" s="260"/>
      <c r="I380" s="114"/>
      <c r="J380" s="260">
        <v>-204333</v>
      </c>
      <c r="K380" s="114"/>
      <c r="L380" s="260">
        <v>2616158</v>
      </c>
      <c r="M380" s="114"/>
      <c r="N380" s="260"/>
      <c r="O380" s="114"/>
      <c r="P380" s="260">
        <v>0</v>
      </c>
      <c r="Q380" s="260">
        <v>0</v>
      </c>
      <c r="R380" s="260"/>
      <c r="S380" s="114"/>
      <c r="T380" s="260"/>
      <c r="U380" s="114"/>
      <c r="V380" s="260"/>
      <c r="W380" s="114"/>
      <c r="X380" s="260"/>
      <c r="Y380" s="114"/>
      <c r="Z380" s="260"/>
      <c r="AA380" s="114"/>
      <c r="AB380" s="260"/>
      <c r="AC380" s="114"/>
      <c r="AD380" s="260"/>
      <c r="AE380" s="114"/>
      <c r="AF380" s="260"/>
      <c r="AG380" s="114"/>
      <c r="AH380" s="260"/>
      <c r="AI380" s="114"/>
      <c r="AJ380" s="260"/>
      <c r="AL380" s="260"/>
    </row>
    <row r="381" spans="1:38">
      <c r="A381" s="397">
        <v>369</v>
      </c>
      <c r="B381" s="114"/>
      <c r="C381" s="114"/>
      <c r="D381" s="114"/>
      <c r="E381" s="423" t="s">
        <v>2821</v>
      </c>
      <c r="H381" s="260"/>
      <c r="I381" s="114"/>
      <c r="J381" s="260"/>
      <c r="K381" s="114"/>
      <c r="L381" s="260"/>
      <c r="M381" s="114"/>
      <c r="N381" s="260"/>
      <c r="O381" s="114"/>
      <c r="P381" s="260"/>
      <c r="Q381" s="260"/>
      <c r="R381" s="260"/>
      <c r="S381" s="114"/>
      <c r="T381" s="260"/>
      <c r="U381" s="114"/>
      <c r="V381" s="260"/>
      <c r="W381" s="114"/>
      <c r="X381" s="260"/>
      <c r="Y381" s="114"/>
      <c r="Z381" s="260"/>
      <c r="AA381" s="114"/>
      <c r="AB381" s="260"/>
      <c r="AC381" s="114"/>
      <c r="AD381" s="260"/>
      <c r="AE381" s="114"/>
      <c r="AF381" s="260"/>
      <c r="AG381" s="114"/>
      <c r="AH381" s="260"/>
      <c r="AI381" s="114"/>
      <c r="AJ381" s="260"/>
      <c r="AL381" s="260"/>
    </row>
    <row r="382" spans="1:38">
      <c r="A382" s="397">
        <v>370</v>
      </c>
      <c r="B382" s="114"/>
      <c r="C382" s="114"/>
      <c r="D382" s="114"/>
      <c r="E382" s="423"/>
      <c r="F382" s="12"/>
      <c r="G382" s="168"/>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L382" s="114"/>
    </row>
    <row r="383" spans="1:38">
      <c r="A383" s="397">
        <v>371</v>
      </c>
      <c r="B383" s="114"/>
      <c r="C383" s="114"/>
      <c r="D383" s="114"/>
      <c r="E383" s="166" t="s">
        <v>103</v>
      </c>
      <c r="F383" s="12"/>
      <c r="G383" s="168"/>
      <c r="H383" s="260"/>
      <c r="I383" s="114"/>
      <c r="J383" s="260">
        <v>0</v>
      </c>
      <c r="K383" s="114"/>
      <c r="L383" s="260">
        <v>0</v>
      </c>
      <c r="M383" s="114"/>
      <c r="N383" s="260"/>
      <c r="O383" s="114"/>
      <c r="P383" s="260">
        <v>0</v>
      </c>
      <c r="Q383" s="260">
        <v>0</v>
      </c>
      <c r="R383" s="260"/>
      <c r="S383" s="114"/>
      <c r="T383" s="260"/>
      <c r="U383" s="114"/>
      <c r="V383" s="260"/>
      <c r="W383" s="114"/>
      <c r="X383" s="260"/>
      <c r="Y383" s="114"/>
      <c r="Z383" s="260"/>
      <c r="AA383" s="114"/>
      <c r="AB383" s="260"/>
      <c r="AC383" s="114"/>
      <c r="AD383" s="260"/>
      <c r="AE383" s="114"/>
      <c r="AF383" s="260"/>
      <c r="AG383" s="114"/>
      <c r="AH383" s="260">
        <v>0</v>
      </c>
      <c r="AI383" s="114"/>
      <c r="AJ383" s="260"/>
      <c r="AL383" s="260"/>
    </row>
    <row r="384" spans="1:38">
      <c r="A384" s="397">
        <v>372</v>
      </c>
      <c r="B384" s="114"/>
      <c r="C384" s="114"/>
      <c r="D384" s="114"/>
      <c r="E384" s="166" t="s">
        <v>105</v>
      </c>
      <c r="F384" s="12"/>
      <c r="G384" s="168"/>
      <c r="H384" s="260">
        <v>17211217</v>
      </c>
      <c r="I384" s="114"/>
      <c r="J384" s="260"/>
      <c r="K384" s="114"/>
      <c r="L384" s="260">
        <v>0</v>
      </c>
      <c r="M384" s="114"/>
      <c r="N384" s="260">
        <v>0</v>
      </c>
      <c r="O384" s="114"/>
      <c r="P384" s="260"/>
      <c r="Q384" s="260"/>
      <c r="R384" s="260"/>
      <c r="S384" s="114"/>
      <c r="T384" s="260"/>
      <c r="U384" s="114"/>
      <c r="V384" s="260"/>
      <c r="W384" s="114"/>
      <c r="X384" s="260"/>
      <c r="Y384" s="114"/>
      <c r="Z384" s="260"/>
      <c r="AA384" s="114"/>
      <c r="AB384" s="260"/>
      <c r="AC384" s="114"/>
      <c r="AD384" s="260">
        <v>0</v>
      </c>
      <c r="AE384" s="114"/>
      <c r="AF384" s="260">
        <v>232960</v>
      </c>
      <c r="AG384" s="114"/>
      <c r="AH384" s="260"/>
      <c r="AI384" s="114"/>
      <c r="AJ384" s="260"/>
      <c r="AL384" s="260"/>
    </row>
    <row r="385" spans="1:38">
      <c r="A385" s="397">
        <v>373</v>
      </c>
      <c r="B385" s="114"/>
      <c r="C385" s="114"/>
      <c r="D385" s="114"/>
      <c r="E385" s="166" t="s">
        <v>106</v>
      </c>
      <c r="F385" s="12"/>
      <c r="G385" s="168"/>
      <c r="H385" s="260"/>
      <c r="I385" s="114"/>
      <c r="J385" s="260">
        <v>0</v>
      </c>
      <c r="K385" s="114"/>
      <c r="L385" s="260">
        <v>0</v>
      </c>
      <c r="M385" s="114"/>
      <c r="N385" s="260"/>
      <c r="O385" s="114"/>
      <c r="P385" s="260">
        <v>0</v>
      </c>
      <c r="Q385" s="260">
        <v>0</v>
      </c>
      <c r="R385" s="260"/>
      <c r="S385" s="114"/>
      <c r="T385" s="260"/>
      <c r="U385" s="114"/>
      <c r="V385" s="260"/>
      <c r="W385" s="114"/>
      <c r="X385" s="260"/>
      <c r="Y385" s="114"/>
      <c r="Z385" s="260"/>
      <c r="AA385" s="114"/>
      <c r="AB385" s="260"/>
      <c r="AC385" s="114"/>
      <c r="AD385" s="260"/>
      <c r="AE385" s="114"/>
      <c r="AF385" s="260"/>
      <c r="AG385" s="114"/>
      <c r="AH385" s="260"/>
      <c r="AI385" s="114"/>
      <c r="AJ385" s="260">
        <v>-10926</v>
      </c>
      <c r="AL385" s="260">
        <f>-62+62</f>
        <v>0</v>
      </c>
    </row>
    <row r="386" spans="1:38">
      <c r="A386" s="397">
        <v>374</v>
      </c>
      <c r="B386" s="114"/>
      <c r="C386" s="114"/>
      <c r="D386" s="114"/>
      <c r="E386" s="12"/>
      <c r="F386" s="12"/>
      <c r="G386" s="440" t="s">
        <v>646</v>
      </c>
      <c r="H386" s="400">
        <f>SUM(H383:H385)</f>
        <v>17211217</v>
      </c>
      <c r="I386" s="114"/>
      <c r="J386" s="400">
        <f>SUM(J383:J385)</f>
        <v>0</v>
      </c>
      <c r="K386" s="114"/>
      <c r="L386" s="400">
        <f>SUM(L383:L385)</f>
        <v>0</v>
      </c>
      <c r="M386" s="114"/>
      <c r="N386" s="400">
        <f>SUM(N383:N385)</f>
        <v>0</v>
      </c>
      <c r="O386" s="114"/>
      <c r="P386" s="400">
        <f>SUM(P383:P385)</f>
        <v>0</v>
      </c>
      <c r="Q386" s="400">
        <f>SUM(Q383:Q385)</f>
        <v>0</v>
      </c>
      <c r="R386" s="400">
        <f>SUM(R383:R385)</f>
        <v>0</v>
      </c>
      <c r="S386" s="114"/>
      <c r="T386" s="400">
        <f>SUM(T383:T385)</f>
        <v>0</v>
      </c>
      <c r="U386" s="114"/>
      <c r="V386" s="400">
        <f>SUM(V383:V385)</f>
        <v>0</v>
      </c>
      <c r="W386" s="114"/>
      <c r="X386" s="400">
        <f>SUM(X383:X385)</f>
        <v>0</v>
      </c>
      <c r="Y386" s="114"/>
      <c r="Z386" s="400">
        <f>SUM(Z383:Z385)</f>
        <v>0</v>
      </c>
      <c r="AA386" s="114"/>
      <c r="AB386" s="400">
        <f>SUM(AB383:AB385)</f>
        <v>0</v>
      </c>
      <c r="AC386" s="114"/>
      <c r="AD386" s="400">
        <f>SUM(AD383:AD385)</f>
        <v>0</v>
      </c>
      <c r="AE386" s="114"/>
      <c r="AF386" s="400">
        <f>SUM(AF383:AF385)</f>
        <v>232960</v>
      </c>
      <c r="AG386" s="114"/>
      <c r="AH386" s="400">
        <f>SUM(AH380:AH385)</f>
        <v>0</v>
      </c>
      <c r="AI386" s="114"/>
      <c r="AJ386" s="400">
        <f>SUM(AJ383:AJ385)</f>
        <v>-10926</v>
      </c>
      <c r="AL386" s="400">
        <f>SUM(AL383:AL385)</f>
        <v>0</v>
      </c>
    </row>
    <row r="387" spans="1:38">
      <c r="A387" s="397">
        <v>375</v>
      </c>
      <c r="B387" s="114"/>
      <c r="C387" s="114"/>
      <c r="D387" s="114"/>
      <c r="E387" s="423"/>
      <c r="F387" s="12"/>
      <c r="G387" s="168"/>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L387" s="114"/>
    </row>
    <row r="388" spans="1:38">
      <c r="A388" s="397">
        <v>376</v>
      </c>
      <c r="B388" s="114"/>
      <c r="C388" s="114"/>
      <c r="D388" s="114"/>
      <c r="E388" s="166" t="s">
        <v>103</v>
      </c>
      <c r="F388" s="12"/>
      <c r="G388" s="168"/>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L388" s="114"/>
    </row>
    <row r="389" spans="1:38">
      <c r="A389" s="397">
        <v>377</v>
      </c>
      <c r="B389" s="114"/>
      <c r="C389" s="114"/>
      <c r="D389" s="114"/>
      <c r="E389" s="166" t="s">
        <v>105</v>
      </c>
      <c r="F389" s="12"/>
      <c r="G389" s="168"/>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L389" s="114"/>
    </row>
    <row r="390" spans="1:38">
      <c r="A390" s="397">
        <v>378</v>
      </c>
      <c r="B390" s="114"/>
      <c r="C390" s="114"/>
      <c r="D390" s="114"/>
      <c r="E390" s="166" t="s">
        <v>106</v>
      </c>
      <c r="F390" s="12"/>
      <c r="G390" s="168"/>
      <c r="H390" s="114"/>
      <c r="I390" s="114"/>
      <c r="J390" s="114"/>
      <c r="K390" s="114"/>
      <c r="L390" s="114"/>
      <c r="M390" s="114"/>
      <c r="N390" s="114"/>
      <c r="O390" s="114"/>
      <c r="P390" s="114"/>
      <c r="Q390" s="114"/>
      <c r="R390" s="114"/>
      <c r="S390" s="114"/>
      <c r="T390" s="114"/>
      <c r="U390" s="114"/>
      <c r="V390" s="114"/>
      <c r="W390" s="114"/>
      <c r="X390" s="114">
        <v>0</v>
      </c>
      <c r="Y390" s="114"/>
      <c r="Z390" s="114"/>
      <c r="AA390" s="114"/>
      <c r="AB390" s="114"/>
      <c r="AC390" s="114"/>
      <c r="AD390" s="114"/>
      <c r="AE390" s="114"/>
      <c r="AF390" s="114"/>
      <c r="AG390" s="114"/>
      <c r="AH390" s="114"/>
      <c r="AI390" s="114"/>
      <c r="AJ390" s="114">
        <v>0</v>
      </c>
      <c r="AL390" s="114">
        <v>0</v>
      </c>
    </row>
    <row r="391" spans="1:38">
      <c r="A391" s="397">
        <v>379</v>
      </c>
      <c r="B391" s="114"/>
      <c r="C391" s="114"/>
      <c r="D391" s="114"/>
      <c r="E391" s="12"/>
      <c r="F391" s="12"/>
      <c r="G391" s="440" t="s">
        <v>647</v>
      </c>
      <c r="H391" s="400">
        <f>SUM(H388:H390)</f>
        <v>0</v>
      </c>
      <c r="I391" s="114"/>
      <c r="J391" s="400">
        <f>SUM(J388:J390)</f>
        <v>0</v>
      </c>
      <c r="K391" s="114"/>
      <c r="L391" s="400">
        <f>SUM(L388:L390)</f>
        <v>0</v>
      </c>
      <c r="M391" s="114"/>
      <c r="N391" s="400">
        <f>SUM(N388:N390)</f>
        <v>0</v>
      </c>
      <c r="O391" s="114"/>
      <c r="P391" s="400">
        <f>SUM(P388:P390)</f>
        <v>0</v>
      </c>
      <c r="Q391" s="400">
        <f>SUM(Q388:Q390)</f>
        <v>0</v>
      </c>
      <c r="R391" s="400">
        <f>SUM(R388:R390)</f>
        <v>0</v>
      </c>
      <c r="S391" s="114"/>
      <c r="T391" s="400">
        <f>SUM(T388:T390)</f>
        <v>0</v>
      </c>
      <c r="U391" s="114"/>
      <c r="V391" s="400">
        <f>SUM(V388:V390)</f>
        <v>0</v>
      </c>
      <c r="W391" s="114"/>
      <c r="X391" s="400">
        <f>SUM(X388:X390)</f>
        <v>0</v>
      </c>
      <c r="Y391" s="114"/>
      <c r="Z391" s="400">
        <f>SUM(Z388:Z390)</f>
        <v>0</v>
      </c>
      <c r="AA391" s="114"/>
      <c r="AB391" s="400">
        <f>SUM(AB388:AB390)</f>
        <v>0</v>
      </c>
      <c r="AC391" s="114"/>
      <c r="AD391" s="400">
        <f>SUM(AD388:AD390)</f>
        <v>0</v>
      </c>
      <c r="AE391" s="114"/>
      <c r="AF391" s="400">
        <f>SUM(AF388:AF390)</f>
        <v>0</v>
      </c>
      <c r="AG391" s="114"/>
      <c r="AH391" s="114"/>
      <c r="AI391" s="114"/>
      <c r="AJ391" s="400">
        <f>SUM(AJ388:AJ390)</f>
        <v>0</v>
      </c>
      <c r="AL391" s="400">
        <f>SUM(AL388:AL390)</f>
        <v>0</v>
      </c>
    </row>
    <row r="392" spans="1:38">
      <c r="A392" s="397">
        <v>380</v>
      </c>
      <c r="B392" s="114"/>
      <c r="C392" s="114"/>
      <c r="D392" s="114"/>
      <c r="E392" s="12"/>
      <c r="F392" s="12"/>
      <c r="G392" s="440"/>
      <c r="H392" s="114"/>
      <c r="I392" s="114"/>
      <c r="J392" s="114"/>
      <c r="K392" s="114"/>
      <c r="L392" s="209"/>
      <c r="M392" s="114"/>
      <c r="N392" s="114"/>
      <c r="O392" s="114"/>
      <c r="P392" s="209"/>
      <c r="Q392" s="209"/>
      <c r="R392" s="114"/>
      <c r="S392" s="114"/>
      <c r="T392" s="114"/>
      <c r="U392" s="114"/>
      <c r="V392" s="114"/>
      <c r="W392" s="114"/>
      <c r="X392" s="114"/>
      <c r="Y392" s="114"/>
      <c r="Z392" s="114"/>
      <c r="AA392" s="114"/>
      <c r="AB392" s="114"/>
      <c r="AC392" s="114"/>
      <c r="AD392" s="114"/>
      <c r="AE392" s="114"/>
      <c r="AF392" s="114"/>
      <c r="AG392" s="114"/>
      <c r="AH392" s="114"/>
      <c r="AI392" s="114"/>
      <c r="AJ392" s="114"/>
      <c r="AL392" s="114"/>
    </row>
    <row r="393" spans="1:38">
      <c r="A393" s="397">
        <v>381</v>
      </c>
      <c r="B393" s="114"/>
      <c r="C393" s="114"/>
      <c r="D393" s="114"/>
      <c r="E393" s="417" t="s">
        <v>3197</v>
      </c>
      <c r="H393" s="260">
        <v>0</v>
      </c>
      <c r="I393" s="114"/>
      <c r="J393" s="260">
        <v>-85271976</v>
      </c>
      <c r="K393" s="114"/>
      <c r="L393" s="260"/>
      <c r="M393" s="114"/>
      <c r="N393" s="260">
        <v>0</v>
      </c>
      <c r="O393" s="114"/>
      <c r="P393" s="260">
        <v>0</v>
      </c>
      <c r="Q393" s="260">
        <v>0</v>
      </c>
      <c r="R393" s="260"/>
      <c r="S393" s="114"/>
      <c r="T393" s="260"/>
      <c r="U393" s="114"/>
      <c r="V393" s="260"/>
      <c r="W393" s="114"/>
      <c r="X393" s="260"/>
      <c r="Y393" s="114"/>
      <c r="Z393" s="260"/>
      <c r="AA393" s="114"/>
      <c r="AB393" s="260"/>
      <c r="AC393" s="114"/>
      <c r="AD393" s="260"/>
      <c r="AE393" s="114"/>
      <c r="AF393" s="260"/>
      <c r="AG393" s="114"/>
      <c r="AH393" s="260"/>
      <c r="AI393" s="114"/>
      <c r="AJ393" s="260"/>
      <c r="AL393" s="260"/>
    </row>
    <row r="394" spans="1:38">
      <c r="A394" s="397">
        <v>382</v>
      </c>
      <c r="B394" s="114"/>
      <c r="C394" s="114"/>
      <c r="D394" s="114"/>
      <c r="E394" s="417" t="s">
        <v>107</v>
      </c>
      <c r="H394" s="260">
        <v>2805589</v>
      </c>
      <c r="I394" s="114"/>
      <c r="J394" s="260"/>
      <c r="K394" s="114"/>
      <c r="L394" s="260"/>
      <c r="M394" s="114"/>
      <c r="N394" s="260">
        <v>0</v>
      </c>
      <c r="O394" s="114"/>
      <c r="P394" s="260">
        <v>0</v>
      </c>
      <c r="Q394" s="260">
        <v>0</v>
      </c>
      <c r="R394" s="260"/>
      <c r="S394" s="114"/>
      <c r="T394" s="260"/>
      <c r="U394" s="114"/>
      <c r="V394" s="260"/>
      <c r="W394" s="114"/>
      <c r="X394" s="260"/>
      <c r="Y394" s="114"/>
      <c r="Z394" s="260"/>
      <c r="AA394" s="114"/>
      <c r="AB394" s="260"/>
      <c r="AC394" s="114"/>
      <c r="AD394" s="260"/>
      <c r="AE394" s="114"/>
      <c r="AF394" s="260"/>
      <c r="AG394" s="114"/>
      <c r="AH394" s="260"/>
      <c r="AI394" s="114"/>
      <c r="AJ394" s="260"/>
      <c r="AL394" s="260"/>
    </row>
    <row r="395" spans="1:38">
      <c r="A395" s="397">
        <v>383</v>
      </c>
      <c r="B395" s="114"/>
      <c r="C395" s="114"/>
      <c r="D395" s="114"/>
      <c r="E395" s="417" t="s">
        <v>104</v>
      </c>
      <c r="H395" s="260">
        <v>114156</v>
      </c>
      <c r="I395" s="114"/>
      <c r="J395" s="260">
        <v>32679</v>
      </c>
      <c r="K395" s="114"/>
      <c r="L395" s="260"/>
      <c r="M395" s="114"/>
      <c r="N395" s="260">
        <v>53660</v>
      </c>
      <c r="O395" s="114"/>
      <c r="P395" s="260">
        <v>-32631</v>
      </c>
      <c r="Q395" s="260">
        <v>-527</v>
      </c>
      <c r="R395" s="260">
        <v>30199</v>
      </c>
      <c r="S395" s="114"/>
      <c r="T395" s="260">
        <v>-343751</v>
      </c>
      <c r="U395" s="114"/>
      <c r="V395" s="260">
        <v>-99607</v>
      </c>
      <c r="W395" s="114"/>
      <c r="X395" s="260">
        <v>-136887</v>
      </c>
      <c r="Y395" s="114"/>
      <c r="Z395" s="785">
        <f>2457-6000</f>
        <v>-3543</v>
      </c>
      <c r="AA395" s="114"/>
      <c r="AB395" s="260">
        <v>-8328</v>
      </c>
      <c r="AC395" s="114"/>
      <c r="AD395" s="260"/>
      <c r="AE395" s="114"/>
      <c r="AF395" s="260"/>
      <c r="AG395" s="114"/>
      <c r="AH395" s="260"/>
      <c r="AI395" s="114"/>
      <c r="AJ395" s="260"/>
      <c r="AL395" s="260"/>
    </row>
    <row r="396" spans="1:38">
      <c r="A396" s="397">
        <v>384</v>
      </c>
      <c r="B396" s="114"/>
      <c r="C396" s="114"/>
      <c r="D396" s="114"/>
      <c r="E396" s="166" t="s">
        <v>3555</v>
      </c>
      <c r="H396" s="260"/>
      <c r="I396" s="114"/>
      <c r="J396" s="260">
        <v>37690</v>
      </c>
      <c r="K396" s="114"/>
      <c r="L396" s="260"/>
      <c r="M396" s="114"/>
      <c r="N396" s="260"/>
      <c r="O396" s="114"/>
      <c r="P396" s="260"/>
      <c r="Q396" s="260"/>
      <c r="R396" s="260"/>
      <c r="S396" s="114"/>
      <c r="T396" s="260"/>
      <c r="U396" s="114"/>
      <c r="V396" s="260"/>
      <c r="W396" s="114"/>
      <c r="X396" s="260"/>
      <c r="Y396" s="114"/>
      <c r="Z396" s="260"/>
      <c r="AA396" s="114"/>
      <c r="AB396" s="260"/>
      <c r="AC396" s="114"/>
      <c r="AD396" s="260"/>
      <c r="AE396" s="114"/>
      <c r="AF396" s="260"/>
      <c r="AG396" s="114"/>
      <c r="AH396" s="260"/>
      <c r="AI396" s="114"/>
      <c r="AJ396" s="260"/>
      <c r="AL396" s="260"/>
    </row>
    <row r="397" spans="1:38">
      <c r="A397" s="397">
        <v>385</v>
      </c>
      <c r="B397" s="114"/>
      <c r="C397" s="114"/>
      <c r="D397" s="114"/>
      <c r="E397" s="12" t="s">
        <v>3556</v>
      </c>
      <c r="H397" s="260"/>
      <c r="I397" s="114"/>
      <c r="J397" s="260">
        <v>897488</v>
      </c>
      <c r="K397" s="114"/>
      <c r="L397" s="260"/>
      <c r="M397" s="114"/>
      <c r="N397" s="260"/>
      <c r="O397" s="114"/>
      <c r="P397" s="260"/>
      <c r="Q397" s="260"/>
      <c r="R397" s="260"/>
      <c r="S397" s="114"/>
      <c r="T397" s="260"/>
      <c r="U397" s="114"/>
      <c r="V397" s="260"/>
      <c r="W397" s="114"/>
      <c r="X397" s="260"/>
      <c r="Y397" s="114"/>
      <c r="Z397" s="260"/>
      <c r="AA397" s="114"/>
      <c r="AB397" s="260"/>
      <c r="AC397" s="114"/>
      <c r="AD397" s="260"/>
      <c r="AE397" s="114"/>
      <c r="AF397" s="260"/>
      <c r="AG397" s="114"/>
      <c r="AH397" s="260"/>
      <c r="AI397" s="114"/>
      <c r="AJ397" s="260"/>
      <c r="AL397" s="260"/>
    </row>
    <row r="398" spans="1:38">
      <c r="A398" s="397">
        <v>386</v>
      </c>
      <c r="B398" s="114"/>
      <c r="C398" s="114"/>
      <c r="D398" s="114"/>
      <c r="E398" s="417" t="s">
        <v>140</v>
      </c>
      <c r="H398" s="260">
        <v>0</v>
      </c>
      <c r="I398" s="114"/>
      <c r="J398" s="260">
        <v>0</v>
      </c>
      <c r="K398" s="114"/>
      <c r="L398" s="260"/>
      <c r="M398" s="114"/>
      <c r="N398" s="260">
        <v>0</v>
      </c>
      <c r="O398" s="114"/>
      <c r="P398" s="260">
        <v>0</v>
      </c>
      <c r="Q398" s="260">
        <v>0</v>
      </c>
      <c r="R398" s="260"/>
      <c r="S398" s="114"/>
      <c r="T398" s="260"/>
      <c r="U398" s="114"/>
      <c r="V398" s="260"/>
      <c r="W398" s="114"/>
      <c r="X398" s="260"/>
      <c r="Y398" s="114"/>
      <c r="Z398" s="260"/>
      <c r="AA398" s="114"/>
      <c r="AB398" s="260"/>
      <c r="AC398" s="114"/>
      <c r="AD398" s="260"/>
      <c r="AE398" s="114"/>
      <c r="AF398" s="260"/>
      <c r="AG398" s="114"/>
      <c r="AH398" s="260"/>
      <c r="AI398" s="114"/>
      <c r="AJ398" s="260"/>
      <c r="AL398" s="260"/>
    </row>
    <row r="399" spans="1:38">
      <c r="A399" s="397">
        <v>387</v>
      </c>
      <c r="B399" s="114"/>
      <c r="C399" s="114"/>
      <c r="D399" s="114"/>
      <c r="E399" s="12" t="s">
        <v>3557</v>
      </c>
      <c r="H399" s="260"/>
      <c r="I399" s="114"/>
      <c r="J399" s="260"/>
      <c r="K399" s="114"/>
      <c r="L399" s="260"/>
      <c r="M399" s="114"/>
      <c r="N399" s="260"/>
      <c r="O399" s="114"/>
      <c r="P399" s="260"/>
      <c r="Q399" s="260"/>
      <c r="R399" s="260"/>
      <c r="S399" s="114"/>
      <c r="T399" s="260"/>
      <c r="U399" s="114"/>
      <c r="V399" s="260"/>
      <c r="W399" s="114"/>
      <c r="X399" s="260"/>
      <c r="Y399" s="114"/>
      <c r="Z399" s="260"/>
      <c r="AA399" s="114"/>
      <c r="AB399" s="260"/>
      <c r="AC399" s="114"/>
      <c r="AD399" s="260"/>
      <c r="AE399" s="114"/>
      <c r="AF399" s="260"/>
      <c r="AG399" s="114"/>
      <c r="AH399" s="260"/>
      <c r="AI399" s="114"/>
      <c r="AJ399" s="260"/>
      <c r="AL399" s="260"/>
    </row>
    <row r="400" spans="1:38">
      <c r="A400" s="397">
        <v>388</v>
      </c>
      <c r="B400" s="114"/>
      <c r="C400" s="114"/>
      <c r="D400" s="114"/>
      <c r="E400" s="417" t="s">
        <v>141</v>
      </c>
      <c r="H400" s="260">
        <v>0</v>
      </c>
      <c r="I400" s="114"/>
      <c r="J400" s="260">
        <v>0</v>
      </c>
      <c r="K400" s="114"/>
      <c r="L400" s="260"/>
      <c r="M400" s="114"/>
      <c r="N400" s="260">
        <v>0</v>
      </c>
      <c r="O400" s="114"/>
      <c r="P400" s="260">
        <v>0</v>
      </c>
      <c r="Q400" s="260">
        <v>0</v>
      </c>
      <c r="R400" s="260"/>
      <c r="S400" s="114"/>
      <c r="T400" s="260"/>
      <c r="U400" s="114"/>
      <c r="V400" s="260"/>
      <c r="W400" s="114"/>
      <c r="X400" s="260"/>
      <c r="Y400" s="114"/>
      <c r="Z400" s="260"/>
      <c r="AA400" s="114"/>
      <c r="AB400" s="260"/>
      <c r="AC400" s="114"/>
      <c r="AD400" s="260"/>
      <c r="AE400" s="114"/>
      <c r="AF400" s="260"/>
      <c r="AG400" s="114"/>
      <c r="AH400" s="260"/>
      <c r="AI400" s="114"/>
      <c r="AJ400" s="260"/>
      <c r="AL400" s="260"/>
    </row>
    <row r="401" spans="1:38">
      <c r="A401" s="397">
        <v>389</v>
      </c>
      <c r="B401" s="114"/>
      <c r="C401" s="114"/>
      <c r="D401" s="114"/>
      <c r="E401" s="417" t="s">
        <v>393</v>
      </c>
      <c r="H401" s="260">
        <v>0</v>
      </c>
      <c r="I401" s="114"/>
      <c r="J401" s="260">
        <v>0</v>
      </c>
      <c r="K401" s="114"/>
      <c r="L401" s="260"/>
      <c r="M401" s="114"/>
      <c r="N401" s="260">
        <v>0</v>
      </c>
      <c r="O401" s="114"/>
      <c r="P401" s="260">
        <v>0</v>
      </c>
      <c r="Q401" s="260">
        <v>0</v>
      </c>
      <c r="R401" s="260"/>
      <c r="S401" s="114"/>
      <c r="T401" s="260"/>
      <c r="U401" s="114"/>
      <c r="V401" s="260"/>
      <c r="W401" s="114"/>
      <c r="X401" s="260"/>
      <c r="Y401" s="114"/>
      <c r="Z401" s="260"/>
      <c r="AA401" s="114"/>
      <c r="AB401" s="260"/>
      <c r="AC401" s="114"/>
      <c r="AD401" s="260"/>
      <c r="AE401" s="114"/>
      <c r="AF401" s="260"/>
      <c r="AG401" s="114"/>
      <c r="AH401" s="260"/>
      <c r="AI401" s="114"/>
      <c r="AJ401" s="260"/>
      <c r="AL401" s="260"/>
    </row>
    <row r="402" spans="1:38">
      <c r="A402" s="397">
        <v>390</v>
      </c>
      <c r="B402" s="114"/>
      <c r="C402" s="114"/>
      <c r="D402" s="114"/>
      <c r="E402" s="417" t="s">
        <v>2983</v>
      </c>
      <c r="H402" s="260">
        <v>799</v>
      </c>
      <c r="I402" s="114"/>
      <c r="J402" s="260">
        <v>0</v>
      </c>
      <c r="K402" s="114"/>
      <c r="L402" s="260"/>
      <c r="M402" s="114"/>
      <c r="N402" s="260">
        <v>6542</v>
      </c>
      <c r="O402" s="114"/>
      <c r="P402" s="260">
        <v>0</v>
      </c>
      <c r="Q402" s="260"/>
      <c r="R402" s="260"/>
      <c r="S402" s="114"/>
      <c r="T402" s="260"/>
      <c r="U402" s="114"/>
      <c r="V402" s="260"/>
      <c r="W402" s="114"/>
      <c r="X402" s="260"/>
      <c r="Y402" s="114"/>
      <c r="Z402" s="260"/>
      <c r="AA402" s="114"/>
      <c r="AB402" s="260"/>
      <c r="AC402" s="114"/>
      <c r="AD402" s="260"/>
      <c r="AE402" s="114"/>
      <c r="AF402" s="260"/>
      <c r="AG402" s="114"/>
      <c r="AH402" s="405"/>
      <c r="AI402" s="114"/>
      <c r="AJ402" s="260"/>
      <c r="AL402" s="260"/>
    </row>
    <row r="403" spans="1:38">
      <c r="A403" s="397">
        <v>391</v>
      </c>
      <c r="B403" s="114"/>
      <c r="C403" s="114"/>
      <c r="D403" s="114"/>
      <c r="E403" s="166" t="s">
        <v>3560</v>
      </c>
      <c r="H403" s="260">
        <v>27142</v>
      </c>
      <c r="I403" s="114"/>
      <c r="J403" s="260">
        <v>13253</v>
      </c>
      <c r="K403" s="114"/>
      <c r="L403" s="260"/>
      <c r="M403" s="114"/>
      <c r="N403" s="260">
        <v>113613</v>
      </c>
      <c r="O403" s="114"/>
      <c r="P403" s="260"/>
      <c r="Q403" s="260">
        <v>0</v>
      </c>
      <c r="R403" s="260"/>
      <c r="S403" s="114"/>
      <c r="T403" s="260"/>
      <c r="U403" s="114"/>
      <c r="V403" s="260"/>
      <c r="W403" s="114"/>
      <c r="X403" s="260"/>
      <c r="Y403" s="114"/>
      <c r="Z403" s="260"/>
      <c r="AA403" s="114"/>
      <c r="AB403" s="260"/>
      <c r="AC403" s="114"/>
      <c r="AD403" s="260"/>
      <c r="AE403" s="114"/>
      <c r="AF403" s="260"/>
      <c r="AG403" s="114"/>
      <c r="AH403" s="405"/>
      <c r="AI403" s="114"/>
      <c r="AJ403" s="260"/>
      <c r="AL403" s="260"/>
    </row>
    <row r="404" spans="1:38">
      <c r="A404" s="397">
        <v>392</v>
      </c>
      <c r="B404" s="114"/>
      <c r="C404" s="114"/>
      <c r="D404" s="114"/>
      <c r="E404" s="417"/>
      <c r="H404" s="405">
        <f>SUM(H393:H403)</f>
        <v>2947686</v>
      </c>
      <c r="I404" s="114"/>
      <c r="J404" s="405">
        <f>SUM(J393:J403)</f>
        <v>-84290866</v>
      </c>
      <c r="K404" s="114"/>
      <c r="L404" s="405">
        <f>SUM(L393:L403)</f>
        <v>0</v>
      </c>
      <c r="M404" s="114"/>
      <c r="N404" s="405">
        <f>SUM(N393:N403)</f>
        <v>173815</v>
      </c>
      <c r="O404" s="114"/>
      <c r="P404" s="405">
        <f>SUM(P393:P403)</f>
        <v>-32631</v>
      </c>
      <c r="Q404" s="405">
        <f>SUM(Q393:Q403)</f>
        <v>-527</v>
      </c>
      <c r="R404" s="405">
        <f>SUM(R393:R403)</f>
        <v>30199</v>
      </c>
      <c r="S404" s="114"/>
      <c r="T404" s="405">
        <f>SUM(T393:T403)</f>
        <v>-343751</v>
      </c>
      <c r="U404" s="114"/>
      <c r="V404" s="405">
        <f>SUM(V393:V403)</f>
        <v>-99607</v>
      </c>
      <c r="W404" s="114"/>
      <c r="X404" s="405">
        <f>SUM(X393:X403)</f>
        <v>-136887</v>
      </c>
      <c r="Y404" s="114"/>
      <c r="Z404" s="405">
        <f>SUM(Z393:Z403)</f>
        <v>-3543</v>
      </c>
      <c r="AA404" s="114"/>
      <c r="AB404" s="405">
        <f>SUM(AB393:AB403)</f>
        <v>-8328</v>
      </c>
      <c r="AC404" s="114"/>
      <c r="AD404" s="405">
        <f>SUM(AD393:AD403)</f>
        <v>0</v>
      </c>
      <c r="AE404" s="114"/>
      <c r="AF404" s="405">
        <f>SUM(AF393:AF403)</f>
        <v>0</v>
      </c>
      <c r="AG404" s="114"/>
      <c r="AH404" s="405"/>
      <c r="AI404" s="114"/>
      <c r="AJ404" s="405">
        <v>0</v>
      </c>
      <c r="AL404" s="405">
        <v>0</v>
      </c>
    </row>
    <row r="405" spans="1:38">
      <c r="A405" s="397">
        <v>393</v>
      </c>
      <c r="B405" s="114"/>
      <c r="C405" s="114"/>
      <c r="D405" s="114"/>
      <c r="E405" s="417"/>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L405" s="114"/>
    </row>
    <row r="406" spans="1:38">
      <c r="A406" s="397">
        <v>394</v>
      </c>
      <c r="B406" s="114"/>
      <c r="C406" s="114"/>
      <c r="D406" s="114"/>
      <c r="E406" s="417" t="s">
        <v>3197</v>
      </c>
      <c r="H406" s="260">
        <v>0</v>
      </c>
      <c r="I406" s="114"/>
      <c r="J406" s="260">
        <v>-143775571</v>
      </c>
      <c r="K406" s="114"/>
      <c r="L406" s="260"/>
      <c r="M406" s="114"/>
      <c r="N406" s="260">
        <v>0</v>
      </c>
      <c r="O406" s="114"/>
      <c r="P406" s="260">
        <v>0</v>
      </c>
      <c r="Q406" s="260">
        <v>0</v>
      </c>
      <c r="R406" s="260"/>
      <c r="S406" s="114"/>
      <c r="T406" s="260"/>
      <c r="U406" s="114"/>
      <c r="V406" s="260"/>
      <c r="W406" s="114"/>
      <c r="X406" s="260"/>
      <c r="Y406" s="114"/>
      <c r="Z406" s="260"/>
      <c r="AA406" s="114"/>
      <c r="AB406" s="260"/>
      <c r="AC406" s="114"/>
      <c r="AD406" s="260"/>
      <c r="AE406" s="114"/>
      <c r="AF406" s="260"/>
      <c r="AG406" s="114"/>
      <c r="AH406" s="260"/>
      <c r="AI406" s="114"/>
      <c r="AJ406" s="260"/>
      <c r="AL406" s="260"/>
    </row>
    <row r="407" spans="1:38">
      <c r="A407" s="397">
        <v>395</v>
      </c>
      <c r="B407" s="114"/>
      <c r="C407" s="114"/>
      <c r="D407" s="114"/>
      <c r="E407" s="417" t="s">
        <v>107</v>
      </c>
      <c r="H407" s="260">
        <v>82494108</v>
      </c>
      <c r="I407" s="114"/>
      <c r="J407" s="260"/>
      <c r="K407" s="114"/>
      <c r="L407" s="260"/>
      <c r="M407" s="114"/>
      <c r="N407" s="260">
        <v>0</v>
      </c>
      <c r="O407" s="114"/>
      <c r="P407" s="260">
        <v>0</v>
      </c>
      <c r="Q407" s="260">
        <v>0</v>
      </c>
      <c r="R407" s="260"/>
      <c r="S407" s="114"/>
      <c r="T407" s="260"/>
      <c r="U407" s="114"/>
      <c r="V407" s="260"/>
      <c r="W407" s="114"/>
      <c r="X407" s="260"/>
      <c r="Y407" s="114"/>
      <c r="Z407" s="260"/>
      <c r="AA407" s="114"/>
      <c r="AB407" s="260"/>
      <c r="AC407" s="114"/>
      <c r="AD407" s="260"/>
      <c r="AE407" s="114"/>
      <c r="AF407" s="260"/>
      <c r="AG407" s="114"/>
      <c r="AH407" s="260"/>
      <c r="AI407" s="114"/>
      <c r="AJ407" s="260"/>
      <c r="AL407" s="260"/>
    </row>
    <row r="408" spans="1:38">
      <c r="A408" s="397">
        <v>396</v>
      </c>
      <c r="B408" s="114"/>
      <c r="C408" s="114"/>
      <c r="D408" s="114"/>
      <c r="E408" s="417" t="s">
        <v>104</v>
      </c>
      <c r="H408" s="260">
        <v>504795</v>
      </c>
      <c r="I408" s="114"/>
      <c r="J408" s="260">
        <v>45221</v>
      </c>
      <c r="K408" s="114"/>
      <c r="L408" s="260"/>
      <c r="M408" s="114"/>
      <c r="N408" s="260">
        <v>593449</v>
      </c>
      <c r="O408" s="114"/>
      <c r="P408" s="260">
        <v>40345</v>
      </c>
      <c r="Q408" s="260">
        <v>657</v>
      </c>
      <c r="R408" s="260"/>
      <c r="S408" s="114"/>
      <c r="T408" s="260">
        <v>607559</v>
      </c>
      <c r="U408" s="114"/>
      <c r="V408" s="260">
        <v>80548</v>
      </c>
      <c r="W408" s="114"/>
      <c r="X408" s="260">
        <v>121161</v>
      </c>
      <c r="Y408" s="114"/>
      <c r="Z408" s="785">
        <f>-4545+24000</f>
        <v>19455</v>
      </c>
      <c r="AA408" s="114"/>
      <c r="AB408" s="260">
        <v>-22269</v>
      </c>
      <c r="AC408" s="114"/>
      <c r="AD408" s="260">
        <v>-45260</v>
      </c>
      <c r="AE408" s="114"/>
      <c r="AF408" s="260">
        <v>0</v>
      </c>
      <c r="AG408" s="114"/>
      <c r="AH408" s="260"/>
      <c r="AI408" s="114"/>
      <c r="AJ408" s="260"/>
      <c r="AL408" s="260"/>
    </row>
    <row r="409" spans="1:38">
      <c r="A409" s="397">
        <v>397</v>
      </c>
      <c r="B409" s="114"/>
      <c r="C409" s="114"/>
      <c r="D409" s="114"/>
      <c r="E409" s="166" t="s">
        <v>3555</v>
      </c>
      <c r="H409" s="260">
        <v>0</v>
      </c>
      <c r="I409" s="114"/>
      <c r="J409" s="260">
        <v>72504</v>
      </c>
      <c r="K409" s="114"/>
      <c r="L409" s="260"/>
      <c r="M409" s="114"/>
      <c r="N409" s="260">
        <v>0</v>
      </c>
      <c r="O409" s="114"/>
      <c r="P409" s="260">
        <v>0</v>
      </c>
      <c r="Q409" s="260">
        <v>0</v>
      </c>
      <c r="R409" s="260"/>
      <c r="S409" s="114"/>
      <c r="T409" s="260"/>
      <c r="U409" s="114"/>
      <c r="V409" s="260"/>
      <c r="W409" s="114"/>
      <c r="X409" s="260"/>
      <c r="Y409" s="114"/>
      <c r="Z409" s="260"/>
      <c r="AA409" s="114"/>
      <c r="AB409" s="260">
        <v>0</v>
      </c>
      <c r="AC409" s="114"/>
      <c r="AD409" s="260">
        <v>0</v>
      </c>
      <c r="AE409" s="114"/>
      <c r="AF409" s="260">
        <v>0</v>
      </c>
      <c r="AG409" s="114"/>
      <c r="AH409" s="260"/>
      <c r="AI409" s="114"/>
      <c r="AJ409" s="260"/>
      <c r="AL409" s="260"/>
    </row>
    <row r="410" spans="1:38">
      <c r="A410" s="397">
        <v>398</v>
      </c>
      <c r="B410" s="114"/>
      <c r="C410" s="114"/>
      <c r="D410" s="114"/>
      <c r="E410" s="12" t="s">
        <v>3556</v>
      </c>
      <c r="F410" s="12"/>
      <c r="H410" s="260"/>
      <c r="I410" s="114"/>
      <c r="J410" s="260">
        <v>499206</v>
      </c>
      <c r="K410" s="114"/>
      <c r="L410" s="260"/>
      <c r="M410" s="114"/>
      <c r="N410" s="260"/>
      <c r="O410" s="114"/>
      <c r="P410" s="260"/>
      <c r="Q410" s="260"/>
      <c r="R410" s="260"/>
      <c r="S410" s="114"/>
      <c r="T410" s="260"/>
      <c r="U410" s="114"/>
      <c r="V410" s="260"/>
      <c r="W410" s="114"/>
      <c r="X410" s="260"/>
      <c r="Y410" s="114"/>
      <c r="Z410" s="260"/>
      <c r="AA410" s="114"/>
      <c r="AB410" s="260"/>
      <c r="AC410" s="114"/>
      <c r="AD410" s="260"/>
      <c r="AE410" s="114"/>
      <c r="AF410" s="260"/>
      <c r="AG410" s="114"/>
      <c r="AH410" s="260"/>
      <c r="AI410" s="114"/>
      <c r="AJ410" s="260"/>
      <c r="AL410" s="260"/>
    </row>
    <row r="411" spans="1:38">
      <c r="A411" s="397">
        <v>399</v>
      </c>
      <c r="B411" s="114"/>
      <c r="C411" s="114"/>
      <c r="D411" s="114"/>
      <c r="E411" s="417" t="s">
        <v>140</v>
      </c>
      <c r="H411" s="260">
        <v>0</v>
      </c>
      <c r="I411" s="114"/>
      <c r="J411" s="260">
        <v>0</v>
      </c>
      <c r="K411" s="114"/>
      <c r="L411" s="260"/>
      <c r="M411" s="114"/>
      <c r="N411" s="260">
        <v>0</v>
      </c>
      <c r="O411" s="114"/>
      <c r="P411" s="260">
        <v>0</v>
      </c>
      <c r="Q411" s="260">
        <v>0</v>
      </c>
      <c r="R411" s="260"/>
      <c r="S411" s="114"/>
      <c r="T411" s="260"/>
      <c r="U411" s="114"/>
      <c r="V411" s="260"/>
      <c r="W411" s="114"/>
      <c r="X411" s="260"/>
      <c r="Y411" s="114"/>
      <c r="Z411" s="260"/>
      <c r="AA411" s="114"/>
      <c r="AB411" s="260">
        <v>0</v>
      </c>
      <c r="AC411" s="114"/>
      <c r="AD411" s="260">
        <v>0</v>
      </c>
      <c r="AE411" s="114"/>
      <c r="AF411" s="260">
        <v>0</v>
      </c>
      <c r="AG411" s="114"/>
      <c r="AH411" s="260"/>
      <c r="AI411" s="114"/>
      <c r="AJ411" s="260"/>
      <c r="AL411" s="260"/>
    </row>
    <row r="412" spans="1:38">
      <c r="A412" s="397">
        <v>400</v>
      </c>
      <c r="B412" s="114"/>
      <c r="C412" s="114"/>
      <c r="D412" s="114"/>
      <c r="E412" s="12" t="s">
        <v>3557</v>
      </c>
      <c r="H412" s="260"/>
      <c r="I412" s="114"/>
      <c r="J412" s="260">
        <v>0</v>
      </c>
      <c r="K412" s="114"/>
      <c r="L412" s="260"/>
      <c r="M412" s="114"/>
      <c r="N412" s="260"/>
      <c r="O412" s="114"/>
      <c r="P412" s="260"/>
      <c r="Q412" s="260"/>
      <c r="R412" s="260"/>
      <c r="S412" s="114"/>
      <c r="T412" s="260"/>
      <c r="U412" s="114"/>
      <c r="V412" s="260"/>
      <c r="W412" s="114"/>
      <c r="X412" s="260"/>
      <c r="Y412" s="114"/>
      <c r="Z412" s="260"/>
      <c r="AA412" s="114"/>
      <c r="AB412" s="260"/>
      <c r="AC412" s="114"/>
      <c r="AD412" s="260"/>
      <c r="AE412" s="114"/>
      <c r="AF412" s="260"/>
      <c r="AG412" s="114"/>
      <c r="AH412" s="260"/>
      <c r="AI412" s="114"/>
      <c r="AJ412" s="260"/>
      <c r="AL412" s="260"/>
    </row>
    <row r="413" spans="1:38">
      <c r="A413" s="397">
        <v>401</v>
      </c>
      <c r="B413" s="114"/>
      <c r="C413" s="114"/>
      <c r="D413" s="114"/>
      <c r="E413" s="417" t="s">
        <v>141</v>
      </c>
      <c r="H413" s="260">
        <v>0</v>
      </c>
      <c r="I413" s="114"/>
      <c r="J413" s="260">
        <v>0</v>
      </c>
      <c r="K413" s="114"/>
      <c r="L413" s="260"/>
      <c r="M413" s="114"/>
      <c r="N413" s="260">
        <v>0</v>
      </c>
      <c r="O413" s="114"/>
      <c r="P413" s="260">
        <v>0</v>
      </c>
      <c r="Q413" s="260">
        <v>0</v>
      </c>
      <c r="R413" s="260"/>
      <c r="S413" s="114"/>
      <c r="T413" s="260"/>
      <c r="U413" s="114"/>
      <c r="V413" s="260"/>
      <c r="W413" s="114"/>
      <c r="X413" s="260"/>
      <c r="Y413" s="114"/>
      <c r="Z413" s="260"/>
      <c r="AA413" s="114"/>
      <c r="AB413" s="260">
        <v>0</v>
      </c>
      <c r="AC413" s="114"/>
      <c r="AD413" s="260">
        <v>0</v>
      </c>
      <c r="AE413" s="114"/>
      <c r="AF413" s="260">
        <v>0</v>
      </c>
      <c r="AG413" s="114"/>
      <c r="AH413" s="260"/>
      <c r="AI413" s="114"/>
      <c r="AJ413" s="260"/>
      <c r="AL413" s="260"/>
    </row>
    <row r="414" spans="1:38">
      <c r="A414" s="397">
        <v>402</v>
      </c>
      <c r="B414" s="114"/>
      <c r="C414" s="114"/>
      <c r="D414" s="114"/>
      <c r="E414" s="417" t="s">
        <v>393</v>
      </c>
      <c r="H414" s="260">
        <v>0</v>
      </c>
      <c r="I414" s="114"/>
      <c r="J414" s="260">
        <v>0</v>
      </c>
      <c r="K414" s="114"/>
      <c r="L414" s="260"/>
      <c r="M414" s="114"/>
      <c r="N414" s="260">
        <v>0</v>
      </c>
      <c r="O414" s="114"/>
      <c r="P414" s="260">
        <v>0</v>
      </c>
      <c r="Q414" s="260">
        <v>0</v>
      </c>
      <c r="R414" s="260"/>
      <c r="S414" s="114"/>
      <c r="T414" s="260"/>
      <c r="U414" s="114"/>
      <c r="V414" s="260"/>
      <c r="W414" s="114"/>
      <c r="X414" s="260"/>
      <c r="Y414" s="114"/>
      <c r="Z414" s="260"/>
      <c r="AA414" s="114"/>
      <c r="AB414" s="260">
        <v>0</v>
      </c>
      <c r="AC414" s="114"/>
      <c r="AD414" s="260">
        <v>0</v>
      </c>
      <c r="AE414" s="114"/>
      <c r="AF414" s="260">
        <v>0</v>
      </c>
      <c r="AG414" s="114"/>
      <c r="AH414" s="260"/>
      <c r="AI414" s="114"/>
      <c r="AJ414" s="260"/>
      <c r="AL414" s="260"/>
    </row>
    <row r="415" spans="1:38">
      <c r="A415" s="397">
        <v>403</v>
      </c>
      <c r="B415" s="114"/>
      <c r="C415" s="114"/>
      <c r="D415" s="114"/>
      <c r="E415" s="417" t="s">
        <v>654</v>
      </c>
      <c r="H415" s="260">
        <v>4443092</v>
      </c>
      <c r="I415" s="114"/>
      <c r="J415" s="260">
        <v>2359589</v>
      </c>
      <c r="K415" s="114"/>
      <c r="L415" s="260"/>
      <c r="M415" s="114"/>
      <c r="N415" s="260">
        <v>26896805</v>
      </c>
      <c r="O415" s="114"/>
      <c r="P415" s="260"/>
      <c r="Q415" s="260">
        <v>0</v>
      </c>
      <c r="R415" s="260"/>
      <c r="S415" s="114"/>
      <c r="T415" s="260"/>
      <c r="U415" s="114"/>
      <c r="V415" s="260"/>
      <c r="W415" s="114"/>
      <c r="X415" s="260"/>
      <c r="Y415" s="114"/>
      <c r="Z415" s="260"/>
      <c r="AA415" s="114"/>
      <c r="AB415" s="260"/>
      <c r="AC415" s="114"/>
      <c r="AD415" s="260"/>
      <c r="AE415" s="114"/>
      <c r="AF415" s="260"/>
      <c r="AG415" s="114"/>
      <c r="AH415" s="260"/>
      <c r="AI415" s="114"/>
      <c r="AJ415" s="260"/>
      <c r="AL415" s="260"/>
    </row>
    <row r="416" spans="1:38">
      <c r="A416" s="397">
        <v>404</v>
      </c>
      <c r="B416" s="114"/>
      <c r="C416" s="114"/>
      <c r="D416" s="114"/>
      <c r="E416" s="417" t="s">
        <v>2983</v>
      </c>
      <c r="H416" s="260">
        <v>-51256</v>
      </c>
      <c r="I416" s="114"/>
      <c r="J416" s="785">
        <f>25413+55057</f>
        <v>80470</v>
      </c>
      <c r="K416" s="114"/>
      <c r="L416" s="260"/>
      <c r="M416" s="114"/>
      <c r="N416" s="260">
        <v>1616185</v>
      </c>
      <c r="O416" s="114"/>
      <c r="P416" s="260"/>
      <c r="Q416" s="260"/>
      <c r="R416" s="260"/>
      <c r="S416" s="114"/>
      <c r="T416" s="260"/>
      <c r="U416" s="114"/>
      <c r="V416" s="260"/>
      <c r="W416" s="114"/>
      <c r="X416" s="260"/>
      <c r="Y416" s="114"/>
      <c r="Z416" s="260"/>
      <c r="AA416" s="114"/>
      <c r="AB416" s="260"/>
      <c r="AC416" s="114"/>
      <c r="AD416" s="260"/>
      <c r="AE416" s="114"/>
      <c r="AF416" s="260"/>
      <c r="AG416" s="114"/>
      <c r="AH416" s="260"/>
      <c r="AI416" s="114"/>
      <c r="AJ416" s="260"/>
      <c r="AL416" s="260"/>
    </row>
    <row r="417" spans="1:38">
      <c r="A417" s="397">
        <v>405</v>
      </c>
      <c r="B417" s="114"/>
      <c r="C417" s="114"/>
      <c r="D417" s="114"/>
      <c r="E417" s="166" t="s">
        <v>3560</v>
      </c>
      <c r="H417" s="260">
        <v>-238042</v>
      </c>
      <c r="I417" s="114"/>
      <c r="J417" s="260">
        <v>-126277</v>
      </c>
      <c r="K417" s="114"/>
      <c r="L417" s="260"/>
      <c r="M417" s="114"/>
      <c r="N417" s="260">
        <v>-964405</v>
      </c>
      <c r="O417" s="114"/>
      <c r="P417" s="260"/>
      <c r="Q417" s="260">
        <v>0</v>
      </c>
      <c r="R417" s="260"/>
      <c r="S417" s="114"/>
      <c r="T417" s="260"/>
      <c r="U417" s="114"/>
      <c r="V417" s="260"/>
      <c r="W417" s="114"/>
      <c r="X417" s="260"/>
      <c r="Y417" s="114"/>
      <c r="Z417" s="260"/>
      <c r="AA417" s="114"/>
      <c r="AB417" s="260"/>
      <c r="AC417" s="114"/>
      <c r="AD417" s="260"/>
      <c r="AE417" s="114"/>
      <c r="AF417" s="260"/>
      <c r="AG417" s="114"/>
      <c r="AH417" s="260"/>
      <c r="AI417" s="114"/>
      <c r="AJ417" s="260"/>
      <c r="AL417" s="260"/>
    </row>
    <row r="418" spans="1:38">
      <c r="A418" s="397">
        <v>406</v>
      </c>
      <c r="B418" s="114"/>
      <c r="C418" s="114"/>
      <c r="D418" s="114"/>
      <c r="E418" s="417"/>
      <c r="H418" s="400">
        <f>SUM(H406:H417)</f>
        <v>87152697</v>
      </c>
      <c r="I418" s="114"/>
      <c r="J418" s="400">
        <f>SUM(J406:J417)</f>
        <v>-140844858</v>
      </c>
      <c r="K418" s="114"/>
      <c r="L418" s="400">
        <f>SUM(L406:L417)</f>
        <v>0</v>
      </c>
      <c r="M418" s="114"/>
      <c r="N418" s="400">
        <f>SUM(N406:N417)</f>
        <v>28142034</v>
      </c>
      <c r="O418" s="114"/>
      <c r="P418" s="400">
        <f>SUM(P406:P417)</f>
        <v>40345</v>
      </c>
      <c r="Q418" s="400">
        <f>SUM(Q406:Q417)</f>
        <v>657</v>
      </c>
      <c r="R418" s="400">
        <f>SUM(R406:R417)</f>
        <v>0</v>
      </c>
      <c r="S418" s="114"/>
      <c r="T418" s="400">
        <f>SUM(T406:T417)</f>
        <v>607559</v>
      </c>
      <c r="U418" s="114"/>
      <c r="V418" s="400">
        <f>SUM(V406:V417)</f>
        <v>80548</v>
      </c>
      <c r="W418" s="114"/>
      <c r="X418" s="400">
        <f>SUM(X406:X417)</f>
        <v>121161</v>
      </c>
      <c r="Y418" s="114"/>
      <c r="Z418" s="400">
        <f>SUM(Z406:Z417)</f>
        <v>19455</v>
      </c>
      <c r="AA418" s="114"/>
      <c r="AB418" s="400">
        <f>SUM(AB406:AB417)</f>
        <v>-22269</v>
      </c>
      <c r="AC418" s="114"/>
      <c r="AD418" s="400">
        <f>SUM(AD406:AD417)</f>
        <v>-45260</v>
      </c>
      <c r="AE418" s="114"/>
      <c r="AF418" s="400">
        <f>SUM(AF406:AF417)</f>
        <v>0</v>
      </c>
      <c r="AG418" s="114"/>
      <c r="AH418" s="400">
        <f>SUM(AH406:AH417)</f>
        <v>0</v>
      </c>
      <c r="AI418" s="114"/>
      <c r="AJ418" s="400">
        <v>0</v>
      </c>
      <c r="AL418" s="400">
        <v>0</v>
      </c>
    </row>
    <row r="419" spans="1:38">
      <c r="A419" s="397">
        <v>407</v>
      </c>
      <c r="B419" s="114"/>
      <c r="C419" s="114"/>
      <c r="D419" s="114"/>
      <c r="E419" s="417"/>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L419" s="114"/>
    </row>
    <row r="420" spans="1:38">
      <c r="A420" s="397">
        <v>408</v>
      </c>
      <c r="B420" s="114"/>
      <c r="C420" s="114"/>
      <c r="D420" s="114"/>
      <c r="E420" s="417" t="s">
        <v>962</v>
      </c>
      <c r="H420" s="114"/>
      <c r="I420" s="114"/>
      <c r="J420" s="114">
        <v>0</v>
      </c>
      <c r="K420" s="114"/>
      <c r="L420" s="114"/>
      <c r="M420" s="114"/>
      <c r="N420" s="114">
        <v>0</v>
      </c>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L420" s="114"/>
    </row>
    <row r="421" spans="1:38">
      <c r="A421" s="397">
        <v>409</v>
      </c>
      <c r="B421" s="114"/>
      <c r="C421" s="114"/>
      <c r="D421" s="114"/>
      <c r="E421" s="417" t="s">
        <v>963</v>
      </c>
      <c r="H421" s="114"/>
      <c r="I421" s="114"/>
      <c r="J421" s="114">
        <v>0</v>
      </c>
      <c r="K421" s="114"/>
      <c r="L421" s="114"/>
      <c r="M421" s="114"/>
      <c r="N421" s="114">
        <v>0</v>
      </c>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L421" s="114"/>
    </row>
    <row r="422" spans="1:38">
      <c r="A422" s="397">
        <v>410</v>
      </c>
      <c r="B422" s="114"/>
      <c r="C422" s="114"/>
      <c r="D422" s="114"/>
      <c r="E422" s="166" t="s">
        <v>2774</v>
      </c>
      <c r="H422" s="114">
        <v>912439</v>
      </c>
      <c r="I422" s="114"/>
      <c r="J422" s="114">
        <v>882142</v>
      </c>
      <c r="K422" s="114"/>
      <c r="L422" s="114"/>
      <c r="M422" s="114"/>
      <c r="N422" s="114">
        <v>-7708161</v>
      </c>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L422" s="114"/>
    </row>
    <row r="423" spans="1:38">
      <c r="A423" s="397">
        <v>411</v>
      </c>
      <c r="B423" s="114"/>
      <c r="C423" s="114"/>
      <c r="D423" s="114"/>
      <c r="E423" s="166" t="s">
        <v>2775</v>
      </c>
      <c r="H423" s="114">
        <v>-8180748</v>
      </c>
      <c r="I423" s="114"/>
      <c r="J423" s="114">
        <v>-3942784</v>
      </c>
      <c r="K423" s="114"/>
      <c r="L423" s="114"/>
      <c r="M423" s="114"/>
      <c r="N423" s="114">
        <v>-21698128</v>
      </c>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L423" s="114"/>
    </row>
    <row r="424" spans="1:38">
      <c r="A424" s="397">
        <v>412</v>
      </c>
      <c r="B424" s="114"/>
      <c r="C424" s="114"/>
      <c r="D424" s="114"/>
      <c r="E424" s="166" t="s">
        <v>2776</v>
      </c>
      <c r="H424" s="114">
        <v>-457700</v>
      </c>
      <c r="I424" s="114"/>
      <c r="J424" s="962">
        <v>27156</v>
      </c>
      <c r="K424" s="114"/>
      <c r="L424" s="114"/>
      <c r="M424" s="114"/>
      <c r="N424" s="114">
        <v>-2314297</v>
      </c>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L424" s="114"/>
    </row>
    <row r="425" spans="1:38">
      <c r="A425" s="397">
        <v>413</v>
      </c>
      <c r="B425" s="114"/>
      <c r="C425" s="114"/>
      <c r="D425" s="114"/>
      <c r="E425" s="166" t="s">
        <v>2777</v>
      </c>
      <c r="H425" s="114">
        <v>-867578</v>
      </c>
      <c r="I425" s="114"/>
      <c r="J425" s="114">
        <v>-461844</v>
      </c>
      <c r="K425" s="114"/>
      <c r="L425" s="114"/>
      <c r="M425" s="114"/>
      <c r="N425" s="114">
        <v>-1912539</v>
      </c>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L425" s="114"/>
    </row>
    <row r="426" spans="1:38">
      <c r="A426" s="397">
        <v>414</v>
      </c>
      <c r="B426" s="114"/>
      <c r="C426" s="114"/>
      <c r="D426" s="114"/>
      <c r="E426" s="417"/>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L426" s="114"/>
    </row>
    <row r="427" spans="1:38">
      <c r="A427" s="397">
        <v>415</v>
      </c>
      <c r="B427" s="409" t="s">
        <v>67</v>
      </c>
      <c r="C427" s="114"/>
      <c r="D427" s="114"/>
      <c r="E427" s="114"/>
      <c r="H427" s="405">
        <f>SUM(H353,H356:H360,H363:H374,H376:H381,H386,H391,H404,H418,H420:H425)</f>
        <v>964779283</v>
      </c>
      <c r="I427" s="405">
        <f>SUM(I353,I356:I360,I363:I374,I386,I404,I418,I420,I421)</f>
        <v>0</v>
      </c>
      <c r="J427" s="405">
        <f>SUM(J353,J356:J360,J363:J374,J376:J381,J386,J391,J404,J418,J420:J425)</f>
        <v>-123310316</v>
      </c>
      <c r="K427" s="405">
        <f>SUM(K353,K356:K360,K363:K374,K386,K404,K418,K420,K421)</f>
        <v>0</v>
      </c>
      <c r="L427" s="405">
        <f>SUM(L353,L356:L360,L363:L374,L376:L381,L386,L391,L404,L418,L420:L425)</f>
        <v>120614873</v>
      </c>
      <c r="M427" s="405">
        <f>SUM(M353,M356:M360,M363:M374,M386,M404,M418,M420,M421)</f>
        <v>0</v>
      </c>
      <c r="N427" s="405">
        <f>SUM(N353,N356:N360,N363:N374,N376:N381,N386,N391,N404,N418,N420:N425)</f>
        <v>257888192</v>
      </c>
      <c r="O427" s="405">
        <f>SUM(O353,O356:O360,O363:O374,O386,O404,O418,O420,O421)</f>
        <v>0</v>
      </c>
      <c r="P427" s="405">
        <f>SUM(P353,P356:P360,P363:P374,P376:P381,P386,P391,P404,P418,P420:P425)</f>
        <v>3718672</v>
      </c>
      <c r="Q427" s="405">
        <f>SUM(Q353,Q356:Q360,Q363:Q374,Q376:Q381,Q386,Q391,Q404,Q418,Q420:Q425)</f>
        <v>278113</v>
      </c>
      <c r="R427" s="405">
        <f>SUM(R353,R356:R360,R363:R374,R376:R381,R386,R391,R404,R418,R420:R425)</f>
        <v>-2914077</v>
      </c>
      <c r="S427" s="405">
        <f>SUM(S353,S356:S360,S363:S374,S386,S404,S418,S420,S421)</f>
        <v>0</v>
      </c>
      <c r="T427" s="405">
        <f>SUM(T353,T356:T360,T363:T374,T376:T381,T386,T391,T404,T418,T420:T425)</f>
        <v>-1550725</v>
      </c>
      <c r="U427" s="405">
        <f>SUM(U353,U356:U360,U363:U374,U386,U404,U418,U420,U421)</f>
        <v>0</v>
      </c>
      <c r="V427" s="405">
        <f>SUM(V353,V356:V360,V363:V374,V376:V381,V386,V391,V404,V418,V420:V425)</f>
        <v>4319328</v>
      </c>
      <c r="W427" s="405">
        <f>SUM(W353,W356:W360,W363:W374,W386,W404,W418,W420,W421)</f>
        <v>0</v>
      </c>
      <c r="X427" s="405">
        <f>SUM(X353,X356:X360,X363:X374,X376:X381,X386,X391,X404,X418,X420:X425)</f>
        <v>21998623</v>
      </c>
      <c r="Y427" s="405">
        <f>SUM(Y353,Y356:Y360,Y363:Y374,Y386,Y404,Y418,Y420,Y421)</f>
        <v>0</v>
      </c>
      <c r="Z427" s="405">
        <f>SUM(Z353,Z356:Z360,Z363:Z374,Z376:Z381,Z386,Z391,Z404,Z418,Z420:Z425)</f>
        <v>-618638</v>
      </c>
      <c r="AA427" s="405">
        <f>SUM(AA353,AA356:AA360,AA363:AA374,AA386,AA404,AA418,AA420,AA421)</f>
        <v>0</v>
      </c>
      <c r="AB427" s="405">
        <f>SUM(AB353,AB356:AB360,AB363:AB374,AB376:AB381,AB386,AB391,AB404,AB418,AB420:AB425)</f>
        <v>22579881</v>
      </c>
      <c r="AC427" s="405">
        <f>SUM(AC353,AC356:AC360,AC363:AC374,AC386,AC404,AC418,AC420,AC421)</f>
        <v>0</v>
      </c>
      <c r="AD427" s="405">
        <f>SUM(AD353,AD356:AD360,AD363:AD374,AD376:AD381,AD386,AD391,AD404,AD418,AD420:AD425)</f>
        <v>-205287</v>
      </c>
      <c r="AE427" s="405">
        <f>SUM(AE353,AE356:AE360,AE363:AE374,AE386,AE404,AE418,AE420,AE421)</f>
        <v>0</v>
      </c>
      <c r="AF427" s="405">
        <f>SUM(AF353,AF356:AF360,AF363:AF374,AF376:AF381,AF386,AF391,AF404,AF418,AF420:AF425)</f>
        <v>318146</v>
      </c>
      <c r="AG427" s="405">
        <f>SUM(AG353,AG356:AG360,AG363:AG374,AG386,AG404,AG418,AG420,AG421)</f>
        <v>0</v>
      </c>
      <c r="AH427" s="405">
        <f>SUM(AH353,AH356:AH360,AH363:AH374,AH386,AH404,AH418,AH420,AH421)</f>
        <v>0</v>
      </c>
      <c r="AI427" s="405">
        <f>SUM(AI353,AI356:AI360,AI363:AI374,AI386,AI404,AI418,AI420,AI421)</f>
        <v>0</v>
      </c>
      <c r="AJ427" s="405">
        <f>SUM(AJ353,AJ356:AJ360,AJ363:AJ374,AJ376:AJ381,AJ386,AJ391,AJ404,AJ418,AJ420:AJ425)</f>
        <v>31982</v>
      </c>
      <c r="AL427" s="405">
        <f>SUM(AL353,AL356:AL360,AL363:AL374,AL376:AL381,AL386,AL391,AL404,AL418,AL420:AL425)</f>
        <v>-1629019</v>
      </c>
    </row>
    <row r="428" spans="1:38">
      <c r="A428" s="397">
        <v>416</v>
      </c>
      <c r="B428" s="200"/>
      <c r="C428" s="114"/>
      <c r="D428" s="114"/>
      <c r="E428" s="114"/>
      <c r="H428" s="114">
        <f>H427-H278</f>
        <v>0</v>
      </c>
      <c r="I428" s="114"/>
      <c r="J428" s="114">
        <f>J427-J278</f>
        <v>0</v>
      </c>
      <c r="K428" s="114"/>
      <c r="L428" s="114">
        <f>L427-L278</f>
        <v>0</v>
      </c>
      <c r="M428" s="114"/>
      <c r="N428" s="114">
        <f>N427-N278</f>
        <v>0</v>
      </c>
      <c r="O428" s="114"/>
      <c r="P428" s="114">
        <f>P427-P278</f>
        <v>0</v>
      </c>
      <c r="Q428" s="114">
        <f>Q427-Q278</f>
        <v>0</v>
      </c>
      <c r="R428" s="114">
        <f>R427-R278</f>
        <v>0</v>
      </c>
      <c r="S428" s="114"/>
      <c r="T428" s="114">
        <f>T427-T278</f>
        <v>0</v>
      </c>
      <c r="U428" s="114"/>
      <c r="V428" s="114">
        <f>V427-V278</f>
        <v>0</v>
      </c>
      <c r="W428" s="114"/>
      <c r="X428" s="114">
        <f>X427-X278</f>
        <v>0</v>
      </c>
      <c r="Y428" s="114"/>
      <c r="Z428" s="114">
        <f>Z427-Z278</f>
        <v>0</v>
      </c>
      <c r="AA428" s="114"/>
      <c r="AB428" s="114">
        <f>AB427-AB278</f>
        <v>0</v>
      </c>
      <c r="AC428" s="114"/>
      <c r="AD428" s="114">
        <f>AD427-AD278</f>
        <v>0</v>
      </c>
      <c r="AE428" s="114"/>
      <c r="AF428" s="114">
        <f>AF427-AF278</f>
        <v>0</v>
      </c>
      <c r="AG428" s="114"/>
      <c r="AH428" s="114"/>
      <c r="AI428" s="114"/>
      <c r="AJ428" s="114">
        <f>AJ427-AJ278</f>
        <v>0</v>
      </c>
      <c r="AL428" s="114">
        <f>AL427-AL278</f>
        <v>0</v>
      </c>
    </row>
    <row r="429" spans="1:38">
      <c r="A429" s="397">
        <v>417</v>
      </c>
      <c r="B429" s="398" t="s">
        <v>174</v>
      </c>
      <c r="C429" s="114"/>
      <c r="D429" s="114"/>
      <c r="E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1"/>
      <c r="AI429" s="114"/>
      <c r="AJ429" s="114"/>
      <c r="AL429" s="114"/>
    </row>
    <row r="430" spans="1:38">
      <c r="A430" s="397">
        <v>418</v>
      </c>
      <c r="B430" s="398"/>
      <c r="C430" s="114"/>
      <c r="D430" s="114"/>
      <c r="E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2"/>
      <c r="AG430" s="114"/>
      <c r="AH430" s="12"/>
      <c r="AI430" s="114"/>
      <c r="AJ430" s="114"/>
      <c r="AL430" s="114"/>
    </row>
    <row r="431" spans="1:38">
      <c r="A431" s="397">
        <v>419</v>
      </c>
      <c r="B431" s="417" t="s">
        <v>240</v>
      </c>
      <c r="C431" s="114"/>
      <c r="D431" s="114"/>
      <c r="E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2"/>
      <c r="AG431" s="114"/>
      <c r="AH431" s="12"/>
      <c r="AI431" s="114"/>
      <c r="AJ431" s="114"/>
      <c r="AL431" s="114"/>
    </row>
    <row r="432" spans="1:38">
      <c r="A432" s="397">
        <v>420</v>
      </c>
      <c r="B432" s="200"/>
      <c r="C432" s="114"/>
      <c r="D432" s="114"/>
      <c r="E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2"/>
      <c r="AG432" s="114"/>
      <c r="AH432" s="12"/>
      <c r="AI432" s="114"/>
      <c r="AJ432" s="114"/>
      <c r="AL432" s="114"/>
    </row>
    <row r="433" spans="1:38">
      <c r="A433" s="397">
        <v>421</v>
      </c>
      <c r="B433" s="114"/>
      <c r="C433" s="409" t="s">
        <v>175</v>
      </c>
      <c r="D433" s="114"/>
      <c r="E433" s="114"/>
      <c r="H433" s="260">
        <v>0</v>
      </c>
      <c r="I433" s="114"/>
      <c r="J433" s="260">
        <v>0</v>
      </c>
      <c r="K433" s="114"/>
      <c r="L433" s="260"/>
      <c r="M433" s="114"/>
      <c r="N433" s="260">
        <v>0</v>
      </c>
      <c r="O433" s="114"/>
      <c r="P433" s="260"/>
      <c r="Q433" s="260"/>
      <c r="R433" s="260"/>
      <c r="S433" s="114"/>
      <c r="T433" s="260"/>
      <c r="U433" s="114"/>
      <c r="V433" s="260">
        <v>0</v>
      </c>
      <c r="W433" s="114"/>
      <c r="X433" s="260"/>
      <c r="Y433" s="114"/>
      <c r="Z433" s="260"/>
      <c r="AA433" s="114"/>
      <c r="AB433" s="260"/>
      <c r="AC433" s="114"/>
      <c r="AD433" s="260"/>
      <c r="AE433" s="114"/>
      <c r="AF433" s="260"/>
      <c r="AG433" s="114"/>
      <c r="AH433" s="260"/>
      <c r="AI433" s="114"/>
      <c r="AJ433" s="260"/>
      <c r="AL433" s="260"/>
    </row>
    <row r="434" spans="1:38" ht="15">
      <c r="A434" s="397">
        <v>422</v>
      </c>
      <c r="B434" s="114"/>
      <c r="C434" s="409" t="s">
        <v>3419</v>
      </c>
      <c r="D434" s="114"/>
      <c r="E434" s="114"/>
      <c r="H434" s="260">
        <v>7817216</v>
      </c>
      <c r="I434" s="114"/>
      <c r="J434" s="260">
        <v>-30815</v>
      </c>
      <c r="K434" s="114"/>
      <c r="L434" s="260"/>
      <c r="M434" s="114"/>
      <c r="N434" s="260">
        <v>26478304</v>
      </c>
      <c r="O434" s="114"/>
      <c r="P434" s="260"/>
      <c r="Q434" s="260"/>
      <c r="R434" s="260"/>
      <c r="S434" s="114"/>
      <c r="T434" s="260"/>
      <c r="U434" s="114"/>
      <c r="V434" s="260"/>
      <c r="W434" s="114"/>
      <c r="X434" s="260"/>
      <c r="Y434" s="114"/>
      <c r="Z434" s="260"/>
      <c r="AA434" s="114"/>
      <c r="AB434" s="260"/>
      <c r="AC434" s="114"/>
      <c r="AD434" s="260"/>
      <c r="AE434" s="114"/>
      <c r="AF434" s="260"/>
      <c r="AG434" s="114"/>
      <c r="AH434" s="260"/>
      <c r="AI434" s="114"/>
      <c r="AJ434" s="260"/>
      <c r="AL434" s="260"/>
    </row>
    <row r="435" spans="1:38">
      <c r="A435" s="397">
        <v>423</v>
      </c>
      <c r="B435" s="114"/>
      <c r="C435" s="409" t="s">
        <v>3562</v>
      </c>
      <c r="D435" s="114"/>
      <c r="E435" s="114"/>
      <c r="H435" s="260">
        <v>2652519</v>
      </c>
      <c r="I435" s="114"/>
      <c r="J435" s="260">
        <v>-998590</v>
      </c>
      <c r="K435" s="114"/>
      <c r="L435" s="260"/>
      <c r="M435" s="114"/>
      <c r="N435" s="260">
        <v>4676913</v>
      </c>
      <c r="O435" s="114"/>
      <c r="P435" s="260"/>
      <c r="Q435" s="260"/>
      <c r="R435" s="260"/>
      <c r="S435" s="114"/>
      <c r="T435" s="260"/>
      <c r="U435" s="114"/>
      <c r="V435" s="260"/>
      <c r="W435" s="114"/>
      <c r="X435" s="260">
        <v>199298007</v>
      </c>
      <c r="Y435" s="114"/>
      <c r="Z435" s="260"/>
      <c r="AA435" s="114"/>
      <c r="AB435" s="260"/>
      <c r="AC435" s="114"/>
      <c r="AD435" s="260"/>
      <c r="AE435" s="114"/>
      <c r="AF435" s="260"/>
      <c r="AG435" s="114"/>
      <c r="AH435" s="260"/>
      <c r="AI435" s="114"/>
      <c r="AJ435" s="260"/>
      <c r="AL435" s="260"/>
    </row>
    <row r="436" spans="1:38">
      <c r="A436" s="397">
        <v>424</v>
      </c>
      <c r="B436" s="114"/>
      <c r="C436" s="409" t="s">
        <v>3561</v>
      </c>
      <c r="D436" s="114"/>
      <c r="E436" s="114"/>
      <c r="H436" s="260"/>
      <c r="I436" s="114"/>
      <c r="J436" s="260"/>
      <c r="K436" s="114"/>
      <c r="L436" s="260"/>
      <c r="M436" s="114"/>
      <c r="N436" s="260"/>
      <c r="O436" s="114"/>
      <c r="P436" s="260"/>
      <c r="Q436" s="260"/>
      <c r="R436" s="260"/>
      <c r="S436" s="114"/>
      <c r="T436" s="260"/>
      <c r="U436" s="114"/>
      <c r="V436" s="260"/>
      <c r="W436" s="114"/>
      <c r="X436" s="260"/>
      <c r="Y436" s="114"/>
      <c r="Z436" s="260"/>
      <c r="AA436" s="114"/>
      <c r="AB436" s="260"/>
      <c r="AC436" s="114"/>
      <c r="AD436" s="260"/>
      <c r="AE436" s="114"/>
      <c r="AF436" s="260"/>
      <c r="AG436" s="114"/>
      <c r="AH436" s="260"/>
      <c r="AI436" s="114"/>
      <c r="AJ436" s="260"/>
      <c r="AL436" s="260"/>
    </row>
    <row r="437" spans="1:38">
      <c r="A437" s="397">
        <v>425</v>
      </c>
      <c r="B437" s="114"/>
      <c r="C437" s="409" t="s">
        <v>176</v>
      </c>
      <c r="D437" s="114"/>
      <c r="E437" s="114"/>
      <c r="H437" s="260">
        <v>0</v>
      </c>
      <c r="I437" s="114"/>
      <c r="J437" s="260">
        <v>0</v>
      </c>
      <c r="K437" s="114"/>
      <c r="L437" s="260"/>
      <c r="M437" s="114"/>
      <c r="N437" s="260">
        <v>0</v>
      </c>
      <c r="O437" s="114"/>
      <c r="P437" s="260"/>
      <c r="Q437" s="260"/>
      <c r="R437" s="260"/>
      <c r="S437" s="114"/>
      <c r="T437" s="260"/>
      <c r="U437" s="114"/>
      <c r="V437" s="260"/>
      <c r="W437" s="114"/>
      <c r="X437" s="260"/>
      <c r="Y437" s="114"/>
      <c r="Z437" s="260"/>
      <c r="AA437" s="114"/>
      <c r="AB437" s="260"/>
      <c r="AC437" s="114"/>
      <c r="AD437" s="260"/>
      <c r="AE437" s="114"/>
      <c r="AF437" s="260"/>
      <c r="AG437" s="114"/>
      <c r="AH437" s="260"/>
      <c r="AI437" s="114"/>
      <c r="AJ437" s="260"/>
      <c r="AL437" s="260"/>
    </row>
    <row r="438" spans="1:38">
      <c r="A438" s="397">
        <v>426</v>
      </c>
      <c r="B438" s="114"/>
      <c r="C438" s="409" t="s">
        <v>0</v>
      </c>
      <c r="D438" s="114"/>
      <c r="E438" s="114"/>
      <c r="H438" s="260">
        <v>0</v>
      </c>
      <c r="I438" s="114"/>
      <c r="J438" s="260">
        <v>109568167</v>
      </c>
      <c r="K438" s="114"/>
      <c r="L438" s="260"/>
      <c r="M438" s="114"/>
      <c r="N438" s="260">
        <v>0</v>
      </c>
      <c r="O438" s="114"/>
      <c r="P438" s="260"/>
      <c r="Q438" s="260"/>
      <c r="R438" s="260"/>
      <c r="S438" s="114"/>
      <c r="T438" s="260"/>
      <c r="U438" s="114"/>
      <c r="V438" s="260"/>
      <c r="W438" s="114"/>
      <c r="X438" s="260"/>
      <c r="Y438" s="114"/>
      <c r="Z438" s="260"/>
      <c r="AA438" s="114"/>
      <c r="AB438" s="260"/>
      <c r="AC438" s="114"/>
      <c r="AD438" s="260"/>
      <c r="AE438" s="114"/>
      <c r="AF438" s="260"/>
      <c r="AG438" s="114"/>
      <c r="AH438" s="260">
        <v>0</v>
      </c>
      <c r="AI438" s="114"/>
      <c r="AJ438" s="260"/>
      <c r="AL438" s="260"/>
    </row>
    <row r="439" spans="1:38">
      <c r="A439" s="397">
        <v>427</v>
      </c>
      <c r="B439" s="114"/>
      <c r="C439" s="409" t="s">
        <v>177</v>
      </c>
      <c r="D439" s="114"/>
      <c r="E439" s="114"/>
      <c r="H439" s="260">
        <v>0</v>
      </c>
      <c r="I439" s="114"/>
      <c r="J439" s="260">
        <v>0</v>
      </c>
      <c r="K439" s="114"/>
      <c r="L439" s="260"/>
      <c r="M439" s="114"/>
      <c r="N439" s="260">
        <v>0</v>
      </c>
      <c r="O439" s="114"/>
      <c r="P439" s="260"/>
      <c r="Q439" s="260"/>
      <c r="R439" s="260"/>
      <c r="S439" s="114"/>
      <c r="T439" s="260"/>
      <c r="U439" s="114"/>
      <c r="V439" s="260">
        <v>287557</v>
      </c>
      <c r="W439" s="114"/>
      <c r="X439" s="260"/>
      <c r="Y439" s="114"/>
      <c r="Z439" s="260"/>
      <c r="AA439" s="114"/>
      <c r="AB439" s="260"/>
      <c r="AC439" s="114"/>
      <c r="AD439" s="260"/>
      <c r="AE439" s="114"/>
      <c r="AF439" s="260"/>
      <c r="AG439" s="114"/>
      <c r="AH439" s="260">
        <v>0</v>
      </c>
      <c r="AI439" s="114"/>
      <c r="AJ439" s="260"/>
      <c r="AL439" s="260"/>
    </row>
    <row r="440" spans="1:38">
      <c r="A440" s="397">
        <v>428</v>
      </c>
      <c r="B440" s="114"/>
      <c r="C440" s="409" t="s">
        <v>797</v>
      </c>
      <c r="D440" s="114"/>
      <c r="E440" s="114"/>
      <c r="H440" s="260">
        <v>0</v>
      </c>
      <c r="I440" s="114"/>
      <c r="J440" s="260"/>
      <c r="K440" s="114"/>
      <c r="L440" s="260"/>
      <c r="M440" s="114"/>
      <c r="N440" s="260">
        <v>0</v>
      </c>
      <c r="O440" s="114"/>
      <c r="P440" s="260"/>
      <c r="Q440" s="260"/>
      <c r="R440" s="260"/>
      <c r="S440" s="114"/>
      <c r="T440" s="260"/>
      <c r="U440" s="114"/>
      <c r="V440" s="260"/>
      <c r="W440" s="114"/>
      <c r="X440" s="260"/>
      <c r="Y440" s="114"/>
      <c r="Z440" s="260"/>
      <c r="AA440" s="114"/>
      <c r="AB440" s="260"/>
      <c r="AC440" s="114"/>
      <c r="AD440" s="260"/>
      <c r="AE440" s="114"/>
      <c r="AF440" s="260"/>
      <c r="AG440" s="114"/>
      <c r="AH440" s="260">
        <v>0</v>
      </c>
      <c r="AI440" s="114"/>
      <c r="AJ440" s="260"/>
      <c r="AL440" s="260"/>
    </row>
    <row r="441" spans="1:38">
      <c r="A441" s="397">
        <v>429</v>
      </c>
      <c r="B441" s="114"/>
      <c r="C441" s="409" t="s">
        <v>324</v>
      </c>
      <c r="D441" s="114"/>
      <c r="E441" s="114"/>
      <c r="H441" s="260">
        <v>0</v>
      </c>
      <c r="I441" s="114"/>
      <c r="J441" s="260">
        <v>0</v>
      </c>
      <c r="K441" s="114"/>
      <c r="L441" s="260"/>
      <c r="M441" s="114"/>
      <c r="N441" s="260">
        <v>0</v>
      </c>
      <c r="O441" s="114"/>
      <c r="P441" s="260"/>
      <c r="Q441" s="260"/>
      <c r="R441" s="260"/>
      <c r="S441" s="114"/>
      <c r="T441" s="260"/>
      <c r="U441" s="114"/>
      <c r="V441" s="260"/>
      <c r="W441" s="114"/>
      <c r="X441" s="260"/>
      <c r="Y441" s="114"/>
      <c r="Z441" s="260"/>
      <c r="AA441" s="114"/>
      <c r="AB441" s="260"/>
      <c r="AC441" s="114"/>
      <c r="AD441" s="260"/>
      <c r="AE441" s="114"/>
      <c r="AF441" s="260"/>
      <c r="AG441" s="114"/>
      <c r="AH441" s="260"/>
      <c r="AI441" s="114"/>
      <c r="AJ441" s="785"/>
      <c r="AL441" s="260"/>
    </row>
    <row r="442" spans="1:38">
      <c r="A442" s="397">
        <v>430</v>
      </c>
      <c r="B442" s="200"/>
      <c r="C442" s="114"/>
      <c r="D442" s="114"/>
      <c r="E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L442" s="114"/>
    </row>
    <row r="443" spans="1:38" ht="13.5" thickBot="1">
      <c r="A443" s="397">
        <v>431</v>
      </c>
      <c r="B443" s="409" t="s">
        <v>178</v>
      </c>
      <c r="C443" s="114"/>
      <c r="D443" s="114"/>
      <c r="E443" s="114"/>
      <c r="H443" s="400">
        <f>SUM(H433:H441)</f>
        <v>10469735</v>
      </c>
      <c r="I443" s="114"/>
      <c r="J443" s="400">
        <f>SUM(J433:J441)</f>
        <v>108538762</v>
      </c>
      <c r="K443" s="114"/>
      <c r="L443" s="400">
        <f>SUM(L433:L441)</f>
        <v>0</v>
      </c>
      <c r="M443" s="114"/>
      <c r="N443" s="400">
        <f>SUM(N433:N441)</f>
        <v>31155217</v>
      </c>
      <c r="O443" s="114"/>
      <c r="P443" s="400">
        <f>SUM(P433:P441)</f>
        <v>0</v>
      </c>
      <c r="Q443" s="400">
        <f>SUM(Q433:Q441)</f>
        <v>0</v>
      </c>
      <c r="R443" s="400">
        <f>SUM(R433:R441)</f>
        <v>0</v>
      </c>
      <c r="S443" s="114"/>
      <c r="T443" s="400">
        <f>SUM(T433:T441)</f>
        <v>0</v>
      </c>
      <c r="U443" s="114"/>
      <c r="V443" s="400">
        <f>SUM(V433:V441)</f>
        <v>287557</v>
      </c>
      <c r="W443" s="114"/>
      <c r="X443" s="400">
        <f>SUM(X433:X441)</f>
        <v>199298007</v>
      </c>
      <c r="Y443" s="114"/>
      <c r="Z443" s="400">
        <f>SUM(Z433:Z441)</f>
        <v>0</v>
      </c>
      <c r="AA443" s="114"/>
      <c r="AB443" s="400">
        <f>SUM(AB433:AB441)</f>
        <v>0</v>
      </c>
      <c r="AC443" s="114"/>
      <c r="AD443" s="400">
        <f>SUM(AD433:AD441)</f>
        <v>0</v>
      </c>
      <c r="AE443" s="114"/>
      <c r="AF443" s="400">
        <f>SUM(AF433:AF441)</f>
        <v>0</v>
      </c>
      <c r="AG443" s="114"/>
      <c r="AH443" s="443">
        <f>SUM(AH433:AH441)</f>
        <v>0</v>
      </c>
      <c r="AI443" s="114"/>
      <c r="AJ443" s="400">
        <f>SUM(AJ433:AJ441)</f>
        <v>0</v>
      </c>
      <c r="AL443" s="400">
        <f>SUM(AL433:AL441)</f>
        <v>0</v>
      </c>
    </row>
    <row r="444" spans="1:38" ht="13.5" thickTop="1">
      <c r="B444" s="409"/>
      <c r="C444" s="114"/>
      <c r="D444" s="114"/>
      <c r="E444" s="114"/>
      <c r="H444" s="114"/>
      <c r="I444" s="114"/>
      <c r="J444" s="114"/>
      <c r="K444" s="114"/>
      <c r="L444" s="114"/>
      <c r="M444" s="114"/>
      <c r="N444" s="114"/>
      <c r="O444" s="114"/>
      <c r="P444" s="114"/>
      <c r="Q444" s="114"/>
      <c r="R444" s="114"/>
      <c r="S444" s="114"/>
      <c r="T444" s="114"/>
      <c r="U444" s="114"/>
      <c r="V444" s="114"/>
      <c r="W444" s="114"/>
      <c r="X444" s="209"/>
      <c r="Y444" s="114"/>
      <c r="Z444" s="114"/>
      <c r="AA444" s="114"/>
      <c r="AB444" s="114"/>
      <c r="AC444" s="114"/>
      <c r="AD444" s="114"/>
      <c r="AE444" s="114"/>
      <c r="AF444" s="114"/>
      <c r="AG444" s="114"/>
      <c r="AH444" s="114"/>
      <c r="AI444" s="114"/>
      <c r="AJ444" s="114"/>
      <c r="AL444" s="114"/>
    </row>
    <row r="445" spans="1:38" s="815" customFormat="1" ht="51.75" thickBot="1">
      <c r="A445" s="397"/>
      <c r="B445" s="424" t="s">
        <v>624</v>
      </c>
      <c r="C445" s="424"/>
      <c r="D445" s="424"/>
      <c r="E445" s="424"/>
      <c r="H445" s="425" t="s">
        <v>908</v>
      </c>
      <c r="I445" s="426"/>
      <c r="J445" s="425" t="s">
        <v>603</v>
      </c>
      <c r="K445" s="426"/>
      <c r="L445" s="425" t="s">
        <v>399</v>
      </c>
      <c r="M445" s="426"/>
      <c r="N445" s="425" t="s">
        <v>607</v>
      </c>
      <c r="O445" s="426"/>
      <c r="P445" s="425" t="s">
        <v>740</v>
      </c>
      <c r="Q445" s="425" t="s">
        <v>3187</v>
      </c>
      <c r="R445" s="425" t="s">
        <v>741</v>
      </c>
      <c r="S445" s="426"/>
      <c r="T445" s="401" t="s">
        <v>564</v>
      </c>
      <c r="U445" s="426"/>
      <c r="V445" s="425" t="s">
        <v>620</v>
      </c>
      <c r="W445" s="426"/>
      <c r="X445" s="425" t="s">
        <v>622</v>
      </c>
      <c r="Y445" s="426"/>
      <c r="Z445" s="425" t="s">
        <v>614</v>
      </c>
      <c r="AA445" s="426"/>
      <c r="AB445" s="425" t="s">
        <v>3330</v>
      </c>
      <c r="AC445" s="426"/>
      <c r="AD445" s="425" t="s">
        <v>616</v>
      </c>
      <c r="AE445" s="426"/>
      <c r="AF445" s="425" t="s">
        <v>617</v>
      </c>
      <c r="AG445" s="426"/>
      <c r="AH445" s="401" t="s">
        <v>794</v>
      </c>
      <c r="AI445" s="426"/>
      <c r="AJ445" s="425" t="s">
        <v>640</v>
      </c>
      <c r="AK445" s="426"/>
      <c r="AL445" s="947" t="s">
        <v>2975</v>
      </c>
    </row>
    <row r="446" spans="1:38">
      <c r="E446" s="427" t="s">
        <v>244</v>
      </c>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L446" s="114"/>
    </row>
    <row r="447" spans="1:38">
      <c r="E447" s="428" t="s">
        <v>245</v>
      </c>
      <c r="H447" s="114">
        <v>0</v>
      </c>
      <c r="I447" s="114"/>
      <c r="J447" s="114">
        <v>0</v>
      </c>
      <c r="K447" s="114"/>
      <c r="L447" s="114"/>
      <c r="M447" s="114"/>
      <c r="N447" s="114">
        <v>10882996</v>
      </c>
      <c r="O447" s="114"/>
      <c r="P447" s="114"/>
      <c r="Q447" s="114"/>
      <c r="R447" s="114"/>
      <c r="S447" s="114"/>
      <c r="T447" s="114">
        <v>148800</v>
      </c>
      <c r="U447" s="114"/>
      <c r="V447" s="114">
        <v>0</v>
      </c>
      <c r="W447" s="114"/>
      <c r="X447" s="114"/>
      <c r="Y447" s="114"/>
      <c r="Z447" s="114">
        <v>0</v>
      </c>
      <c r="AA447" s="114"/>
      <c r="AB447" s="114"/>
      <c r="AC447" s="114"/>
      <c r="AD447" s="114"/>
      <c r="AE447" s="114"/>
      <c r="AF447" s="114">
        <v>0</v>
      </c>
      <c r="AG447" s="114"/>
      <c r="AH447" s="114"/>
      <c r="AI447" s="114"/>
      <c r="AJ447" s="114"/>
      <c r="AL447" s="114"/>
    </row>
    <row r="448" spans="1:38">
      <c r="E448" s="428" t="s">
        <v>171</v>
      </c>
      <c r="H448" s="114">
        <v>79073</v>
      </c>
      <c r="I448" s="114"/>
      <c r="J448" s="114">
        <v>0</v>
      </c>
      <c r="K448" s="114"/>
      <c r="L448" s="114"/>
      <c r="M448" s="114"/>
      <c r="N448" s="114">
        <v>3032936</v>
      </c>
      <c r="O448" s="114"/>
      <c r="P448" s="114">
        <v>0</v>
      </c>
      <c r="Q448" s="114"/>
      <c r="R448" s="114"/>
      <c r="S448" s="114"/>
      <c r="T448" s="114">
        <v>0</v>
      </c>
      <c r="U448" s="114"/>
      <c r="V448" s="114">
        <v>0</v>
      </c>
      <c r="W448" s="114"/>
      <c r="X448" s="114">
        <v>15064200</v>
      </c>
      <c r="Y448" s="114"/>
      <c r="Z448" s="114">
        <v>0</v>
      </c>
      <c r="AA448" s="114"/>
      <c r="AB448" s="114"/>
      <c r="AC448" s="114"/>
      <c r="AD448" s="114"/>
      <c r="AE448" s="114"/>
      <c r="AF448" s="114">
        <v>0</v>
      </c>
      <c r="AG448" s="114"/>
      <c r="AH448" s="114">
        <v>0</v>
      </c>
      <c r="AI448" s="114"/>
      <c r="AJ448" s="114"/>
      <c r="AL448" s="114"/>
    </row>
    <row r="449" spans="5:38">
      <c r="E449" s="428" t="s">
        <v>414</v>
      </c>
      <c r="H449" s="114"/>
      <c r="I449" s="114"/>
      <c r="J449" s="114">
        <v>0</v>
      </c>
      <c r="K449" s="114"/>
      <c r="L449" s="114"/>
      <c r="M449" s="114"/>
      <c r="N449" s="114">
        <v>0</v>
      </c>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L449" s="114"/>
    </row>
    <row r="450" spans="5:38">
      <c r="E450" s="428" t="s">
        <v>658</v>
      </c>
      <c r="H450" s="114"/>
      <c r="I450" s="114"/>
      <c r="J450" s="114">
        <v>0</v>
      </c>
      <c r="K450" s="114"/>
      <c r="L450" s="114"/>
      <c r="M450" s="114"/>
      <c r="N450" s="114">
        <v>0</v>
      </c>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L450" s="114"/>
    </row>
    <row r="451" spans="5:38">
      <c r="E451" s="429" t="s">
        <v>415</v>
      </c>
      <c r="H451" s="114"/>
      <c r="I451" s="114"/>
      <c r="J451" s="114">
        <v>0</v>
      </c>
      <c r="K451" s="114"/>
      <c r="L451" s="114"/>
      <c r="M451" s="114"/>
      <c r="N451" s="114">
        <v>0</v>
      </c>
      <c r="O451" s="114"/>
      <c r="P451" s="114"/>
      <c r="Q451" s="114"/>
      <c r="R451" s="114"/>
      <c r="S451" s="114"/>
      <c r="T451" s="114"/>
      <c r="U451" s="114"/>
      <c r="V451" s="114"/>
      <c r="W451" s="114"/>
      <c r="X451" s="114"/>
      <c r="Y451" s="114"/>
      <c r="Z451" s="114"/>
      <c r="AA451" s="114"/>
      <c r="AB451" s="114"/>
      <c r="AC451" s="114"/>
      <c r="AD451" s="114"/>
      <c r="AE451" s="114"/>
      <c r="AF451" s="114">
        <f>22719-22719</f>
        <v>0</v>
      </c>
      <c r="AG451" s="114"/>
      <c r="AH451" s="114"/>
      <c r="AI451" s="114"/>
      <c r="AJ451" s="114"/>
      <c r="AL451" s="114"/>
    </row>
    <row r="452" spans="5:38">
      <c r="E452" s="429"/>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L452" s="114"/>
    </row>
    <row r="453" spans="5:38">
      <c r="E453" s="427" t="s">
        <v>3548</v>
      </c>
      <c r="H453" s="405">
        <f>SUM(H447:H452)</f>
        <v>79073</v>
      </c>
      <c r="I453" s="114"/>
      <c r="J453" s="405">
        <f>SUM(J447:J452)</f>
        <v>0</v>
      </c>
      <c r="K453" s="114"/>
      <c r="L453" s="405">
        <f>SUM(L447:L452)</f>
        <v>0</v>
      </c>
      <c r="M453" s="114"/>
      <c r="N453" s="405">
        <f>SUM(N447:N452)</f>
        <v>13915932</v>
      </c>
      <c r="O453" s="114"/>
      <c r="P453" s="405">
        <f>SUM(P447:P452)</f>
        <v>0</v>
      </c>
      <c r="Q453" s="405">
        <f>SUM(Q447:Q452)</f>
        <v>0</v>
      </c>
      <c r="R453" s="405">
        <f>SUM(R447:R452)</f>
        <v>0</v>
      </c>
      <c r="S453" s="114"/>
      <c r="T453" s="405">
        <f>SUM(T447:T452)</f>
        <v>148800</v>
      </c>
      <c r="U453" s="114"/>
      <c r="V453" s="405">
        <f>SUM(V447:V452)</f>
        <v>0</v>
      </c>
      <c r="W453" s="114"/>
      <c r="X453" s="405">
        <f>SUM(X447:X452)</f>
        <v>15064200</v>
      </c>
      <c r="Y453" s="114"/>
      <c r="Z453" s="405">
        <f>SUM(Z447:Z452)</f>
        <v>0</v>
      </c>
      <c r="AA453" s="114"/>
      <c r="AB453" s="405">
        <f>SUM(AB447:AB452)</f>
        <v>0</v>
      </c>
      <c r="AC453" s="114"/>
      <c r="AD453" s="405">
        <f>SUM(AD447:AD452)</f>
        <v>0</v>
      </c>
      <c r="AE453" s="114"/>
      <c r="AF453" s="405">
        <f>SUM(AF447:AF452)</f>
        <v>0</v>
      </c>
      <c r="AG453" s="114"/>
      <c r="AH453" s="405">
        <f>SUM(AH447:AH452)</f>
        <v>0</v>
      </c>
      <c r="AI453" s="114"/>
      <c r="AJ453" s="405">
        <f>SUM(AJ447:AJ452)</f>
        <v>0</v>
      </c>
      <c r="AL453" s="405">
        <f>SUM(AL447:AL452)</f>
        <v>0</v>
      </c>
    </row>
    <row r="454" spans="5:38">
      <c r="E454" s="427"/>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L454" s="114"/>
    </row>
    <row r="455" spans="5:38">
      <c r="E455" s="427" t="s">
        <v>3334</v>
      </c>
      <c r="H455" s="114">
        <v>0</v>
      </c>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L455" s="114"/>
    </row>
    <row r="456" spans="5:38">
      <c r="E456" s="428" t="s">
        <v>248</v>
      </c>
      <c r="H456" s="114">
        <v>0</v>
      </c>
      <c r="I456" s="114"/>
      <c r="J456" s="114">
        <v>0</v>
      </c>
      <c r="K456" s="114"/>
      <c r="L456" s="114"/>
      <c r="M456" s="114"/>
      <c r="N456" s="114">
        <v>56004078</v>
      </c>
      <c r="O456" s="114"/>
      <c r="P456" s="114"/>
      <c r="Q456" s="114"/>
      <c r="R456" s="114"/>
      <c r="S456" s="114"/>
      <c r="T456" s="114">
        <v>13992583</v>
      </c>
      <c r="U456" s="114"/>
      <c r="V456" s="114">
        <v>0</v>
      </c>
      <c r="W456" s="114"/>
      <c r="X456" s="114"/>
      <c r="Y456" s="114"/>
      <c r="Z456" s="114">
        <v>0</v>
      </c>
      <c r="AA456" s="114"/>
      <c r="AB456" s="114"/>
      <c r="AC456" s="114"/>
      <c r="AD456" s="114"/>
      <c r="AE456" s="114"/>
      <c r="AF456" s="114">
        <v>0</v>
      </c>
      <c r="AG456" s="114"/>
      <c r="AH456" s="114"/>
      <c r="AI456" s="114"/>
      <c r="AJ456" s="114"/>
      <c r="AL456" s="114"/>
    </row>
    <row r="457" spans="5:38">
      <c r="E457" s="428" t="s">
        <v>249</v>
      </c>
      <c r="H457" s="114">
        <v>32430638</v>
      </c>
      <c r="I457" s="114"/>
      <c r="J457" s="114">
        <v>2506896</v>
      </c>
      <c r="K457" s="114"/>
      <c r="L457" s="114"/>
      <c r="M457" s="114"/>
      <c r="N457" s="114">
        <v>48066691</v>
      </c>
      <c r="O457" s="114"/>
      <c r="P457" s="114"/>
      <c r="Q457" s="114"/>
      <c r="R457" s="114"/>
      <c r="S457" s="114"/>
      <c r="T457" s="114">
        <v>1213876</v>
      </c>
      <c r="U457" s="114"/>
      <c r="V457" s="114">
        <v>4113948</v>
      </c>
      <c r="W457" s="114"/>
      <c r="X457" s="114"/>
      <c r="Y457" s="114"/>
      <c r="Z457" s="114">
        <v>0</v>
      </c>
      <c r="AA457" s="114"/>
      <c r="AB457" s="114">
        <v>115422</v>
      </c>
      <c r="AC457" s="114"/>
      <c r="AD457" s="114"/>
      <c r="AE457" s="114"/>
      <c r="AF457" s="114">
        <v>35547</v>
      </c>
      <c r="AG457" s="114"/>
      <c r="AH457" s="114"/>
      <c r="AI457" s="114"/>
      <c r="AJ457" s="114"/>
      <c r="AL457" s="114"/>
    </row>
    <row r="458" spans="5:38">
      <c r="E458" s="428" t="s">
        <v>250</v>
      </c>
      <c r="H458" s="114">
        <v>0</v>
      </c>
      <c r="I458" s="114"/>
      <c r="J458" s="114">
        <v>0</v>
      </c>
      <c r="K458" s="114"/>
      <c r="L458" s="114"/>
      <c r="M458" s="114"/>
      <c r="N458" s="114">
        <v>0</v>
      </c>
      <c r="O458" s="114"/>
      <c r="P458" s="114"/>
      <c r="Q458" s="114"/>
      <c r="R458" s="114"/>
      <c r="S458" s="114"/>
      <c r="T458" s="114">
        <v>0</v>
      </c>
      <c r="U458" s="114"/>
      <c r="V458" s="114">
        <v>0</v>
      </c>
      <c r="W458" s="114"/>
      <c r="X458" s="114"/>
      <c r="Y458" s="114"/>
      <c r="Z458" s="114">
        <v>0</v>
      </c>
      <c r="AA458" s="114"/>
      <c r="AB458" s="114"/>
      <c r="AC458" s="114"/>
      <c r="AD458" s="114"/>
      <c r="AE458" s="114"/>
      <c r="AF458" s="114">
        <v>0</v>
      </c>
      <c r="AG458" s="114"/>
      <c r="AH458" s="114"/>
      <c r="AI458" s="114"/>
      <c r="AJ458" s="114"/>
      <c r="AL458" s="114"/>
    </row>
    <row r="459" spans="5:38">
      <c r="E459" s="428" t="s">
        <v>659</v>
      </c>
      <c r="H459" s="114">
        <v>0</v>
      </c>
      <c r="I459" s="114"/>
      <c r="J459" s="114">
        <v>0</v>
      </c>
      <c r="K459" s="114"/>
      <c r="L459" s="114"/>
      <c r="M459" s="114"/>
      <c r="N459" s="114">
        <v>0</v>
      </c>
      <c r="O459" s="114"/>
      <c r="P459" s="114"/>
      <c r="Q459" s="114"/>
      <c r="R459" s="114"/>
      <c r="S459" s="114"/>
      <c r="T459" s="114"/>
      <c r="U459" s="114"/>
      <c r="V459" s="114">
        <v>0</v>
      </c>
      <c r="W459" s="114"/>
      <c r="X459" s="114"/>
      <c r="Y459" s="114"/>
      <c r="Z459" s="114"/>
      <c r="AA459" s="114"/>
      <c r="AB459" s="114"/>
      <c r="AC459" s="114"/>
      <c r="AD459" s="114"/>
      <c r="AE459" s="114"/>
      <c r="AF459" s="114"/>
      <c r="AG459" s="114"/>
      <c r="AH459" s="114"/>
      <c r="AI459" s="114"/>
      <c r="AJ459" s="114"/>
      <c r="AL459" s="114"/>
    </row>
    <row r="460" spans="5:38">
      <c r="E460" s="428" t="s">
        <v>660</v>
      </c>
      <c r="H460" s="114">
        <v>0</v>
      </c>
      <c r="I460" s="114"/>
      <c r="J460" s="114">
        <v>0</v>
      </c>
      <c r="K460" s="114"/>
      <c r="L460" s="114"/>
      <c r="M460" s="114"/>
      <c r="N460" s="114">
        <v>0</v>
      </c>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L460" s="114"/>
    </row>
    <row r="461" spans="5:38">
      <c r="E461" s="428" t="s">
        <v>3541</v>
      </c>
      <c r="H461" s="114">
        <v>0</v>
      </c>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L461" s="114"/>
    </row>
    <row r="462" spans="5:38">
      <c r="E462" s="430" t="s">
        <v>54</v>
      </c>
      <c r="H462" s="114">
        <v>6269737</v>
      </c>
      <c r="I462" s="114"/>
      <c r="J462" s="114">
        <v>1012066</v>
      </c>
      <c r="K462" s="114"/>
      <c r="L462" s="114"/>
      <c r="M462" s="114"/>
      <c r="N462" s="114">
        <v>35783404</v>
      </c>
      <c r="O462" s="114"/>
      <c r="P462" s="114">
        <v>175652</v>
      </c>
      <c r="Q462" s="114">
        <v>8757</v>
      </c>
      <c r="R462" s="114"/>
      <c r="S462" s="114"/>
      <c r="T462" s="114"/>
      <c r="U462" s="114"/>
      <c r="V462" s="114">
        <v>1833202</v>
      </c>
      <c r="W462" s="114"/>
      <c r="X462" s="114">
        <v>412962</v>
      </c>
      <c r="Y462" s="114"/>
      <c r="Z462" s="114"/>
      <c r="AA462" s="114"/>
      <c r="AB462" s="114"/>
      <c r="AC462" s="114"/>
      <c r="AD462" s="114"/>
      <c r="AE462" s="114"/>
      <c r="AF462" s="114">
        <v>0</v>
      </c>
      <c r="AG462" s="114"/>
      <c r="AH462" s="114"/>
      <c r="AI462" s="114"/>
      <c r="AJ462" s="114"/>
      <c r="AL462" s="114"/>
    </row>
    <row r="463" spans="5:38">
      <c r="E463" s="430" t="s">
        <v>418</v>
      </c>
      <c r="H463" s="114">
        <v>0</v>
      </c>
      <c r="I463" s="114"/>
      <c r="J463" s="114">
        <v>0</v>
      </c>
      <c r="K463" s="114"/>
      <c r="L463" s="114"/>
      <c r="M463" s="114"/>
      <c r="N463" s="114">
        <v>0</v>
      </c>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L463" s="114"/>
    </row>
    <row r="464" spans="5:38">
      <c r="E464" s="430" t="s">
        <v>419</v>
      </c>
      <c r="H464" s="114">
        <v>0</v>
      </c>
      <c r="I464" s="114"/>
      <c r="J464" s="114">
        <v>0</v>
      </c>
      <c r="K464" s="114"/>
      <c r="L464" s="114"/>
      <c r="M464" s="114"/>
      <c r="N464" s="114">
        <v>0</v>
      </c>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L464" s="114"/>
    </row>
    <row r="465" spans="5:38">
      <c r="E465" s="430" t="s">
        <v>420</v>
      </c>
      <c r="H465" s="114">
        <v>0</v>
      </c>
      <c r="I465" s="114"/>
      <c r="J465" s="114">
        <v>0</v>
      </c>
      <c r="K465" s="114"/>
      <c r="L465" s="114"/>
      <c r="M465" s="114"/>
      <c r="N465" s="114">
        <v>0</v>
      </c>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L465" s="114"/>
    </row>
    <row r="466" spans="5:38">
      <c r="E466" s="428" t="s">
        <v>3542</v>
      </c>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L466" s="114"/>
    </row>
    <row r="467" spans="5:38">
      <c r="E467" s="958" t="s">
        <v>245</v>
      </c>
      <c r="H467" s="114">
        <v>0</v>
      </c>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L467" s="114"/>
    </row>
    <row r="468" spans="5:38">
      <c r="E468" s="958" t="s">
        <v>248</v>
      </c>
      <c r="H468" s="114">
        <v>3435238</v>
      </c>
      <c r="I468" s="114"/>
      <c r="J468" s="114"/>
      <c r="K468" s="114"/>
      <c r="L468" s="114"/>
      <c r="M468" s="114"/>
      <c r="N468" s="114">
        <v>236801699</v>
      </c>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L468" s="114"/>
    </row>
    <row r="469" spans="5:38">
      <c r="E469" s="958" t="s">
        <v>249</v>
      </c>
      <c r="H469" s="114">
        <v>138662</v>
      </c>
      <c r="I469" s="114"/>
      <c r="J469" s="114">
        <v>137675</v>
      </c>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L469" s="114"/>
    </row>
    <row r="470" spans="5:38">
      <c r="E470" s="958" t="s">
        <v>250</v>
      </c>
      <c r="H470" s="114">
        <v>0</v>
      </c>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L470" s="114"/>
    </row>
    <row r="471" spans="5:38">
      <c r="E471" s="958" t="s">
        <v>3543</v>
      </c>
      <c r="H471" s="114">
        <v>7817081</v>
      </c>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L471" s="114"/>
    </row>
    <row r="472" spans="5:38">
      <c r="E472" s="428" t="s">
        <v>3544</v>
      </c>
      <c r="H472" s="400">
        <v>5565817</v>
      </c>
      <c r="I472" s="114"/>
      <c r="J472" s="400">
        <v>2692805</v>
      </c>
      <c r="K472" s="114"/>
      <c r="L472" s="400"/>
      <c r="M472" s="114"/>
      <c r="N472" s="400">
        <v>17042608</v>
      </c>
      <c r="O472" s="114"/>
      <c r="P472" s="400"/>
      <c r="Q472" s="400"/>
      <c r="R472" s="400"/>
      <c r="S472" s="114"/>
      <c r="T472" s="400"/>
      <c r="U472" s="114"/>
      <c r="V472" s="400"/>
      <c r="W472" s="114"/>
      <c r="X472" s="400">
        <v>199298007</v>
      </c>
      <c r="Y472" s="114"/>
      <c r="Z472" s="400"/>
      <c r="AA472" s="114"/>
      <c r="AB472" s="400"/>
      <c r="AC472" s="114"/>
      <c r="AD472" s="400"/>
      <c r="AE472" s="114"/>
      <c r="AF472" s="400"/>
      <c r="AG472" s="114"/>
      <c r="AH472" s="114"/>
      <c r="AI472" s="114"/>
      <c r="AJ472" s="400"/>
      <c r="AL472" s="400"/>
    </row>
    <row r="473" spans="5:38">
      <c r="E473" s="427" t="s">
        <v>3550</v>
      </c>
      <c r="H473" s="114">
        <f>SUM(H455:H472)</f>
        <v>55657173</v>
      </c>
      <c r="I473" s="114"/>
      <c r="J473" s="114">
        <f>SUM(J455:J472)</f>
        <v>6349442</v>
      </c>
      <c r="K473" s="114"/>
      <c r="L473" s="114">
        <f>SUM(L455:L472)</f>
        <v>0</v>
      </c>
      <c r="M473" s="114"/>
      <c r="N473" s="114">
        <f>SUM(N455:N472)</f>
        <v>393698480</v>
      </c>
      <c r="O473" s="114"/>
      <c r="P473" s="114">
        <f>SUM(P455:P472)</f>
        <v>175652</v>
      </c>
      <c r="Q473" s="114">
        <f>SUM(Q455:Q472)</f>
        <v>8757</v>
      </c>
      <c r="R473" s="114">
        <f>SUM(R455:R472)</f>
        <v>0</v>
      </c>
      <c r="S473" s="114"/>
      <c r="T473" s="114">
        <f>SUM(T455:T472)</f>
        <v>15206459</v>
      </c>
      <c r="U473" s="114"/>
      <c r="V473" s="114">
        <f>SUM(V455:V472)</f>
        <v>5947150</v>
      </c>
      <c r="W473" s="114"/>
      <c r="X473" s="114">
        <f>SUM(X455:X472)</f>
        <v>199710969</v>
      </c>
      <c r="Y473" s="114"/>
      <c r="Z473" s="114">
        <f>SUM(Z455:Z472)</f>
        <v>0</v>
      </c>
      <c r="AA473" s="114"/>
      <c r="AB473" s="114">
        <f>SUM(AB455:AB472)</f>
        <v>115422</v>
      </c>
      <c r="AC473" s="114"/>
      <c r="AD473" s="114">
        <f>SUM(AD455:AD472)</f>
        <v>0</v>
      </c>
      <c r="AE473" s="114"/>
      <c r="AF473" s="114">
        <f>SUM(AF455:AF472)</f>
        <v>35547</v>
      </c>
      <c r="AG473" s="114"/>
      <c r="AH473" s="114"/>
      <c r="AI473" s="114"/>
      <c r="AJ473" s="114">
        <f>SUM(AJ455:AJ472)</f>
        <v>0</v>
      </c>
      <c r="AL473" s="114">
        <f>SUM(AL455:AL472)</f>
        <v>0</v>
      </c>
    </row>
    <row r="474" spans="5:38">
      <c r="E474" s="427"/>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L474" s="114"/>
    </row>
    <row r="475" spans="5:38">
      <c r="E475" s="431" t="s">
        <v>251</v>
      </c>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L475" s="114"/>
    </row>
    <row r="476" spans="5:38">
      <c r="E476" s="428" t="s">
        <v>248</v>
      </c>
      <c r="H476" s="114">
        <v>0</v>
      </c>
      <c r="I476" s="114"/>
      <c r="J476" s="114">
        <v>0</v>
      </c>
      <c r="K476" s="114"/>
      <c r="L476" s="114"/>
      <c r="M476" s="114"/>
      <c r="N476" s="114">
        <v>6386663</v>
      </c>
      <c r="O476" s="114"/>
      <c r="P476" s="114"/>
      <c r="Q476" s="114"/>
      <c r="R476" s="114"/>
      <c r="S476" s="114"/>
      <c r="T476" s="114">
        <v>5718319</v>
      </c>
      <c r="U476" s="114"/>
      <c r="V476" s="114">
        <v>0</v>
      </c>
      <c r="W476" s="114"/>
      <c r="X476" s="114">
        <v>0</v>
      </c>
      <c r="Y476" s="114"/>
      <c r="Z476" s="114">
        <v>0</v>
      </c>
      <c r="AA476" s="114"/>
      <c r="AB476" s="114"/>
      <c r="AC476" s="114"/>
      <c r="AD476" s="114"/>
      <c r="AE476" s="114"/>
      <c r="AF476" s="114">
        <v>0</v>
      </c>
      <c r="AG476" s="114"/>
      <c r="AH476" s="114"/>
      <c r="AI476" s="114"/>
      <c r="AJ476" s="114"/>
      <c r="AL476" s="114"/>
    </row>
    <row r="477" spans="5:38">
      <c r="E477" s="428" t="s">
        <v>249</v>
      </c>
      <c r="H477" s="114">
        <v>22372864</v>
      </c>
      <c r="I477" s="114"/>
      <c r="J477" s="114">
        <v>1923931</v>
      </c>
      <c r="K477" s="114"/>
      <c r="L477" s="114"/>
      <c r="M477" s="114"/>
      <c r="N477" s="114">
        <v>19509932</v>
      </c>
      <c r="O477" s="114"/>
      <c r="P477" s="114"/>
      <c r="Q477" s="114"/>
      <c r="R477" s="114"/>
      <c r="S477" s="114"/>
      <c r="T477" s="114">
        <v>1019473</v>
      </c>
      <c r="U477" s="114"/>
      <c r="V477" s="114">
        <v>2770826</v>
      </c>
      <c r="W477" s="114"/>
      <c r="X477" s="114">
        <v>0</v>
      </c>
      <c r="Y477" s="114"/>
      <c r="Z477" s="114">
        <v>0</v>
      </c>
      <c r="AA477" s="114"/>
      <c r="AB477" s="114"/>
      <c r="AC477" s="114"/>
      <c r="AD477" s="114"/>
      <c r="AE477" s="114"/>
      <c r="AF477" s="114">
        <v>35547</v>
      </c>
      <c r="AG477" s="114"/>
      <c r="AH477" s="114"/>
      <c r="AI477" s="114"/>
      <c r="AJ477" s="114"/>
      <c r="AL477" s="114"/>
    </row>
    <row r="478" spans="5:38">
      <c r="E478" s="428" t="s">
        <v>250</v>
      </c>
      <c r="H478" s="114">
        <v>0</v>
      </c>
      <c r="I478" s="114"/>
      <c r="J478" s="114">
        <v>0</v>
      </c>
      <c r="K478" s="114"/>
      <c r="L478" s="114"/>
      <c r="M478" s="114"/>
      <c r="N478" s="114">
        <v>0</v>
      </c>
      <c r="O478" s="114"/>
      <c r="P478" s="114"/>
      <c r="Q478" s="114"/>
      <c r="R478" s="114"/>
      <c r="S478" s="114"/>
      <c r="T478" s="114">
        <v>0</v>
      </c>
      <c r="U478" s="114"/>
      <c r="V478" s="114">
        <v>0</v>
      </c>
      <c r="W478" s="114"/>
      <c r="X478" s="114">
        <v>0</v>
      </c>
      <c r="Y478" s="114"/>
      <c r="Z478" s="114">
        <v>0</v>
      </c>
      <c r="AA478" s="114"/>
      <c r="AB478" s="114"/>
      <c r="AC478" s="114"/>
      <c r="AD478" s="114"/>
      <c r="AE478" s="114"/>
      <c r="AF478" s="114">
        <v>0</v>
      </c>
      <c r="AG478" s="114"/>
      <c r="AH478" s="114"/>
      <c r="AI478" s="114"/>
      <c r="AJ478" s="114"/>
      <c r="AL478" s="114"/>
    </row>
    <row r="479" spans="5:38">
      <c r="E479" s="428" t="s">
        <v>659</v>
      </c>
      <c r="H479" s="114">
        <v>0</v>
      </c>
      <c r="I479" s="114"/>
      <c r="J479" s="114">
        <v>0</v>
      </c>
      <c r="K479" s="114"/>
      <c r="L479" s="114"/>
      <c r="M479" s="114"/>
      <c r="N479" s="114">
        <v>0</v>
      </c>
      <c r="O479" s="114"/>
      <c r="P479" s="114"/>
      <c r="Q479" s="114"/>
      <c r="R479" s="114"/>
      <c r="S479" s="114"/>
      <c r="T479" s="114">
        <v>0</v>
      </c>
      <c r="U479" s="114"/>
      <c r="V479" s="114">
        <v>0</v>
      </c>
      <c r="W479" s="114"/>
      <c r="X479" s="114">
        <v>0</v>
      </c>
      <c r="Y479" s="114"/>
      <c r="Z479" s="114"/>
      <c r="AA479" s="114"/>
      <c r="AB479" s="114"/>
      <c r="AC479" s="114"/>
      <c r="AD479" s="114"/>
      <c r="AE479" s="114"/>
      <c r="AF479" s="114"/>
      <c r="AG479" s="114"/>
      <c r="AH479" s="114"/>
      <c r="AI479" s="114"/>
      <c r="AJ479" s="114"/>
      <c r="AL479" s="114"/>
    </row>
    <row r="480" spans="5:38">
      <c r="E480" s="428" t="s">
        <v>660</v>
      </c>
      <c r="H480" s="114">
        <v>0</v>
      </c>
      <c r="I480" s="114"/>
      <c r="J480" s="114">
        <v>0</v>
      </c>
      <c r="K480" s="114"/>
      <c r="L480" s="114"/>
      <c r="M480" s="114"/>
      <c r="N480" s="114">
        <v>0</v>
      </c>
      <c r="O480" s="114"/>
      <c r="P480" s="114"/>
      <c r="Q480" s="114"/>
      <c r="R480" s="114"/>
      <c r="S480" s="114"/>
      <c r="T480" s="114"/>
      <c r="U480" s="114"/>
      <c r="V480" s="114"/>
      <c r="W480" s="114"/>
      <c r="X480" s="114">
        <v>0</v>
      </c>
      <c r="Y480" s="114"/>
      <c r="Z480" s="114"/>
      <c r="AA480" s="114"/>
      <c r="AB480" s="114"/>
      <c r="AC480" s="114"/>
      <c r="AD480" s="114"/>
      <c r="AE480" s="114"/>
      <c r="AF480" s="114"/>
      <c r="AG480" s="114"/>
      <c r="AH480" s="114"/>
      <c r="AI480" s="114"/>
      <c r="AJ480" s="114"/>
      <c r="AL480" s="114"/>
    </row>
    <row r="481" spans="5:38">
      <c r="E481" s="428" t="s">
        <v>3541</v>
      </c>
      <c r="H481" s="114">
        <v>0</v>
      </c>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L481" s="114"/>
    </row>
    <row r="482" spans="5:38">
      <c r="E482" s="430" t="s">
        <v>54</v>
      </c>
      <c r="H482" s="114">
        <v>4350525</v>
      </c>
      <c r="I482" s="114"/>
      <c r="J482" s="114">
        <v>1032038</v>
      </c>
      <c r="K482" s="114"/>
      <c r="L482" s="114"/>
      <c r="M482" s="114"/>
      <c r="N482" s="114">
        <v>16581929</v>
      </c>
      <c r="O482" s="114"/>
      <c r="P482" s="114">
        <v>120915</v>
      </c>
      <c r="Q482" s="114">
        <v>8077</v>
      </c>
      <c r="R482" s="114"/>
      <c r="S482" s="114"/>
      <c r="T482" s="114"/>
      <c r="U482" s="114"/>
      <c r="V482" s="114">
        <v>1261551</v>
      </c>
      <c r="W482" s="114"/>
      <c r="X482" s="114">
        <v>412962</v>
      </c>
      <c r="Y482" s="114"/>
      <c r="Z482" s="114"/>
      <c r="AA482" s="114"/>
      <c r="AB482" s="114"/>
      <c r="AC482" s="114"/>
      <c r="AD482" s="114"/>
      <c r="AE482" s="114"/>
      <c r="AF482" s="114">
        <v>0</v>
      </c>
      <c r="AG482" s="114"/>
      <c r="AH482" s="114"/>
      <c r="AI482" s="114"/>
      <c r="AJ482" s="114"/>
      <c r="AL482" s="114"/>
    </row>
    <row r="483" spans="5:38">
      <c r="E483" s="430" t="s">
        <v>418</v>
      </c>
      <c r="H483" s="114">
        <v>0</v>
      </c>
      <c r="I483" s="114"/>
      <c r="J483" s="114">
        <v>0</v>
      </c>
      <c r="K483" s="114"/>
      <c r="L483" s="114"/>
      <c r="M483" s="114"/>
      <c r="N483" s="114">
        <v>0</v>
      </c>
      <c r="O483" s="114"/>
      <c r="P483" s="114"/>
      <c r="Q483" s="114"/>
      <c r="R483" s="114"/>
      <c r="S483" s="114"/>
      <c r="T483" s="114"/>
      <c r="U483" s="114"/>
      <c r="V483" s="114"/>
      <c r="W483" s="114"/>
      <c r="X483" s="114">
        <v>0</v>
      </c>
      <c r="Y483" s="114"/>
      <c r="Z483" s="114"/>
      <c r="AA483" s="114"/>
      <c r="AB483" s="114"/>
      <c r="AC483" s="114"/>
      <c r="AD483" s="114"/>
      <c r="AE483" s="114"/>
      <c r="AF483" s="114"/>
      <c r="AG483" s="114"/>
      <c r="AH483" s="114"/>
      <c r="AI483" s="114"/>
      <c r="AJ483" s="114"/>
      <c r="AL483" s="114"/>
    </row>
    <row r="484" spans="5:38">
      <c r="E484" s="430" t="s">
        <v>419</v>
      </c>
      <c r="H484" s="114">
        <v>0</v>
      </c>
      <c r="I484" s="114"/>
      <c r="J484" s="114">
        <v>0</v>
      </c>
      <c r="K484" s="114"/>
      <c r="L484" s="114"/>
      <c r="M484" s="114"/>
      <c r="N484" s="114">
        <v>0</v>
      </c>
      <c r="O484" s="114"/>
      <c r="P484" s="114"/>
      <c r="Q484" s="114"/>
      <c r="R484" s="114"/>
      <c r="S484" s="114"/>
      <c r="T484" s="114"/>
      <c r="U484" s="114"/>
      <c r="V484" s="114"/>
      <c r="W484" s="114"/>
      <c r="X484" s="114">
        <v>0</v>
      </c>
      <c r="Y484" s="114"/>
      <c r="Z484" s="114"/>
      <c r="AA484" s="114"/>
      <c r="AB484" s="114"/>
      <c r="AC484" s="114"/>
      <c r="AD484" s="114"/>
      <c r="AE484" s="114"/>
      <c r="AF484" s="114"/>
      <c r="AG484" s="114"/>
      <c r="AH484" s="114"/>
      <c r="AI484" s="114"/>
      <c r="AJ484" s="114"/>
      <c r="AL484" s="114"/>
    </row>
    <row r="485" spans="5:38">
      <c r="E485" s="430" t="s">
        <v>420</v>
      </c>
      <c r="H485" s="114">
        <v>0</v>
      </c>
      <c r="I485" s="114"/>
      <c r="J485" s="114">
        <v>0</v>
      </c>
      <c r="K485" s="114"/>
      <c r="L485" s="114"/>
      <c r="M485" s="114"/>
      <c r="N485" s="114">
        <v>0</v>
      </c>
      <c r="O485" s="114"/>
      <c r="P485" s="114"/>
      <c r="Q485" s="400"/>
      <c r="R485" s="400"/>
      <c r="S485" s="114"/>
      <c r="T485" s="400"/>
      <c r="U485" s="114"/>
      <c r="V485" s="400"/>
      <c r="W485" s="114"/>
      <c r="X485" s="400">
        <v>0</v>
      </c>
      <c r="Y485" s="114"/>
      <c r="Z485" s="400"/>
      <c r="AA485" s="114"/>
      <c r="AB485" s="400"/>
      <c r="AC485" s="114"/>
      <c r="AD485" s="400"/>
      <c r="AE485" s="114"/>
      <c r="AF485" s="400"/>
      <c r="AG485" s="114"/>
      <c r="AH485" s="114"/>
      <c r="AI485" s="114"/>
      <c r="AJ485" s="400"/>
      <c r="AL485" s="400"/>
    </row>
    <row r="486" spans="5:38">
      <c r="E486" s="429" t="s">
        <v>3545</v>
      </c>
      <c r="H486" s="209">
        <f>SUM(H476:H485)</f>
        <v>26723389</v>
      </c>
      <c r="I486" s="114"/>
      <c r="J486" s="209">
        <f>SUM(J476:J485)</f>
        <v>2955969</v>
      </c>
      <c r="K486" s="114"/>
      <c r="L486" s="209">
        <f>SUM(L476:L485)</f>
        <v>0</v>
      </c>
      <c r="M486" s="114"/>
      <c r="N486" s="209">
        <f>SUM(N476:N485)</f>
        <v>42478524</v>
      </c>
      <c r="O486" s="114"/>
      <c r="P486" s="209">
        <f>SUM(P476:P485)</f>
        <v>120915</v>
      </c>
      <c r="Q486" s="114">
        <f>SUM(Q476:Q485)</f>
        <v>8077</v>
      </c>
      <c r="R486" s="114">
        <f>SUM(R476:R485)</f>
        <v>0</v>
      </c>
      <c r="S486" s="114"/>
      <c r="T486" s="114">
        <f>SUM(T476:T485)</f>
        <v>6737792</v>
      </c>
      <c r="U486" s="114"/>
      <c r="V486" s="114">
        <f>SUM(V476:V485)</f>
        <v>4032377</v>
      </c>
      <c r="W486" s="114"/>
      <c r="X486" s="114">
        <f>SUM(X476:X485)</f>
        <v>412962</v>
      </c>
      <c r="Y486" s="114"/>
      <c r="Z486" s="114">
        <f>SUM(Z476:Z485)</f>
        <v>0</v>
      </c>
      <c r="AA486" s="114"/>
      <c r="AB486" s="114">
        <f>SUM(AB476:AB485)</f>
        <v>0</v>
      </c>
      <c r="AC486" s="114"/>
      <c r="AD486" s="114">
        <f>SUM(AD476:AD485)</f>
        <v>0</v>
      </c>
      <c r="AE486" s="114"/>
      <c r="AF486" s="114">
        <f>SUM(AF476:AF485)</f>
        <v>35547</v>
      </c>
      <c r="AG486" s="114"/>
      <c r="AH486" s="114">
        <f>SUM(AH476:AH485)</f>
        <v>0</v>
      </c>
      <c r="AI486" s="114"/>
      <c r="AJ486" s="114">
        <f>SUM(AJ476:AJ485)</f>
        <v>0</v>
      </c>
      <c r="AL486" s="114">
        <f>SUM(AL476:AL485)</f>
        <v>0</v>
      </c>
    </row>
    <row r="487" spans="5:38">
      <c r="E487" s="431" t="s">
        <v>3337</v>
      </c>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L487" s="114"/>
    </row>
    <row r="488" spans="5:38">
      <c r="E488" s="428" t="s">
        <v>3542</v>
      </c>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L488" s="114"/>
    </row>
    <row r="489" spans="5:38">
      <c r="E489" s="958" t="s">
        <v>245</v>
      </c>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L489" s="114"/>
    </row>
    <row r="490" spans="5:38">
      <c r="E490" s="958" t="s">
        <v>248</v>
      </c>
      <c r="H490" s="114">
        <v>1181250</v>
      </c>
      <c r="I490" s="114"/>
      <c r="J490" s="114"/>
      <c r="K490" s="114"/>
      <c r="L490" s="114"/>
      <c r="M490" s="114"/>
      <c r="N490" s="114">
        <v>49476898</v>
      </c>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L490" s="114"/>
    </row>
    <row r="491" spans="5:38">
      <c r="E491" s="958" t="s">
        <v>249</v>
      </c>
      <c r="H491" s="114">
        <v>103388</v>
      </c>
      <c r="I491" s="114"/>
      <c r="J491" s="114">
        <v>28062</v>
      </c>
      <c r="K491" s="114"/>
      <c r="L491" s="114"/>
      <c r="M491" s="114"/>
      <c r="N491" s="114"/>
      <c r="O491" s="114"/>
      <c r="P491" s="114"/>
      <c r="Q491" s="114"/>
      <c r="R491" s="114"/>
      <c r="S491" s="114"/>
      <c r="T491" s="114"/>
      <c r="U491" s="114"/>
      <c r="V491" s="114"/>
      <c r="W491" s="114"/>
      <c r="X491" s="114"/>
      <c r="Y491" s="114"/>
      <c r="Z491" s="114"/>
      <c r="AA491" s="114"/>
      <c r="AB491" s="114">
        <v>4742</v>
      </c>
      <c r="AC491" s="114"/>
      <c r="AD491" s="114"/>
      <c r="AE491" s="114"/>
      <c r="AF491" s="114"/>
      <c r="AG491" s="114"/>
      <c r="AH491" s="114"/>
      <c r="AI491" s="114"/>
      <c r="AJ491" s="114"/>
      <c r="AL491" s="114"/>
    </row>
    <row r="492" spans="5:38">
      <c r="E492" s="958" t="s">
        <v>250</v>
      </c>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L492" s="114"/>
    </row>
    <row r="493" spans="5:38">
      <c r="E493" s="958" t="s">
        <v>3543</v>
      </c>
      <c r="H493" s="114">
        <v>3908541</v>
      </c>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L493" s="114"/>
    </row>
    <row r="494" spans="5:38">
      <c r="E494" s="428" t="s">
        <v>3544</v>
      </c>
      <c r="H494" s="114">
        <v>872823</v>
      </c>
      <c r="I494" s="114"/>
      <c r="J494" s="114">
        <v>811855</v>
      </c>
      <c r="K494" s="114"/>
      <c r="L494" s="114"/>
      <c r="M494" s="114"/>
      <c r="N494" s="114">
        <v>2612508</v>
      </c>
      <c r="O494" s="114"/>
      <c r="P494" s="114"/>
      <c r="Q494" s="400"/>
      <c r="R494" s="400"/>
      <c r="S494" s="114"/>
      <c r="T494" s="400"/>
      <c r="U494" s="114"/>
      <c r="V494" s="400"/>
      <c r="W494" s="114"/>
      <c r="X494" s="400">
        <v>6643267</v>
      </c>
      <c r="Y494" s="114"/>
      <c r="Z494" s="400"/>
      <c r="AA494" s="114"/>
      <c r="AB494" s="400"/>
      <c r="AC494" s="114"/>
      <c r="AD494" s="400"/>
      <c r="AE494" s="114"/>
      <c r="AF494" s="400"/>
      <c r="AG494" s="114"/>
      <c r="AH494" s="114"/>
      <c r="AI494" s="114"/>
      <c r="AJ494" s="400"/>
      <c r="AL494" s="400"/>
    </row>
    <row r="495" spans="5:38">
      <c r="E495" s="428" t="s">
        <v>3546</v>
      </c>
      <c r="H495" s="209">
        <f>SUM(H488:H494)</f>
        <v>6066002</v>
      </c>
      <c r="I495" s="114"/>
      <c r="J495" s="209">
        <f>SUM(J488:J494)</f>
        <v>839917</v>
      </c>
      <c r="K495" s="114"/>
      <c r="L495" s="209">
        <f>SUM(L488:L494)</f>
        <v>0</v>
      </c>
      <c r="M495" s="114"/>
      <c r="N495" s="209">
        <f>SUM(N488:N494)</f>
        <v>52089406</v>
      </c>
      <c r="O495" s="114"/>
      <c r="P495" s="209">
        <f>SUM(P488:P494)</f>
        <v>0</v>
      </c>
      <c r="Q495" s="209">
        <f>SUM(Q488:Q494)</f>
        <v>0</v>
      </c>
      <c r="R495" s="209">
        <f>SUM(R488:R494)</f>
        <v>0</v>
      </c>
      <c r="S495" s="114"/>
      <c r="T495" s="114">
        <f>SUM(T488:T494)</f>
        <v>0</v>
      </c>
      <c r="U495" s="114"/>
      <c r="V495" s="114">
        <f>SUM(V488:V494)</f>
        <v>0</v>
      </c>
      <c r="W495" s="114"/>
      <c r="X495" s="114">
        <f>SUM(X488:X494)</f>
        <v>6643267</v>
      </c>
      <c r="Y495" s="114"/>
      <c r="Z495" s="114">
        <f>SUM(Z488:Z494)</f>
        <v>0</v>
      </c>
      <c r="AA495" s="114"/>
      <c r="AB495" s="114">
        <f>SUM(AB488:AB494)</f>
        <v>4742</v>
      </c>
      <c r="AC495" s="114"/>
      <c r="AD495" s="114">
        <f>SUM(AD488:AD494)</f>
        <v>0</v>
      </c>
      <c r="AE495" s="114"/>
      <c r="AF495" s="114">
        <f>SUM(AF488:AF494)</f>
        <v>0</v>
      </c>
      <c r="AG495" s="114"/>
      <c r="AH495" s="114"/>
      <c r="AI495" s="114"/>
      <c r="AJ495" s="114">
        <f>SUM(AJ488:AJ494)</f>
        <v>0</v>
      </c>
      <c r="AL495" s="114">
        <f>SUM(AL488:AL494)</f>
        <v>0</v>
      </c>
    </row>
    <row r="496" spans="5:38">
      <c r="E496" s="428"/>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L496" s="114"/>
    </row>
    <row r="497" spans="2:38">
      <c r="E497" s="427" t="s">
        <v>3547</v>
      </c>
      <c r="H497" s="114">
        <v>32789391</v>
      </c>
      <c r="I497" s="114"/>
      <c r="J497" s="114">
        <f>J486+J495</f>
        <v>3795886</v>
      </c>
      <c r="K497" s="114"/>
      <c r="L497" s="114">
        <f>L486+L495</f>
        <v>0</v>
      </c>
      <c r="M497" s="114"/>
      <c r="N497" s="114">
        <f>N486+N495</f>
        <v>94567930</v>
      </c>
      <c r="O497" s="114"/>
      <c r="P497" s="114">
        <f>P486+P495</f>
        <v>120915</v>
      </c>
      <c r="Q497" s="114">
        <f>Q486+Q495</f>
        <v>8077</v>
      </c>
      <c r="R497" s="114">
        <f>R486+R495</f>
        <v>0</v>
      </c>
      <c r="S497" s="114"/>
      <c r="T497" s="114">
        <f>T486+T495</f>
        <v>6737792</v>
      </c>
      <c r="U497" s="114"/>
      <c r="V497" s="114">
        <f>V486+V495</f>
        <v>4032377</v>
      </c>
      <c r="W497" s="114"/>
      <c r="X497" s="114">
        <f>X486+X495</f>
        <v>7056229</v>
      </c>
      <c r="Y497" s="114"/>
      <c r="Z497" s="114">
        <f>Z486+Z495</f>
        <v>0</v>
      </c>
      <c r="AA497" s="114"/>
      <c r="AB497" s="114">
        <f>AB486+AB495</f>
        <v>4742</v>
      </c>
      <c r="AC497" s="114"/>
      <c r="AD497" s="114">
        <f>AD486+AD495</f>
        <v>0</v>
      </c>
      <c r="AE497" s="114"/>
      <c r="AF497" s="114">
        <f>AF486+AF495</f>
        <v>35547</v>
      </c>
      <c r="AG497" s="114"/>
      <c r="AH497" s="114"/>
      <c r="AI497" s="114"/>
      <c r="AJ497" s="114">
        <f>AJ486+AJ495</f>
        <v>0</v>
      </c>
      <c r="AL497" s="114">
        <f>AL486+AL495</f>
        <v>0</v>
      </c>
    </row>
    <row r="498" spans="2:38">
      <c r="E498" s="427" t="s">
        <v>256</v>
      </c>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L498" s="114"/>
    </row>
    <row r="499" spans="2:38">
      <c r="E499" s="427" t="s">
        <v>3338</v>
      </c>
      <c r="H499" s="400">
        <f>H473-H497</f>
        <v>22867782</v>
      </c>
      <c r="I499" s="114"/>
      <c r="J499" s="400">
        <f>J473-J497</f>
        <v>2553556</v>
      </c>
      <c r="K499" s="114"/>
      <c r="L499" s="400">
        <f>L473-L497</f>
        <v>0</v>
      </c>
      <c r="M499" s="114"/>
      <c r="N499" s="400">
        <f>N473-N497</f>
        <v>299130550</v>
      </c>
      <c r="O499" s="114"/>
      <c r="P499" s="400">
        <f>P473-P497</f>
        <v>54737</v>
      </c>
      <c r="Q499" s="400">
        <f>Q473-Q497</f>
        <v>680</v>
      </c>
      <c r="R499" s="400">
        <f>R473-R497</f>
        <v>0</v>
      </c>
      <c r="S499" s="114"/>
      <c r="T499" s="400">
        <f>T473-T497</f>
        <v>8468667</v>
      </c>
      <c r="U499" s="114"/>
      <c r="V499" s="400">
        <f>V473-V497</f>
        <v>1914773</v>
      </c>
      <c r="W499" s="114"/>
      <c r="X499" s="400">
        <f>X473-X497</f>
        <v>192654740</v>
      </c>
      <c r="Y499" s="114"/>
      <c r="Z499" s="400">
        <f>Z473-Z497</f>
        <v>0</v>
      </c>
      <c r="AA499" s="114"/>
      <c r="AB499" s="400">
        <f>AB473-AB497</f>
        <v>110680</v>
      </c>
      <c r="AC499" s="114"/>
      <c r="AD499" s="400">
        <f>AD473-AD497</f>
        <v>0</v>
      </c>
      <c r="AE499" s="114"/>
      <c r="AF499" s="400">
        <f>AF473-AF497</f>
        <v>0</v>
      </c>
      <c r="AG499" s="114"/>
      <c r="AH499" s="400" t="e">
        <f>#REF!-AH486</f>
        <v>#REF!</v>
      </c>
      <c r="AI499" s="114"/>
      <c r="AJ499" s="400">
        <f>AJ473-AJ497</f>
        <v>0</v>
      </c>
      <c r="AL499" s="400">
        <f>AL473-AL497</f>
        <v>0</v>
      </c>
    </row>
    <row r="500" spans="2:38">
      <c r="E500" s="427"/>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L500" s="114"/>
    </row>
    <row r="501" spans="2:38" ht="13.5" thickBot="1">
      <c r="E501" s="427" t="s">
        <v>257</v>
      </c>
      <c r="H501" s="432">
        <f>H453+H499</f>
        <v>22946855</v>
      </c>
      <c r="I501" s="114"/>
      <c r="J501" s="432">
        <f>J453+J499</f>
        <v>2553556</v>
      </c>
      <c r="K501" s="114"/>
      <c r="L501" s="432">
        <f>L453+L499</f>
        <v>0</v>
      </c>
      <c r="M501" s="114"/>
      <c r="N501" s="432">
        <f>N453+N499</f>
        <v>313046482</v>
      </c>
      <c r="O501" s="114"/>
      <c r="P501" s="432">
        <f>P453+P499</f>
        <v>54737</v>
      </c>
      <c r="Q501" s="432">
        <f>Q453+Q499</f>
        <v>680</v>
      </c>
      <c r="R501" s="432">
        <f>R453+R499</f>
        <v>0</v>
      </c>
      <c r="S501" s="114"/>
      <c r="T501" s="432">
        <f>T453+T499</f>
        <v>8617467</v>
      </c>
      <c r="U501" s="114"/>
      <c r="V501" s="432">
        <f>V453+V499</f>
        <v>1914773</v>
      </c>
      <c r="W501" s="114"/>
      <c r="X501" s="432">
        <f>X453+X499</f>
        <v>207718940</v>
      </c>
      <c r="Y501" s="114"/>
      <c r="Z501" s="432">
        <f>Z453+Z499</f>
        <v>0</v>
      </c>
      <c r="AA501" s="114"/>
      <c r="AB501" s="432">
        <f>AB453+AB499</f>
        <v>110680</v>
      </c>
      <c r="AC501" s="114"/>
      <c r="AD501" s="432">
        <f>AD453+AD499</f>
        <v>0</v>
      </c>
      <c r="AE501" s="114"/>
      <c r="AF501" s="432">
        <f>AF453+AF499</f>
        <v>0</v>
      </c>
      <c r="AG501" s="114"/>
      <c r="AH501" s="432" t="e">
        <f>AH453+AH499</f>
        <v>#REF!</v>
      </c>
      <c r="AI501" s="114"/>
      <c r="AJ501" s="432">
        <f>AJ453+AJ499</f>
        <v>0</v>
      </c>
      <c r="AL501" s="948">
        <f>AL453+AL499</f>
        <v>0</v>
      </c>
    </row>
    <row r="502" spans="2:38" ht="13.5" thickTop="1">
      <c r="B502" s="961" t="s">
        <v>3563</v>
      </c>
      <c r="H502" s="528">
        <f>H501-H79-H78</f>
        <v>0</v>
      </c>
      <c r="I502" s="114"/>
      <c r="J502" s="528">
        <f>J501-J79-J78</f>
        <v>0</v>
      </c>
      <c r="K502" s="114"/>
      <c r="L502" s="528">
        <f>L501-L79-L78</f>
        <v>0</v>
      </c>
      <c r="M502" s="114"/>
      <c r="N502" s="528">
        <f>N501-N79-N78</f>
        <v>0</v>
      </c>
      <c r="O502" s="114"/>
      <c r="P502" s="528">
        <f>P501-P79-P78</f>
        <v>0</v>
      </c>
      <c r="Q502" s="528">
        <f>Q501-Q79-Q78</f>
        <v>0</v>
      </c>
      <c r="R502" s="528">
        <f>R501-R79-R78</f>
        <v>0</v>
      </c>
      <c r="S502" s="114"/>
      <c r="T502" s="528">
        <f>T501-T79-T78</f>
        <v>0</v>
      </c>
      <c r="U502" s="114"/>
      <c r="V502" s="528">
        <f>V501-V79-V78</f>
        <v>0</v>
      </c>
      <c r="W502" s="114"/>
      <c r="X502" s="528">
        <f>X501-X79-X78</f>
        <v>0</v>
      </c>
      <c r="Y502" s="114"/>
      <c r="Z502" s="528">
        <f>Z501-Z79-Z78</f>
        <v>0</v>
      </c>
      <c r="AA502" s="114"/>
      <c r="AB502" s="528">
        <f>AB501-AB79-AB78</f>
        <v>0</v>
      </c>
      <c r="AC502" s="114"/>
      <c r="AD502" s="528">
        <f>AD501-AD79-AD78</f>
        <v>0</v>
      </c>
      <c r="AE502" s="114"/>
      <c r="AF502" s="528">
        <f>AF501-AF79-AF78</f>
        <v>0</v>
      </c>
      <c r="AG502" s="114"/>
      <c r="AH502" s="114"/>
      <c r="AI502" s="114"/>
      <c r="AJ502" s="528">
        <f>AJ501-AJ79-AJ78</f>
        <v>0</v>
      </c>
      <c r="AL502" s="528">
        <f>AL501-AL79-AL78</f>
        <v>0</v>
      </c>
    </row>
    <row r="503" spans="2:38">
      <c r="B503" s="397" t="s">
        <v>631</v>
      </c>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row>
    <row r="504" spans="2:38">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row>
    <row r="505" spans="2:38">
      <c r="E505" s="114" t="s">
        <v>632</v>
      </c>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row>
    <row r="506" spans="2:38">
      <c r="E506" s="114" t="s">
        <v>644</v>
      </c>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row>
    <row r="507" spans="2:38">
      <c r="E507" s="114" t="s">
        <v>621</v>
      </c>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row>
    <row r="508" spans="2:38">
      <c r="E508" s="114" t="s">
        <v>641</v>
      </c>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row>
    <row r="509" spans="2:38">
      <c r="E509" s="114" t="s">
        <v>3187</v>
      </c>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row>
    <row r="510" spans="2:38">
      <c r="E510" s="114" t="s">
        <v>613</v>
      </c>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row>
    <row r="511" spans="2:38">
      <c r="E511" s="114" t="s">
        <v>3608</v>
      </c>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row>
    <row r="512" spans="2:38">
      <c r="E512" s="114" t="s">
        <v>2926</v>
      </c>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row>
    <row r="513" spans="2:36">
      <c r="E513" s="114" t="s">
        <v>633</v>
      </c>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row>
    <row r="514" spans="2:36">
      <c r="E514" s="114" t="s">
        <v>443</v>
      </c>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row>
    <row r="515" spans="2:36">
      <c r="E515" s="114" t="s">
        <v>643</v>
      </c>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row>
    <row r="516" spans="2:36">
      <c r="E516" s="114" t="s">
        <v>608</v>
      </c>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row>
    <row r="517" spans="2:36">
      <c r="E517" s="114" t="s">
        <v>634</v>
      </c>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row>
    <row r="518" spans="2:36">
      <c r="E518" s="114" t="s">
        <v>635</v>
      </c>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row>
    <row r="519" spans="2:36">
      <c r="E519" s="114" t="s">
        <v>612</v>
      </c>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row>
    <row r="520" spans="2:36">
      <c r="E520" s="114" t="s">
        <v>642</v>
      </c>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row>
    <row r="521" spans="2:36">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row>
    <row r="522" spans="2:36">
      <c r="F522" s="404"/>
      <c r="G522" s="114"/>
    </row>
    <row r="523" spans="2:36">
      <c r="E523" s="114"/>
      <c r="F523" s="114"/>
      <c r="G523" s="114"/>
    </row>
    <row r="524" spans="2:36">
      <c r="B524" s="397" t="s">
        <v>746</v>
      </c>
      <c r="E524" s="114"/>
      <c r="F524" s="114"/>
      <c r="G524" s="404"/>
    </row>
    <row r="525" spans="2:36" ht="264.75" customHeight="1">
      <c r="E525" s="433" t="s">
        <v>607</v>
      </c>
      <c r="F525" s="994" t="s">
        <v>3742</v>
      </c>
      <c r="G525" s="991"/>
      <c r="H525" s="991"/>
      <c r="I525" s="991"/>
      <c r="J525" s="991"/>
      <c r="K525" s="992"/>
      <c r="L525" s="992"/>
      <c r="M525" s="992"/>
      <c r="N525" s="992"/>
      <c r="O525" s="992"/>
      <c r="P525" s="992"/>
      <c r="Q525" s="992"/>
      <c r="R525" s="993"/>
    </row>
    <row r="526" spans="2:36" ht="276.75" customHeight="1">
      <c r="E526" s="433" t="s">
        <v>614</v>
      </c>
      <c r="F526" s="994" t="s">
        <v>3748</v>
      </c>
      <c r="G526" s="991"/>
      <c r="H526" s="991"/>
      <c r="I526" s="991"/>
      <c r="J526" s="991"/>
      <c r="K526" s="992"/>
      <c r="L526" s="992"/>
      <c r="M526" s="992"/>
      <c r="N526" s="992"/>
      <c r="O526" s="992"/>
      <c r="P526" s="992"/>
      <c r="Q526" s="992"/>
      <c r="R526" s="993"/>
    </row>
    <row r="527" spans="2:36" ht="101.25" customHeight="1">
      <c r="E527" s="433" t="s">
        <v>740</v>
      </c>
      <c r="F527" s="990" t="s">
        <v>2770</v>
      </c>
      <c r="G527" s="991"/>
      <c r="H527" s="991"/>
      <c r="I527" s="991"/>
      <c r="J527" s="991"/>
      <c r="K527" s="992"/>
      <c r="L527" s="992"/>
      <c r="M527" s="992"/>
      <c r="N527" s="992"/>
      <c r="O527" s="992"/>
      <c r="P527" s="992"/>
      <c r="Q527" s="992"/>
      <c r="R527" s="993"/>
    </row>
    <row r="528" spans="2:36" ht="101.25" customHeight="1">
      <c r="E528" s="433" t="s">
        <v>3187</v>
      </c>
      <c r="F528" s="990" t="s">
        <v>2770</v>
      </c>
      <c r="G528" s="991"/>
      <c r="H528" s="991"/>
      <c r="I528" s="991"/>
      <c r="J528" s="991"/>
      <c r="K528" s="992"/>
      <c r="L528" s="992"/>
      <c r="M528" s="992"/>
      <c r="N528" s="992"/>
      <c r="O528" s="992"/>
      <c r="P528" s="992"/>
      <c r="Q528" s="992"/>
      <c r="R528" s="993"/>
    </row>
    <row r="529" spans="5:18" ht="108.75" customHeight="1">
      <c r="E529" s="433" t="s">
        <v>741</v>
      </c>
      <c r="F529" s="994" t="s">
        <v>3750</v>
      </c>
      <c r="G529" s="991"/>
      <c r="H529" s="991"/>
      <c r="I529" s="991"/>
      <c r="J529" s="991"/>
      <c r="K529" s="992"/>
      <c r="L529" s="992"/>
      <c r="M529" s="992"/>
      <c r="N529" s="992"/>
      <c r="O529" s="992"/>
      <c r="P529" s="992"/>
      <c r="Q529" s="992"/>
      <c r="R529" s="993"/>
    </row>
    <row r="530" spans="5:18" ht="146.25" customHeight="1">
      <c r="E530" s="433" t="s">
        <v>620</v>
      </c>
      <c r="F530" s="995" t="s">
        <v>3749</v>
      </c>
      <c r="G530" s="996"/>
      <c r="H530" s="996"/>
      <c r="I530" s="996"/>
      <c r="J530" s="996"/>
      <c r="K530" s="997"/>
      <c r="L530" s="997"/>
      <c r="M530" s="997"/>
      <c r="N530" s="997"/>
      <c r="O530" s="997"/>
      <c r="P530" s="997"/>
      <c r="Q530" s="997"/>
      <c r="R530" s="998"/>
    </row>
    <row r="531" spans="5:18" ht="138.75" customHeight="1">
      <c r="E531" s="433" t="s">
        <v>622</v>
      </c>
      <c r="F531" s="994" t="s">
        <v>3743</v>
      </c>
      <c r="G531" s="991"/>
      <c r="H531" s="991"/>
      <c r="I531" s="991"/>
      <c r="J531" s="991"/>
      <c r="K531" s="999"/>
      <c r="L531" s="999"/>
      <c r="M531" s="999"/>
      <c r="N531" s="999"/>
      <c r="O531" s="999"/>
      <c r="P531" s="999"/>
      <c r="Q531" s="999"/>
      <c r="R531" s="1000"/>
    </row>
    <row r="532" spans="5:18" ht="76.150000000000006" customHeight="1">
      <c r="E532" s="433" t="s">
        <v>47</v>
      </c>
      <c r="F532" s="1001" t="s">
        <v>3751</v>
      </c>
      <c r="G532" s="1002"/>
      <c r="H532" s="1002"/>
      <c r="I532" s="1002"/>
      <c r="J532" s="1002"/>
      <c r="K532" s="1003"/>
      <c r="L532" s="1003"/>
      <c r="M532" s="1003"/>
      <c r="N532" s="1003"/>
      <c r="O532" s="1003"/>
      <c r="P532" s="1003"/>
      <c r="Q532" s="1003"/>
      <c r="R532" s="1004"/>
    </row>
    <row r="533" spans="5:18" ht="63.75" customHeight="1">
      <c r="E533" s="433" t="s">
        <v>617</v>
      </c>
      <c r="F533" s="1001" t="s">
        <v>2770</v>
      </c>
      <c r="G533" s="1002"/>
      <c r="H533" s="1002"/>
      <c r="I533" s="1002"/>
      <c r="J533" s="1002"/>
      <c r="K533" s="1003"/>
      <c r="L533" s="1003"/>
      <c r="M533" s="1003"/>
      <c r="N533" s="1003"/>
      <c r="O533" s="1003"/>
      <c r="P533" s="1003"/>
      <c r="Q533" s="1003"/>
      <c r="R533" s="1004"/>
    </row>
    <row r="534" spans="5:18" ht="293.25" customHeight="1">
      <c r="E534" s="433" t="s">
        <v>908</v>
      </c>
      <c r="F534" s="994" t="s">
        <v>3747</v>
      </c>
      <c r="G534" s="991"/>
      <c r="H534" s="991"/>
      <c r="I534" s="991"/>
      <c r="J534" s="991"/>
      <c r="K534" s="999"/>
      <c r="L534" s="999"/>
      <c r="M534" s="999"/>
      <c r="N534" s="999"/>
      <c r="O534" s="999"/>
      <c r="P534" s="999"/>
      <c r="Q534" s="999"/>
      <c r="R534" s="1000"/>
    </row>
    <row r="535" spans="5:18" ht="73.5" customHeight="1">
      <c r="E535" s="433" t="s">
        <v>399</v>
      </c>
      <c r="F535" s="1005" t="s">
        <v>2770</v>
      </c>
      <c r="G535" s="991"/>
      <c r="H535" s="991"/>
      <c r="I535" s="991"/>
      <c r="J535" s="991"/>
      <c r="K535" s="992"/>
      <c r="L535" s="992"/>
      <c r="M535" s="992"/>
      <c r="N535" s="992"/>
      <c r="O535" s="992"/>
      <c r="P535" s="992"/>
      <c r="Q535" s="992"/>
      <c r="R535" s="993"/>
    </row>
    <row r="536" spans="5:18" ht="361.5" customHeight="1">
      <c r="E536" s="433" t="s">
        <v>603</v>
      </c>
      <c r="F536" s="994" t="s">
        <v>3752</v>
      </c>
      <c r="G536" s="1009"/>
      <c r="H536" s="1009"/>
      <c r="I536" s="1009"/>
      <c r="J536" s="1009"/>
      <c r="K536" s="1010"/>
      <c r="L536" s="1010"/>
      <c r="M536" s="1010"/>
      <c r="N536" s="1010"/>
      <c r="O536" s="1010"/>
      <c r="P536" s="1010"/>
      <c r="Q536" s="1010"/>
      <c r="R536" s="1011"/>
    </row>
    <row r="537" spans="5:18" ht="198" customHeight="1">
      <c r="E537" s="433" t="s">
        <v>564</v>
      </c>
      <c r="F537" s="990" t="s">
        <v>3744</v>
      </c>
      <c r="G537" s="991"/>
      <c r="H537" s="991"/>
      <c r="I537" s="991"/>
      <c r="J537" s="991"/>
      <c r="K537" s="992"/>
      <c r="L537" s="992"/>
      <c r="M537" s="992"/>
      <c r="N537" s="992"/>
      <c r="O537" s="992"/>
      <c r="P537" s="992"/>
      <c r="Q537" s="992"/>
      <c r="R537" s="993"/>
    </row>
    <row r="538" spans="5:18" ht="78.75" customHeight="1">
      <c r="E538" s="433" t="s">
        <v>2975</v>
      </c>
      <c r="F538" s="994" t="s">
        <v>3746</v>
      </c>
      <c r="G538" s="991"/>
      <c r="H538" s="991"/>
      <c r="I538" s="991"/>
      <c r="J538" s="991"/>
      <c r="K538" s="992"/>
      <c r="L538" s="992"/>
      <c r="M538" s="992"/>
      <c r="N538" s="992"/>
      <c r="O538" s="992"/>
      <c r="P538" s="992"/>
      <c r="Q538" s="992"/>
      <c r="R538" s="993"/>
    </row>
    <row r="539" spans="5:18" ht="169.5" customHeight="1">
      <c r="E539" s="433" t="s">
        <v>616</v>
      </c>
      <c r="F539" s="994" t="s">
        <v>3745</v>
      </c>
      <c r="G539" s="991"/>
      <c r="H539" s="991"/>
      <c r="I539" s="991"/>
      <c r="J539" s="991"/>
      <c r="K539" s="992"/>
      <c r="L539" s="992"/>
      <c r="M539" s="992"/>
      <c r="N539" s="992"/>
      <c r="O539" s="992"/>
      <c r="P539" s="992"/>
      <c r="Q539" s="992"/>
      <c r="R539" s="993"/>
    </row>
    <row r="540" spans="5:18" ht="240.75" customHeight="1">
      <c r="E540" s="946" t="s">
        <v>3330</v>
      </c>
      <c r="F540" s="994" t="s">
        <v>3753</v>
      </c>
      <c r="G540" s="991"/>
      <c r="H540" s="991"/>
      <c r="I540" s="991"/>
      <c r="J540" s="991"/>
      <c r="K540" s="992"/>
      <c r="L540" s="992"/>
      <c r="M540" s="992"/>
      <c r="N540" s="992"/>
      <c r="O540" s="992"/>
      <c r="P540" s="992"/>
      <c r="Q540" s="992"/>
      <c r="R540" s="993"/>
    </row>
  </sheetData>
  <mergeCells count="21">
    <mergeCell ref="G12:G13"/>
    <mergeCell ref="B172:E172"/>
    <mergeCell ref="B248:E248"/>
    <mergeCell ref="B300:E300"/>
    <mergeCell ref="F536:R536"/>
    <mergeCell ref="F528:R528"/>
    <mergeCell ref="F525:R525"/>
    <mergeCell ref="F526:R526"/>
    <mergeCell ref="F527:R527"/>
    <mergeCell ref="B343:E343"/>
    <mergeCell ref="F537:R537"/>
    <mergeCell ref="F539:R539"/>
    <mergeCell ref="F540:R540"/>
    <mergeCell ref="F529:R529"/>
    <mergeCell ref="F530:R530"/>
    <mergeCell ref="F531:R531"/>
    <mergeCell ref="F532:R532"/>
    <mergeCell ref="F533:R533"/>
    <mergeCell ref="F535:R535"/>
    <mergeCell ref="F534:R534"/>
    <mergeCell ref="F538:R538"/>
  </mergeCells>
  <phoneticPr fontId="46" type="noConversion"/>
  <dataValidations count="17">
    <dataValidation type="whole" allowBlank="1" showErrorMessage="1" error="Amount must be rounded to the nearest dollar._x000a_" prompt="_x000a__x000a_" sqref="P433:Q441 P114:Q124 P406:Q417 P97:Q99 P16:Q21 P25:Q27 P40:Q41 P43:Q45 P47:Q50 P56:Q58 P63:Q69 P72:Q72 P74:Q75 P78:Q79 P32:Q37 P162:Q168 P357:Q360 P338:Q339 P333:Q333 P327:Q329 P320:Q321 P315:Q316 P308:Q313 P284:Q289 P281:Q282 P274:Q275 P292:Q294 P270:Q271 P245:Q245 P265:Q268 P262:Q263 P255:Q259 P239:Q243 P225:Q232 P220:Q222 P210:Q212 P206:Q208 P202:Q203 P197:Q200 P193:Q194 P191:Q191 P182:Q185 P179:Q180 P140:Q151 P109:Q111 P376:Q380 AF280 P130:Q137 P101:Q107 P383:Q385 P363:Q373 P393:Q403" xr:uid="{00000000-0002-0000-0100-000000000000}">
      <formula1>-999999999999999</formula1>
      <formula2>99999999999999900000</formula2>
    </dataValidation>
    <dataValidation allowBlank="1" showErrorMessage="1" prompt="_x000a__x000a_" sqref="AH306 AF299:AF307 P304:Q304 P306:Q306 AF170:AF178 P177:Q177 P175:Q175 AH177 AF430:AF432" xr:uid="{00000000-0002-0000-0100-000001000000}"/>
    <dataValidation allowBlank="1" showErrorMessage="1" sqref="AF442 P90:Q90 P88:Q88 AF84:AF95 AH90 AF345:AF356 AF298 AF335:AF339 AF238 AF290:AF291 P253:Q253 P356:Q356 P353:Q353 P349:Q349 P351:Q351 P272:Q272 AD290 AF218:AF219 AF247:AF254 AF214 AF216 AF233:AF234 AF236 AF296 AF341 AF343 AH253 AH351 P251:Q251 AF419:AF426 AD233 AF273" xr:uid="{00000000-0002-0000-0100-000002000000}"/>
    <dataValidation type="whole" allowBlank="1" showInputMessage="1" showErrorMessage="1" error="Enter a whole number_x000a_" sqref="AF433:AF441 H16:H21 AF114:AF124 AF406:AF417 AF97:AF99 AF109:AF111 AF16:AF21 AF25:AF27 AF32:AF37 AF40:AF41 AF43:AF45 AF47:AF50 AF56:AF58 AF63:AF69 AF72 AF74:AF75 AF78:AF79 AF357:AF360 AF333 AF327:AF329 AF320:AF321 AF315:AF316 AF308:AF313 AF292:AF294 AF284:AF289 AF281:AF282 AF274:AF275 AF270:AF271 AF259 AF255:AF256 AF265:AF268 AF262:AF263 AF239:AF242 AF245 AF225:AF232 AF220:AF222 AF210:AF212 AF206:AF208 AF202:AF203 AF197:AF200 AF193:AF194 AF191 AF182:AF185 AF179:AF180 AF162:AF168 AF140:AF151 AF376:AF380 AF130:AF137 AF101:AF107 AF383:AF385 AF363:AF373 AF393:AF403" xr:uid="{00000000-0002-0000-0100-000004000000}">
      <formula1>-9999999999999990000</formula1>
      <formula2>99999999999999900000</formula2>
    </dataValidation>
    <dataValidation type="whole" allowBlank="1" showErrorMessage="1" prompt="_x000a__x000a_" sqref="AF405 AF361:AF362 P381:Q381 P387:Q390 AF381:AF382 AF387:AF390 AF392" xr:uid="{00000000-0002-0000-0100-000005000000}">
      <formula1>-999999999999999000</formula1>
      <formula2>9999999999999990000</formula2>
    </dataValidation>
    <dataValidation type="whole" allowBlank="1" showErrorMessage="1" prompt="_x000a__x000a_" sqref="AF283 P276:Q276 AF276:AF277 AF279" xr:uid="{00000000-0002-0000-0100-000006000000}">
      <formula1>-9999999999999990</formula1>
      <formula2>99999999999999900000</formula2>
    </dataValidation>
    <dataValidation type="whole" allowBlank="1" showErrorMessage="1" prompt="_x000a__x000a_" sqref="AF330:AF331 AF322:AF326 AF317:AF319 AF314 P322:Q322 P317:Q317 AH324" xr:uid="{00000000-0002-0000-0100-000007000000}">
      <formula1>-99999999999999900</formula1>
      <formula2>999999999999999000000</formula2>
    </dataValidation>
    <dataValidation type="whole" allowBlank="1" showErrorMessage="1" prompt="_x000a__x000a__x000a_" sqref="AF340 P340:Q340" xr:uid="{00000000-0002-0000-0100-000008000000}">
      <formula1>-9999999999999990</formula1>
      <formula2>999999999999999000000</formula2>
    </dataValidation>
    <dataValidation type="whole" allowBlank="1" prompt="_x000a__x000a_" sqref="AF269 AF260:AF261 AF264" xr:uid="{00000000-0002-0000-0100-000009000000}">
      <formula1>-999999999999999</formula1>
      <formula2>99999999999999900000</formula2>
    </dataValidation>
    <dataValidation type="whole" allowBlank="1" showErrorMessage="1" prompt="_x000a__x000a_" sqref="AF181 P186:Q186 AF192 AF195:AF196 AF201 AF204:AF205 AF209 AF186:AF187 AF189:AF190 AH195 AH204" xr:uid="{00000000-0002-0000-0100-00000A000000}">
      <formula1>0</formula1>
      <formula2>999999999999999000000</formula2>
    </dataValidation>
    <dataValidation type="whole" allowBlank="1" showErrorMessage="1" prompt="_x000a__x000a_" sqref="AF155 AF128:AF129 AF108 AF126 AF153 AF113" xr:uid="{00000000-0002-0000-0100-00000B000000}">
      <formula1>0</formula1>
      <formula2>9999999999999990000</formula2>
    </dataValidation>
    <dataValidation type="whole" allowBlank="1" showErrorMessage="1" prompt="_x000a__x000a_" sqref="AF223:AF224" xr:uid="{00000000-0002-0000-0100-00000C000000}">
      <formula1>-99999999999999900000</formula1>
      <formula2>999999999999999000000</formula2>
    </dataValidation>
    <dataValidation type="whole" allowBlank="1" showInputMessage="1" showErrorMessage="1" error="Enter a negative whole number_x000a_" sqref="AF258" xr:uid="{00000000-0002-0000-0100-00000D000000}">
      <formula1>-9999999999999990000</formula1>
      <formula2>0</formula2>
    </dataValidation>
    <dataValidation type="whole" allowBlank="1" showInputMessage="1" showErrorMessage="1" error="Enter a positive whole number_x000a_" sqref="AF257" xr:uid="{00000000-0002-0000-0100-00000E000000}">
      <formula1>0</formula1>
      <formula2>99999999999999900000</formula2>
    </dataValidation>
    <dataValidation type="whole" allowBlank="1" showInputMessage="1" showErrorMessage="1" error="Enter a negative whole number only_x000a_" sqref="AF243" xr:uid="{00000000-0002-0000-0100-00000F000000}">
      <formula1>-9999999999999990000</formula1>
      <formula2>0</formula2>
    </dataValidation>
    <dataValidation type="whole" allowBlank="1" prompt="_x000a__x000a_" sqref="AF160:AF161" xr:uid="{00000000-0002-0000-0100-000010000000}">
      <formula1>0</formula1>
      <formula2>9999999999999990000</formula2>
    </dataValidation>
    <dataValidation type="whole" allowBlank="1" showErrorMessage="1" prompt="_x000a__x000a_" sqref="AF82 H22 AF23:AF24 AF39 AF80 P51 AF73 AF70:AF71 AH28:AH29 AF46 AF54:AF55 P70:Q70 Q76 AL59 P59:Q59 AH76 AJ59 AF52 AH59 AH70 AF28:AF31 AF59:AF62 AF77" xr:uid="{00000000-0002-0000-0100-000011000000}">
      <formula1>0</formula1>
      <formula2>9999999999999990</formula2>
    </dataValidation>
  </dataValidations>
  <printOptions headings="1"/>
  <pageMargins left="0.75" right="0.75" top="1" bottom="1" header="0.5" footer="0.5"/>
  <pageSetup paperSize="5" scale="60"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O133"/>
  <sheetViews>
    <sheetView showGridLines="0" zoomScale="98" zoomScaleNormal="98" zoomScaleSheetLayoutView="75" workbookViewId="0">
      <selection activeCell="K17" sqref="K17"/>
    </sheetView>
  </sheetViews>
  <sheetFormatPr defaultColWidth="9.140625" defaultRowHeight="12.75"/>
  <cols>
    <col min="1" max="1" width="39.28515625" style="12" customWidth="1"/>
    <col min="2" max="2" width="16.42578125" style="12" customWidth="1"/>
    <col min="3" max="3" width="16.7109375" style="12" customWidth="1"/>
    <col min="4" max="4" width="12.28515625" style="12" customWidth="1"/>
    <col min="5" max="5" width="23.7109375" style="12" customWidth="1"/>
    <col min="6" max="6" width="2.85546875" style="12" customWidth="1"/>
    <col min="7" max="7" width="25.28515625" style="213" customWidth="1"/>
    <col min="8" max="8" width="2" style="213" customWidth="1"/>
    <col min="9" max="9" width="22.42578125" style="168" customWidth="1"/>
    <col min="10" max="10" width="3.140625" style="213" customWidth="1"/>
    <col min="11" max="11" width="71.85546875" style="168" customWidth="1"/>
    <col min="12" max="12" width="2" style="213" customWidth="1"/>
    <col min="13" max="13" width="81.140625" style="168" customWidth="1"/>
    <col min="14" max="16384" width="9.140625" style="12"/>
  </cols>
  <sheetData>
    <row r="1" spans="1:15" s="72" customFormat="1" ht="12.6" customHeight="1">
      <c r="A1" s="48" t="s">
        <v>272</v>
      </c>
      <c r="B1" s="1342" t="str">
        <f>'Enterprise Template'!E1</f>
        <v/>
      </c>
      <c r="C1" s="1342"/>
      <c r="D1" s="1342"/>
      <c r="E1" s="1344"/>
      <c r="F1" s="1344"/>
      <c r="G1" s="1344"/>
      <c r="H1" s="87"/>
      <c r="I1" s="227"/>
      <c r="J1" s="87"/>
      <c r="K1" s="227"/>
      <c r="L1" s="87"/>
      <c r="M1" s="227"/>
    </row>
    <row r="2" spans="1:15" s="72" customFormat="1" ht="12.75" customHeight="1">
      <c r="A2" s="48" t="s">
        <v>190</v>
      </c>
      <c r="B2" s="1342" t="str">
        <f>IF('Enterprise Template'!E2="","",'Enterprise Template'!E2)</f>
        <v/>
      </c>
      <c r="C2" s="1343"/>
      <c r="D2" s="1343"/>
      <c r="E2" s="1344"/>
      <c r="F2" s="1344"/>
      <c r="G2" s="1344"/>
      <c r="H2" s="87"/>
      <c r="I2" s="227"/>
      <c r="J2" s="87"/>
      <c r="K2" s="227"/>
      <c r="L2" s="87"/>
      <c r="M2" s="227"/>
    </row>
    <row r="3" spans="1:15" s="72" customFormat="1" ht="15" customHeight="1">
      <c r="A3" s="48" t="s">
        <v>447</v>
      </c>
      <c r="B3" s="1345" t="str">
        <f>IF('Enterprise Template'!E3="","",'Enterprise Template'!E3)</f>
        <v/>
      </c>
      <c r="C3" s="1346"/>
      <c r="D3" s="1346"/>
      <c r="E3" s="1347"/>
      <c r="F3" s="1347"/>
      <c r="G3" s="1347"/>
      <c r="H3" s="87"/>
      <c r="I3" s="227"/>
      <c r="J3" s="87"/>
      <c r="K3" s="227"/>
      <c r="L3" s="87"/>
      <c r="M3" s="227"/>
    </row>
    <row r="4" spans="1:15" s="72" customFormat="1" ht="12.75" customHeight="1">
      <c r="A4" s="48" t="s">
        <v>448</v>
      </c>
      <c r="B4" s="1348" t="str">
        <f>IF('Enterprise Template'!E4="","",'Enterprise Template'!E4)</f>
        <v/>
      </c>
      <c r="C4" s="1349"/>
      <c r="D4" s="1349"/>
      <c r="E4" s="1350"/>
      <c r="F4" s="1350"/>
      <c r="G4" s="1350"/>
      <c r="H4" s="87"/>
      <c r="I4" s="227"/>
      <c r="J4" s="87"/>
      <c r="K4" s="227"/>
      <c r="L4" s="87"/>
      <c r="M4" s="227"/>
    </row>
    <row r="5" spans="1:15" s="72" customFormat="1" ht="12.75" customHeight="1">
      <c r="A5" s="48" t="s">
        <v>2847</v>
      </c>
      <c r="B5" s="1351" t="str">
        <f>IF('Enterprise Template'!E5="","",'Enterprise Template'!E5)</f>
        <v/>
      </c>
      <c r="C5" s="1352"/>
      <c r="D5" s="1352"/>
      <c r="E5" s="1353"/>
      <c r="F5" s="1353"/>
      <c r="G5" s="1353"/>
      <c r="H5" s="87"/>
      <c r="I5" s="227"/>
      <c r="J5" s="87"/>
      <c r="K5" s="12"/>
      <c r="L5" s="87"/>
      <c r="M5" s="227"/>
    </row>
    <row r="6" spans="1:15" s="72" customFormat="1" ht="12.75" customHeight="1">
      <c r="A6" s="48" t="s">
        <v>449</v>
      </c>
      <c r="B6" s="1354" t="str">
        <f>IF('Enterprise Template'!E6="","",'Enterprise Template'!E6)</f>
        <v/>
      </c>
      <c r="C6" s="1355"/>
      <c r="D6" s="1355"/>
      <c r="E6" s="1356"/>
      <c r="F6" s="1356"/>
      <c r="G6" s="1356"/>
      <c r="H6" s="87"/>
      <c r="I6" s="227"/>
      <c r="J6" s="87"/>
      <c r="K6" s="227"/>
      <c r="L6" s="87"/>
      <c r="M6" s="227"/>
    </row>
    <row r="7" spans="1:15" s="72" customFormat="1" ht="12.75" customHeight="1">
      <c r="A7" s="48" t="s">
        <v>224</v>
      </c>
      <c r="B7" s="1342" t="str">
        <f>'Enterprise Template'!E7</f>
        <v/>
      </c>
      <c r="C7" s="1343"/>
      <c r="D7" s="1343"/>
      <c r="E7" s="1344"/>
      <c r="F7" s="1344"/>
      <c r="G7" s="1344"/>
      <c r="H7" s="87"/>
      <c r="I7" s="227"/>
      <c r="J7" s="87"/>
      <c r="K7" s="227"/>
      <c r="L7" s="87"/>
      <c r="M7" s="227"/>
    </row>
    <row r="8" spans="1:15" s="72" customFormat="1" ht="12.75" customHeight="1">
      <c r="A8" s="73"/>
      <c r="B8" s="107"/>
      <c r="C8" s="107"/>
      <c r="D8" s="107"/>
      <c r="E8" s="107"/>
      <c r="F8" s="107"/>
      <c r="G8" s="87"/>
      <c r="H8" s="87"/>
      <c r="I8" s="227"/>
      <c r="J8" s="87"/>
      <c r="K8" s="227"/>
      <c r="L8" s="87"/>
      <c r="M8" s="227"/>
    </row>
    <row r="9" spans="1:15" s="72" customFormat="1" ht="12.6" customHeight="1">
      <c r="A9" s="20" t="s">
        <v>318</v>
      </c>
      <c r="B9" s="34"/>
      <c r="C9" s="34"/>
      <c r="D9" s="34"/>
      <c r="E9" s="120"/>
      <c r="F9" s="120"/>
      <c r="G9" s="87"/>
      <c r="H9" s="87"/>
      <c r="I9" s="227"/>
      <c r="J9" s="87"/>
      <c r="K9" s="227"/>
      <c r="L9" s="87"/>
      <c r="M9" s="227"/>
    </row>
    <row r="10" spans="1:15" s="78" customFormat="1" ht="12.6" customHeight="1">
      <c r="A10" s="24" t="str">
        <f>'Enterprise Template'!$A$27:$D$27</f>
        <v>For the Year Ended June 30, 2024</v>
      </c>
      <c r="B10" s="34"/>
      <c r="C10" s="34"/>
      <c r="D10" s="34"/>
      <c r="E10" s="121"/>
      <c r="F10" s="79"/>
      <c r="G10" s="229"/>
      <c r="H10" s="229"/>
      <c r="I10" s="228"/>
      <c r="J10" s="229"/>
      <c r="K10" s="228"/>
      <c r="L10" s="229"/>
      <c r="M10" s="228"/>
    </row>
    <row r="11" spans="1:15" s="78" customFormat="1" ht="12.6" customHeight="1">
      <c r="A11" s="82"/>
      <c r="B11" s="19"/>
      <c r="C11" s="19"/>
      <c r="D11" s="19"/>
      <c r="F11" s="79"/>
      <c r="G11" s="229"/>
      <c r="H11" s="229"/>
      <c r="I11" s="228"/>
      <c r="J11" s="229"/>
      <c r="K11" s="228"/>
      <c r="L11" s="229"/>
      <c r="M11" s="228"/>
    </row>
    <row r="12" spans="1:15" s="78" customFormat="1" ht="12.6" customHeight="1">
      <c r="A12" s="138"/>
      <c r="B12" s="19"/>
      <c r="C12" s="19"/>
      <c r="D12" s="19"/>
      <c r="F12" s="79"/>
      <c r="G12" s="229"/>
      <c r="H12" s="229"/>
      <c r="I12" s="228"/>
      <c r="J12" s="229"/>
      <c r="K12" s="228"/>
      <c r="L12" s="229"/>
      <c r="M12" s="228"/>
    </row>
    <row r="13" spans="1:15" s="78" customFormat="1" ht="12.6" customHeight="1">
      <c r="A13" s="139"/>
      <c r="B13" s="23"/>
      <c r="C13" s="23"/>
      <c r="D13" s="23"/>
      <c r="E13" s="140"/>
      <c r="F13" s="141"/>
      <c r="G13" s="305"/>
      <c r="H13" s="305"/>
      <c r="I13" s="306"/>
      <c r="J13" s="305"/>
      <c r="K13" s="306"/>
      <c r="L13" s="229"/>
      <c r="M13" s="228"/>
    </row>
    <row r="14" spans="1:15">
      <c r="A14" s="13"/>
      <c r="E14" s="1006" t="s">
        <v>390</v>
      </c>
      <c r="G14" s="1361" t="s">
        <v>789</v>
      </c>
      <c r="H14" s="858"/>
      <c r="I14" s="1361" t="s">
        <v>391</v>
      </c>
      <c r="J14" s="858"/>
      <c r="K14" s="1361" t="s">
        <v>392</v>
      </c>
      <c r="L14" s="858"/>
      <c r="N14" s="13"/>
      <c r="O14" s="13"/>
    </row>
    <row r="15" spans="1:15">
      <c r="A15" s="13"/>
      <c r="E15" s="1006"/>
      <c r="G15" s="1361"/>
      <c r="H15" s="858"/>
      <c r="I15" s="1361"/>
      <c r="J15" s="858"/>
      <c r="K15" s="1361"/>
      <c r="L15" s="858"/>
    </row>
    <row r="16" spans="1:15">
      <c r="A16" s="13"/>
    </row>
    <row r="17" spans="1:14">
      <c r="A17" s="33" t="s">
        <v>218</v>
      </c>
      <c r="B17" s="19"/>
      <c r="C17" s="22"/>
      <c r="E17" s="226">
        <f>'Enterprise Template'!G386</f>
        <v>0</v>
      </c>
      <c r="G17" s="226">
        <f>-'Enterprise Template'!I55-'Enterprise Template'!I88</f>
        <v>0</v>
      </c>
      <c r="H17" s="5"/>
      <c r="I17" s="226">
        <f>IF(ISERR(E17-G17),"",(E17-G17))</f>
        <v>0</v>
      </c>
      <c r="J17" s="5"/>
      <c r="K17" s="232" t="str">
        <f t="shared" ref="K17" si="0">IF(OR(I17=0,I17=""),"","Answer Required")</f>
        <v/>
      </c>
      <c r="L17" s="5"/>
    </row>
    <row r="18" spans="1:14">
      <c r="A18" s="33" t="s">
        <v>97</v>
      </c>
      <c r="B18" s="19"/>
      <c r="C18" s="22"/>
      <c r="E18" s="226">
        <f>'Enterprise Template'!G387</f>
        <v>0</v>
      </c>
      <c r="G18" s="226">
        <f>-'Enterprise Template'!I59</f>
        <v>0</v>
      </c>
      <c r="H18" s="5"/>
      <c r="I18" s="226">
        <f>IF(ISERR(E18-G18),"",(E18-G18))</f>
        <v>0</v>
      </c>
      <c r="J18" s="5"/>
      <c r="K18" s="232" t="str">
        <f>IF(OR(I18=0,I18=""),"","Answer Required")</f>
        <v/>
      </c>
      <c r="L18" s="5"/>
    </row>
    <row r="19" spans="1:14">
      <c r="A19" s="33" t="s">
        <v>394</v>
      </c>
      <c r="B19" s="19"/>
      <c r="C19" s="22"/>
      <c r="E19" s="226">
        <f>'Enterprise Template'!G388</f>
        <v>0</v>
      </c>
      <c r="G19" s="226" t="str">
        <f>IF(ISERR(-'Enterprise Template'!I61),"",(-'Enterprise Template'!I61))</f>
        <v/>
      </c>
      <c r="H19" s="5"/>
      <c r="I19" s="226" t="str">
        <f t="shared" ref="I19:I29" si="1">IF(ISERR(E19-G19),"",(E19-G19))</f>
        <v/>
      </c>
      <c r="J19" s="5"/>
      <c r="K19" s="232" t="str">
        <f>IF(OR(I19=0,I19=""),"","Answer Required")</f>
        <v/>
      </c>
      <c r="L19" s="5"/>
    </row>
    <row r="20" spans="1:14">
      <c r="A20" s="33" t="s">
        <v>216</v>
      </c>
      <c r="B20" s="19"/>
      <c r="C20" s="22"/>
      <c r="E20" s="226">
        <f>'Enterprise Template'!G389</f>
        <v>0</v>
      </c>
      <c r="G20" s="226" t="str">
        <f>IF(ISERR(-'Enterprise Template'!I62),"",(-'Enterprise Template'!I62))</f>
        <v/>
      </c>
      <c r="H20" s="5"/>
      <c r="I20" s="226" t="str">
        <f t="shared" si="1"/>
        <v/>
      </c>
      <c r="J20" s="5"/>
      <c r="K20" s="232" t="str">
        <f t="shared" ref="K20:K40" si="2">IF(OR(I20=0,I20=""),"","Answer Required")</f>
        <v/>
      </c>
      <c r="L20" s="5"/>
    </row>
    <row r="21" spans="1:14">
      <c r="A21" s="33" t="s">
        <v>217</v>
      </c>
      <c r="B21" s="19"/>
      <c r="C21" s="22"/>
      <c r="E21" s="226">
        <f>'Enterprise Template'!G390</f>
        <v>0</v>
      </c>
      <c r="G21" s="226" t="str">
        <f>IF(ISERR(-'Enterprise Template'!I63),"",(-'Enterprise Template'!I63))</f>
        <v/>
      </c>
      <c r="H21" s="5"/>
      <c r="I21" s="226" t="str">
        <f t="shared" si="1"/>
        <v/>
      </c>
      <c r="J21" s="5"/>
      <c r="K21" s="232" t="str">
        <f>IF(OR(I21=0,I21=""),"","Answer Required")</f>
        <v/>
      </c>
      <c r="L21" s="5"/>
    </row>
    <row r="22" spans="1:14">
      <c r="A22" s="33" t="s">
        <v>3188</v>
      </c>
      <c r="B22" s="19"/>
      <c r="C22" s="22"/>
      <c r="E22" s="226">
        <f>'Enterprise Template'!G391</f>
        <v>0</v>
      </c>
      <c r="G22" s="226">
        <f>-'Enterprise Template'!I69</f>
        <v>0</v>
      </c>
      <c r="H22" s="5"/>
      <c r="I22" s="226">
        <f t="shared" si="1"/>
        <v>0</v>
      </c>
      <c r="J22" s="5"/>
      <c r="K22" s="232" t="str">
        <f t="shared" si="2"/>
        <v/>
      </c>
      <c r="L22" s="5"/>
    </row>
    <row r="23" spans="1:14">
      <c r="A23" s="33" t="s">
        <v>3189</v>
      </c>
      <c r="B23" s="19"/>
      <c r="C23" s="22"/>
      <c r="E23" s="226">
        <f>'Enterprise Template'!G392</f>
        <v>0</v>
      </c>
      <c r="G23" s="226">
        <f>-'Enterprise Template'!I92</f>
        <v>0</v>
      </c>
      <c r="H23" s="5"/>
      <c r="I23" s="226">
        <f t="shared" si="1"/>
        <v>0</v>
      </c>
      <c r="J23" s="5"/>
      <c r="K23" s="232" t="str">
        <f t="shared" si="2"/>
        <v/>
      </c>
      <c r="L23" s="5"/>
    </row>
    <row r="24" spans="1:14">
      <c r="A24" s="33" t="s">
        <v>98</v>
      </c>
      <c r="B24" s="19"/>
      <c r="C24" s="22"/>
      <c r="E24" s="226">
        <f>'Enterprise Template'!G393</f>
        <v>0</v>
      </c>
      <c r="G24" s="226">
        <f>'Enterprise Template'!I117</f>
        <v>0</v>
      </c>
      <c r="H24" s="5"/>
      <c r="I24" s="226">
        <f t="shared" si="1"/>
        <v>0</v>
      </c>
      <c r="J24" s="5"/>
      <c r="K24" s="232" t="str">
        <f t="shared" si="2"/>
        <v/>
      </c>
      <c r="L24" s="5"/>
    </row>
    <row r="25" spans="1:14">
      <c r="A25" s="33" t="s">
        <v>219</v>
      </c>
      <c r="B25" s="19"/>
      <c r="C25" s="22"/>
      <c r="E25" s="226">
        <f>'Enterprise Template'!G394</f>
        <v>0</v>
      </c>
      <c r="G25" s="226" t="str">
        <f>'Enterprise Template'!I123</f>
        <v/>
      </c>
      <c r="H25" s="5"/>
      <c r="I25" s="226" t="str">
        <f t="shared" si="1"/>
        <v/>
      </c>
      <c r="J25" s="5"/>
      <c r="K25" s="232" t="str">
        <f t="shared" si="2"/>
        <v/>
      </c>
      <c r="L25" s="5"/>
    </row>
    <row r="26" spans="1:14">
      <c r="A26" s="33" t="s">
        <v>99</v>
      </c>
      <c r="B26" s="19"/>
      <c r="C26" s="22"/>
      <c r="E26" s="226">
        <f>'Enterprise Template'!G395</f>
        <v>0</v>
      </c>
      <c r="G26" s="226" t="str">
        <f>IF(ISERR('Enterprise Template'!I121+'Enterprise Template'!I154),"",('Enterprise Template'!I121+'Enterprise Template'!I154))</f>
        <v/>
      </c>
      <c r="H26" s="5"/>
      <c r="I26" s="226" t="str">
        <f t="shared" si="1"/>
        <v/>
      </c>
      <c r="J26" s="5"/>
      <c r="K26" s="232" t="str">
        <f t="shared" si="2"/>
        <v/>
      </c>
      <c r="L26" s="5"/>
    </row>
    <row r="27" spans="1:14" hidden="1">
      <c r="A27" s="635" t="s">
        <v>220</v>
      </c>
      <c r="B27" s="19"/>
      <c r="C27" s="22"/>
      <c r="E27" s="226"/>
      <c r="G27" s="226"/>
      <c r="H27" s="5"/>
      <c r="I27" s="226"/>
      <c r="J27" s="5"/>
      <c r="K27" s="232" t="str">
        <f t="shared" si="2"/>
        <v/>
      </c>
      <c r="L27" s="5"/>
    </row>
    <row r="28" spans="1:14">
      <c r="A28" s="33" t="s">
        <v>187</v>
      </c>
      <c r="B28" s="19"/>
      <c r="C28" s="22"/>
      <c r="E28" s="226">
        <f>'Enterprise Template'!G398</f>
        <v>0</v>
      </c>
      <c r="G28" s="226" t="str">
        <f>'Enterprise Template'!I126</f>
        <v/>
      </c>
      <c r="H28" s="5"/>
      <c r="I28" s="226" t="str">
        <f t="shared" si="1"/>
        <v/>
      </c>
      <c r="J28" s="5"/>
      <c r="K28" s="232" t="str">
        <f t="shared" si="2"/>
        <v/>
      </c>
      <c r="L28" s="5"/>
    </row>
    <row r="29" spans="1:14">
      <c r="A29" s="33" t="s">
        <v>369</v>
      </c>
      <c r="B29" s="19"/>
      <c r="C29" s="22"/>
      <c r="E29" s="226">
        <f>'Enterprise Template'!G397</f>
        <v>0</v>
      </c>
      <c r="G29" s="226" t="str">
        <f>'Enterprise Template'!I125</f>
        <v/>
      </c>
      <c r="H29" s="5"/>
      <c r="I29" s="226" t="str">
        <f t="shared" si="1"/>
        <v/>
      </c>
      <c r="J29" s="5"/>
      <c r="K29" s="232" t="str">
        <f t="shared" si="2"/>
        <v/>
      </c>
      <c r="L29" s="5"/>
    </row>
    <row r="30" spans="1:14">
      <c r="A30" s="33"/>
      <c r="B30" s="19"/>
      <c r="C30" s="22"/>
      <c r="E30" s="5"/>
      <c r="G30" s="5"/>
      <c r="H30" s="5"/>
      <c r="I30" s="5"/>
      <c r="J30" s="5"/>
      <c r="K30" s="265"/>
      <c r="L30" s="5"/>
      <c r="N30" s="142"/>
    </row>
    <row r="31" spans="1:14">
      <c r="A31" s="33" t="s">
        <v>2819</v>
      </c>
      <c r="B31" s="19"/>
      <c r="C31" s="22"/>
      <c r="E31" s="226">
        <f>'Enterprise Template'!G400</f>
        <v>0</v>
      </c>
      <c r="G31" s="226" t="str">
        <f>IF(ISERR('Enterprise Template'!I124),"",('Enterprise Template'!I124))</f>
        <v/>
      </c>
      <c r="H31" s="5"/>
      <c r="I31" s="226" t="str">
        <f t="shared" ref="I31:I36" si="3">IF(ISERR(E31-G31),"",(E31-G31))</f>
        <v/>
      </c>
      <c r="J31" s="5"/>
      <c r="K31" s="232" t="str">
        <f>IF(OR(I31=0,I31=""),"","Answer Required")</f>
        <v/>
      </c>
      <c r="L31" s="5"/>
      <c r="N31" s="142"/>
    </row>
    <row r="32" spans="1:14">
      <c r="A32" s="33" t="s">
        <v>2820</v>
      </c>
      <c r="B32" s="19"/>
      <c r="C32" s="22"/>
      <c r="E32" s="226">
        <f>'Enterprise Template'!G401</f>
        <v>0</v>
      </c>
      <c r="G32" s="226" t="str">
        <f>IF(ISERR('Enterprise Template'!I152),"",('Enterprise Template'!I152))</f>
        <v/>
      </c>
      <c r="H32" s="5"/>
      <c r="I32" s="226" t="str">
        <f t="shared" si="3"/>
        <v/>
      </c>
      <c r="J32" s="5"/>
      <c r="K32" s="232" t="str">
        <f>IF(OR(I32=0,I32=""),"","Answer Required")</f>
        <v/>
      </c>
      <c r="L32" s="5"/>
    </row>
    <row r="33" spans="1:14">
      <c r="A33" s="33" t="s">
        <v>49</v>
      </c>
      <c r="B33" s="19"/>
      <c r="C33" s="22"/>
      <c r="E33" s="226">
        <f>'Enterprise Template'!G402</f>
        <v>0</v>
      </c>
      <c r="G33" s="226" t="str">
        <f>'Enterprise Template'!I127</f>
        <v/>
      </c>
      <c r="H33" s="5"/>
      <c r="I33" s="226" t="str">
        <f t="shared" si="3"/>
        <v/>
      </c>
      <c r="J33" s="5"/>
      <c r="K33" s="232" t="str">
        <f>IF(OR(I33=0,I33=""),"","Answer Required")</f>
        <v/>
      </c>
      <c r="L33" s="5"/>
      <c r="N33" s="142"/>
    </row>
    <row r="34" spans="1:14">
      <c r="A34" s="33" t="s">
        <v>48</v>
      </c>
      <c r="B34" s="19"/>
      <c r="C34" s="22"/>
      <c r="E34" s="226">
        <f>'Enterprise Template'!G403</f>
        <v>0</v>
      </c>
      <c r="G34" s="226" t="str">
        <f>'Enterprise Template'!I153</f>
        <v/>
      </c>
      <c r="H34" s="5"/>
      <c r="I34" s="226" t="str">
        <f t="shared" si="3"/>
        <v/>
      </c>
      <c r="J34" s="5"/>
      <c r="K34" s="232" t="str">
        <f t="shared" si="2"/>
        <v/>
      </c>
      <c r="L34" s="5"/>
      <c r="N34" s="142"/>
    </row>
    <row r="35" spans="1:14">
      <c r="A35" s="33" t="s">
        <v>2840</v>
      </c>
      <c r="B35" s="19"/>
      <c r="C35" s="22"/>
      <c r="E35" s="226">
        <f>'Enterprise Template'!G404</f>
        <v>0</v>
      </c>
      <c r="G35" s="226" t="str">
        <f>'Enterprise Template'!I129</f>
        <v/>
      </c>
      <c r="H35" s="5"/>
      <c r="I35" s="226" t="str">
        <f t="shared" si="3"/>
        <v/>
      </c>
      <c r="J35" s="5"/>
      <c r="K35" s="232" t="str">
        <f>IF(OR(I35=0,I35=""),"","Answer Required")</f>
        <v/>
      </c>
      <c r="L35" s="5"/>
    </row>
    <row r="36" spans="1:14">
      <c r="A36" s="33" t="s">
        <v>2839</v>
      </c>
      <c r="B36" s="19"/>
      <c r="C36" s="22"/>
      <c r="D36" s="47"/>
      <c r="E36" s="226">
        <f>'Enterprise Template'!G405</f>
        <v>0</v>
      </c>
      <c r="G36" s="226" t="str">
        <f>'Enterprise Template'!I155</f>
        <v/>
      </c>
      <c r="H36" s="5"/>
      <c r="I36" s="226" t="str">
        <f t="shared" si="3"/>
        <v/>
      </c>
      <c r="J36" s="5"/>
      <c r="K36" s="232" t="str">
        <f>IF(OR(I36=0,I36=""),"","Answer Required")</f>
        <v/>
      </c>
      <c r="L36" s="5"/>
    </row>
    <row r="37" spans="1:14">
      <c r="A37" s="33"/>
      <c r="B37" s="19"/>
      <c r="C37" s="22"/>
      <c r="E37" s="5"/>
      <c r="G37" s="5"/>
      <c r="H37" s="5"/>
      <c r="I37" s="5"/>
      <c r="J37" s="5"/>
      <c r="K37" s="265"/>
      <c r="L37" s="5"/>
    </row>
    <row r="38" spans="1:14">
      <c r="A38" s="39" t="s">
        <v>103</v>
      </c>
      <c r="B38" s="19"/>
      <c r="C38" s="22"/>
      <c r="E38" s="226">
        <f>'Enterprise Template'!G407</f>
        <v>0</v>
      </c>
      <c r="G38" s="226" t="str">
        <f>'Enterprise Template'!I131</f>
        <v/>
      </c>
      <c r="H38" s="5"/>
      <c r="I38" s="226" t="str">
        <f>IF(ISERR(E38-G38),"",(E38-G38))</f>
        <v/>
      </c>
      <c r="J38" s="5"/>
      <c r="K38" s="232" t="str">
        <f t="shared" si="2"/>
        <v/>
      </c>
      <c r="L38" s="5"/>
    </row>
    <row r="39" spans="1:14">
      <c r="A39" s="39" t="s">
        <v>105</v>
      </c>
      <c r="B39" s="19"/>
      <c r="C39" s="22"/>
      <c r="E39" s="226">
        <f>'Enterprise Template'!G408</f>
        <v>0</v>
      </c>
      <c r="G39" s="226" t="str">
        <f>'Enterprise Template'!I132</f>
        <v/>
      </c>
      <c r="H39" s="5"/>
      <c r="I39" s="226" t="str">
        <f>IF(ISERR(E39-G39),"",(E39-G39))</f>
        <v/>
      </c>
      <c r="J39" s="5"/>
      <c r="K39" s="232" t="str">
        <f t="shared" si="2"/>
        <v/>
      </c>
      <c r="L39" s="5"/>
    </row>
    <row r="40" spans="1:14">
      <c r="A40" s="39" t="s">
        <v>106</v>
      </c>
      <c r="B40" s="19"/>
      <c r="C40" s="22"/>
      <c r="E40" s="226">
        <f>'Enterprise Template'!G409</f>
        <v>0</v>
      </c>
      <c r="G40" s="226" t="str">
        <f>'Enterprise Template'!I133</f>
        <v/>
      </c>
      <c r="H40" s="5"/>
      <c r="I40" s="226" t="str">
        <f>IF(ISERR(E40-G40),"",(E40-G40))</f>
        <v/>
      </c>
      <c r="J40" s="5"/>
      <c r="K40" s="232" t="str">
        <f t="shared" si="2"/>
        <v/>
      </c>
      <c r="L40" s="5"/>
    </row>
    <row r="41" spans="1:14">
      <c r="A41" s="19"/>
      <c r="C41" s="47" t="s">
        <v>172</v>
      </c>
      <c r="D41" s="47"/>
      <c r="E41" s="32">
        <f>SUM(E38:E40)</f>
        <v>0</v>
      </c>
      <c r="G41" s="32">
        <f>SUM(G38:G40)</f>
        <v>0</v>
      </c>
      <c r="H41" s="5"/>
      <c r="I41" s="32">
        <f>SUM(I38:I40)</f>
        <v>0</v>
      </c>
      <c r="J41" s="5"/>
      <c r="K41" s="266"/>
      <c r="L41" s="5"/>
    </row>
    <row r="42" spans="1:14">
      <c r="A42" s="33"/>
      <c r="B42" s="19"/>
      <c r="C42" s="22"/>
      <c r="D42" s="47"/>
      <c r="E42" s="5"/>
      <c r="G42" s="5"/>
      <c r="H42" s="5"/>
      <c r="I42" s="5"/>
      <c r="J42" s="5"/>
      <c r="K42" s="264"/>
      <c r="L42" s="5"/>
    </row>
    <row r="43" spans="1:14">
      <c r="A43" s="39" t="s">
        <v>103</v>
      </c>
      <c r="B43" s="19"/>
      <c r="C43" s="22"/>
      <c r="D43" s="47"/>
      <c r="E43" s="226">
        <f>'Enterprise Template'!G412</f>
        <v>0</v>
      </c>
      <c r="G43" s="226" t="str">
        <f>'Enterprise Template'!I157</f>
        <v/>
      </c>
      <c r="H43" s="5"/>
      <c r="I43" s="226" t="str">
        <f>IF(ISERR(E43-G43),"",(E43-G43))</f>
        <v/>
      </c>
      <c r="J43" s="5"/>
      <c r="K43" s="232" t="str">
        <f t="shared" ref="K43:K45" si="4">IF(OR(I43=0,I43=""),"","Answer Required")</f>
        <v/>
      </c>
      <c r="L43" s="5"/>
    </row>
    <row r="44" spans="1:14">
      <c r="A44" s="39" t="s">
        <v>105</v>
      </c>
      <c r="B44" s="19"/>
      <c r="C44" s="22"/>
      <c r="D44" s="47"/>
      <c r="E44" s="226">
        <f>'Enterprise Template'!G413</f>
        <v>0</v>
      </c>
      <c r="G44" s="226" t="str">
        <f>'Enterprise Template'!I158</f>
        <v/>
      </c>
      <c r="H44" s="5"/>
      <c r="I44" s="226" t="str">
        <f>IF(ISERR(E44-G44),"",(E44-G44))</f>
        <v/>
      </c>
      <c r="J44" s="5"/>
      <c r="K44" s="232" t="str">
        <f t="shared" si="4"/>
        <v/>
      </c>
      <c r="L44" s="5"/>
    </row>
    <row r="45" spans="1:14">
      <c r="A45" s="39" t="s">
        <v>106</v>
      </c>
      <c r="B45" s="19"/>
      <c r="C45" s="22"/>
      <c r="D45" s="47"/>
      <c r="E45" s="226">
        <f>'Enterprise Template'!G414</f>
        <v>0</v>
      </c>
      <c r="G45" s="226" t="str">
        <f>'Enterprise Template'!I159</f>
        <v/>
      </c>
      <c r="H45" s="5"/>
      <c r="I45" s="226" t="str">
        <f>IF(ISERR(E45-G45),"",(E45-G45))</f>
        <v/>
      </c>
      <c r="J45" s="5"/>
      <c r="K45" s="232" t="str">
        <f t="shared" si="4"/>
        <v/>
      </c>
      <c r="L45" s="5"/>
    </row>
    <row r="46" spans="1:14" ht="13.5" customHeight="1">
      <c r="A46" s="19"/>
      <c r="C46" s="47" t="s">
        <v>647</v>
      </c>
      <c r="D46" s="47"/>
      <c r="E46" s="32">
        <f>SUM(E43:E45)</f>
        <v>0</v>
      </c>
      <c r="G46" s="32">
        <f>SUM(G43:G45)</f>
        <v>0</v>
      </c>
      <c r="H46" s="5"/>
      <c r="I46" s="32">
        <f>SUM(I43:I45)</f>
        <v>0</v>
      </c>
      <c r="J46" s="5"/>
      <c r="K46" s="264"/>
      <c r="L46" s="5"/>
    </row>
    <row r="47" spans="1:14">
      <c r="A47" s="19"/>
      <c r="B47" s="33"/>
      <c r="C47" s="22"/>
      <c r="E47" s="5"/>
      <c r="G47" s="5"/>
      <c r="H47" s="5"/>
      <c r="I47" s="5"/>
      <c r="J47" s="5"/>
      <c r="K47" s="264"/>
      <c r="L47" s="5"/>
    </row>
    <row r="48" spans="1:14">
      <c r="A48" s="39" t="s">
        <v>3197</v>
      </c>
      <c r="B48" s="19"/>
      <c r="C48" s="22"/>
      <c r="E48" s="226">
        <f>'Enterprise Template'!G417</f>
        <v>0</v>
      </c>
      <c r="G48" s="226" t="str">
        <f>'Enterprise Template'!I136</f>
        <v/>
      </c>
      <c r="H48" s="5"/>
      <c r="I48" s="226" t="str">
        <f t="shared" ref="I48:I58" si="5">IF(ISERR(E48-G48),"",(E48-G48))</f>
        <v/>
      </c>
      <c r="J48" s="5"/>
      <c r="K48" s="232" t="str">
        <f t="shared" ref="K48:K58" si="6">IF(OR(I48=0,I48=""),"","Answer Required")</f>
        <v/>
      </c>
      <c r="L48" s="5"/>
    </row>
    <row r="49" spans="1:12">
      <c r="A49" s="39" t="s">
        <v>107</v>
      </c>
      <c r="B49" s="19"/>
      <c r="C49" s="22"/>
      <c r="E49" s="226">
        <f>'Enterprise Template'!G418</f>
        <v>0</v>
      </c>
      <c r="G49" s="226" t="str">
        <f>'Enterprise Template'!I137</f>
        <v/>
      </c>
      <c r="H49" s="5"/>
      <c r="I49" s="226" t="str">
        <f t="shared" si="5"/>
        <v/>
      </c>
      <c r="J49" s="5"/>
      <c r="K49" s="232" t="str">
        <f t="shared" si="6"/>
        <v/>
      </c>
      <c r="L49" s="5"/>
    </row>
    <row r="50" spans="1:12">
      <c r="A50" s="39" t="s">
        <v>104</v>
      </c>
      <c r="B50" s="19"/>
      <c r="C50" s="22"/>
      <c r="E50" s="226">
        <f>'Enterprise Template'!G419</f>
        <v>0</v>
      </c>
      <c r="G50" s="226" t="str">
        <f>'Enterprise Template'!I138</f>
        <v/>
      </c>
      <c r="H50" s="5"/>
      <c r="I50" s="226" t="str">
        <f t="shared" si="5"/>
        <v/>
      </c>
      <c r="J50" s="5"/>
      <c r="K50" s="232" t="str">
        <f t="shared" si="6"/>
        <v/>
      </c>
      <c r="L50" s="5"/>
    </row>
    <row r="51" spans="1:12">
      <c r="A51" s="39" t="s">
        <v>3359</v>
      </c>
      <c r="B51" s="19"/>
      <c r="C51" s="22"/>
      <c r="E51" s="226">
        <f>'Enterprise Template'!G420</f>
        <v>0</v>
      </c>
      <c r="G51" s="226" t="str">
        <f>'Enterprise Template'!I139</f>
        <v/>
      </c>
      <c r="H51" s="5"/>
      <c r="I51" s="226" t="str">
        <f t="shared" si="5"/>
        <v/>
      </c>
      <c r="J51" s="5"/>
      <c r="K51" s="232" t="str">
        <f t="shared" si="6"/>
        <v/>
      </c>
      <c r="L51" s="5"/>
    </row>
    <row r="52" spans="1:12">
      <c r="A52" s="1015" t="s">
        <v>3405</v>
      </c>
      <c r="B52" s="1015"/>
      <c r="C52" s="1015"/>
      <c r="D52" s="1016"/>
      <c r="E52" s="226">
        <f>'Enterprise Template'!G421</f>
        <v>0</v>
      </c>
      <c r="G52" s="226" t="str">
        <f>'Enterprise Template'!I140</f>
        <v/>
      </c>
      <c r="H52" s="5"/>
      <c r="I52" s="226" t="str">
        <f t="shared" si="5"/>
        <v/>
      </c>
      <c r="J52" s="5"/>
      <c r="K52" s="232" t="str">
        <f t="shared" si="6"/>
        <v/>
      </c>
      <c r="L52" s="5"/>
    </row>
    <row r="53" spans="1:12">
      <c r="A53" s="39" t="s">
        <v>140</v>
      </c>
      <c r="B53" s="19"/>
      <c r="C53" s="22"/>
      <c r="E53" s="226">
        <f>'Enterprise Template'!G422</f>
        <v>0</v>
      </c>
      <c r="G53" s="226" t="str">
        <f>'Enterprise Template'!I141</f>
        <v/>
      </c>
      <c r="H53" s="5"/>
      <c r="I53" s="226" t="str">
        <f t="shared" si="5"/>
        <v/>
      </c>
      <c r="J53" s="5"/>
      <c r="K53" s="232" t="str">
        <f t="shared" si="6"/>
        <v/>
      </c>
      <c r="L53" s="5"/>
    </row>
    <row r="54" spans="1:12">
      <c r="A54" s="39" t="s">
        <v>3371</v>
      </c>
      <c r="B54" s="19"/>
      <c r="C54" s="22"/>
      <c r="E54" s="226">
        <f>'Enterprise Template'!G423</f>
        <v>0</v>
      </c>
      <c r="G54" s="226" t="str">
        <f>'Enterprise Template'!I142</f>
        <v/>
      </c>
      <c r="H54" s="5"/>
      <c r="I54" s="226"/>
      <c r="J54" s="5"/>
      <c r="K54" s="232" t="str">
        <f t="shared" si="6"/>
        <v/>
      </c>
      <c r="L54" s="5"/>
    </row>
    <row r="55" spans="1:12">
      <c r="A55" s="39" t="s">
        <v>141</v>
      </c>
      <c r="B55" s="19"/>
      <c r="C55" s="22"/>
      <c r="E55" s="226">
        <f>'Enterprise Template'!G424</f>
        <v>0</v>
      </c>
      <c r="G55" s="226" t="str">
        <f>'Enterprise Template'!I143</f>
        <v/>
      </c>
      <c r="H55" s="5"/>
      <c r="I55" s="226" t="str">
        <f t="shared" si="5"/>
        <v/>
      </c>
      <c r="J55" s="5"/>
      <c r="K55" s="232" t="str">
        <f t="shared" si="6"/>
        <v/>
      </c>
      <c r="L55" s="5"/>
    </row>
    <row r="56" spans="1:12">
      <c r="A56" s="39" t="s">
        <v>118</v>
      </c>
      <c r="B56" s="19"/>
      <c r="C56" s="22"/>
      <c r="E56" s="226">
        <f>'Enterprise Template'!G425</f>
        <v>0</v>
      </c>
      <c r="G56" s="226" t="str">
        <f>'Enterprise Template'!I144</f>
        <v/>
      </c>
      <c r="H56" s="5"/>
      <c r="I56" s="226" t="str">
        <f t="shared" si="5"/>
        <v/>
      </c>
      <c r="J56" s="5"/>
      <c r="K56" s="232" t="str">
        <f t="shared" si="6"/>
        <v/>
      </c>
      <c r="L56" s="5"/>
    </row>
    <row r="57" spans="1:12">
      <c r="A57" s="39" t="s">
        <v>2983</v>
      </c>
      <c r="B57" s="19"/>
      <c r="C57" s="22"/>
      <c r="E57" s="226">
        <f>'Enterprise Template'!G426</f>
        <v>0</v>
      </c>
      <c r="G57" s="226" t="str">
        <f>'Enterprise Template'!I145</f>
        <v/>
      </c>
      <c r="H57" s="5"/>
      <c r="I57" s="226" t="str">
        <f t="shared" si="5"/>
        <v/>
      </c>
      <c r="J57" s="5"/>
      <c r="K57" s="232" t="str">
        <f t="shared" si="6"/>
        <v/>
      </c>
      <c r="L57" s="5"/>
    </row>
    <row r="58" spans="1:12">
      <c r="A58" s="39" t="s">
        <v>2984</v>
      </c>
      <c r="B58" s="19"/>
      <c r="C58" s="22"/>
      <c r="E58" s="226">
        <f>'Enterprise Template'!G427</f>
        <v>0</v>
      </c>
      <c r="G58" s="226" t="str">
        <f>'Enterprise Template'!I146</f>
        <v/>
      </c>
      <c r="H58" s="5"/>
      <c r="I58" s="226" t="str">
        <f t="shared" si="5"/>
        <v/>
      </c>
      <c r="J58" s="5"/>
      <c r="K58" s="232" t="str">
        <f t="shared" si="6"/>
        <v/>
      </c>
      <c r="L58" s="5"/>
    </row>
    <row r="59" spans="1:12">
      <c r="A59" s="39"/>
      <c r="B59" s="19"/>
      <c r="C59" s="47" t="s">
        <v>173</v>
      </c>
      <c r="E59" s="32">
        <f>SUM(E48:E58)</f>
        <v>0</v>
      </c>
      <c r="G59" s="32">
        <f>SUM(G48:G58)</f>
        <v>0</v>
      </c>
      <c r="H59" s="5"/>
      <c r="I59" s="32">
        <f>SUM(I48:I58)</f>
        <v>0</v>
      </c>
      <c r="J59" s="5"/>
      <c r="K59" s="264"/>
      <c r="L59" s="5"/>
    </row>
    <row r="60" spans="1:12">
      <c r="A60" s="39"/>
      <c r="B60" s="19"/>
      <c r="C60" s="22"/>
      <c r="E60" s="5"/>
      <c r="G60" s="5"/>
      <c r="H60" s="5"/>
      <c r="I60" s="5"/>
      <c r="J60" s="5"/>
      <c r="K60" s="264"/>
      <c r="L60" s="5"/>
    </row>
    <row r="61" spans="1:12">
      <c r="A61" s="39" t="s">
        <v>3788</v>
      </c>
      <c r="B61" s="19"/>
      <c r="C61" s="22"/>
      <c r="E61" s="226">
        <f>'Enterprise Template'!G430</f>
        <v>0</v>
      </c>
      <c r="G61" s="226" t="str">
        <f>'Enterprise Template'!I162</f>
        <v/>
      </c>
      <c r="H61" s="5"/>
      <c r="I61" s="226" t="str">
        <f t="shared" ref="I61:I72" si="7">IF(ISERR(E61-G61),"",(E61-G61))</f>
        <v/>
      </c>
      <c r="J61" s="5"/>
      <c r="K61" s="232" t="str">
        <f t="shared" ref="K61:K72" si="8">IF(OR(I61=0,I61=""),"","Answer Required")</f>
        <v/>
      </c>
      <c r="L61" s="5"/>
    </row>
    <row r="62" spans="1:12">
      <c r="A62" s="39" t="s">
        <v>107</v>
      </c>
      <c r="B62" s="19"/>
      <c r="C62" s="22"/>
      <c r="E62" s="226">
        <f>'Enterprise Template'!G431</f>
        <v>0</v>
      </c>
      <c r="G62" s="226" t="str">
        <f>'Enterprise Template'!I163</f>
        <v/>
      </c>
      <c r="H62" s="5"/>
      <c r="I62" s="226" t="str">
        <f t="shared" si="7"/>
        <v/>
      </c>
      <c r="J62" s="5"/>
      <c r="K62" s="232" t="str">
        <f t="shared" si="8"/>
        <v/>
      </c>
      <c r="L62" s="5"/>
    </row>
    <row r="63" spans="1:12">
      <c r="A63" s="39" t="s">
        <v>104</v>
      </c>
      <c r="B63" s="19"/>
      <c r="C63" s="22"/>
      <c r="E63" s="226">
        <f>'Enterprise Template'!G432</f>
        <v>0</v>
      </c>
      <c r="G63" s="226" t="str">
        <f>'Enterprise Template'!I164</f>
        <v/>
      </c>
      <c r="H63" s="5"/>
      <c r="I63" s="226" t="str">
        <f t="shared" si="7"/>
        <v/>
      </c>
      <c r="J63" s="5"/>
      <c r="K63" s="232" t="str">
        <f t="shared" si="8"/>
        <v/>
      </c>
      <c r="L63" s="5"/>
    </row>
    <row r="64" spans="1:12">
      <c r="A64" s="39" t="s">
        <v>3359</v>
      </c>
      <c r="B64" s="19"/>
      <c r="C64" s="22"/>
      <c r="E64" s="226">
        <f>'Enterprise Template'!G433</f>
        <v>0</v>
      </c>
      <c r="G64" s="226" t="str">
        <f>'Enterprise Template'!I165</f>
        <v/>
      </c>
      <c r="H64" s="5"/>
      <c r="I64" s="226" t="str">
        <f t="shared" si="7"/>
        <v/>
      </c>
      <c r="J64" s="5"/>
      <c r="K64" s="232" t="str">
        <f t="shared" si="8"/>
        <v/>
      </c>
      <c r="L64" s="5"/>
    </row>
    <row r="65" spans="1:13">
      <c r="A65" s="1015" t="s">
        <v>3405</v>
      </c>
      <c r="B65" s="1015"/>
      <c r="C65" s="1015"/>
      <c r="D65" s="1016"/>
      <c r="E65" s="226">
        <f>'Enterprise Template'!G434</f>
        <v>0</v>
      </c>
      <c r="G65" s="226" t="str">
        <f>'Enterprise Template'!I166</f>
        <v/>
      </c>
      <c r="H65" s="5"/>
      <c r="I65" s="226" t="str">
        <f t="shared" si="7"/>
        <v/>
      </c>
      <c r="J65" s="5"/>
      <c r="K65" s="232" t="str">
        <f t="shared" si="8"/>
        <v/>
      </c>
      <c r="L65" s="5"/>
    </row>
    <row r="66" spans="1:13">
      <c r="A66" s="39" t="s">
        <v>140</v>
      </c>
      <c r="B66" s="19"/>
      <c r="C66" s="22"/>
      <c r="E66" s="226">
        <f>'Enterprise Template'!G435</f>
        <v>0</v>
      </c>
      <c r="G66" s="226" t="str">
        <f>'Enterprise Template'!I167</f>
        <v/>
      </c>
      <c r="H66" s="5"/>
      <c r="I66" s="226" t="str">
        <f t="shared" si="7"/>
        <v/>
      </c>
      <c r="J66" s="5"/>
      <c r="K66" s="232" t="str">
        <f t="shared" si="8"/>
        <v/>
      </c>
      <c r="L66" s="5"/>
    </row>
    <row r="67" spans="1:13">
      <c r="A67" s="39" t="s">
        <v>3371</v>
      </c>
      <c r="B67" s="19"/>
      <c r="C67" s="22"/>
      <c r="E67" s="226">
        <f>'Enterprise Template'!G436</f>
        <v>0</v>
      </c>
      <c r="G67" s="226" t="str">
        <f>'Enterprise Template'!I168</f>
        <v/>
      </c>
      <c r="H67" s="5"/>
      <c r="I67" s="226" t="str">
        <f t="shared" si="7"/>
        <v/>
      </c>
      <c r="J67" s="5"/>
      <c r="K67" s="232" t="str">
        <f t="shared" si="8"/>
        <v/>
      </c>
      <c r="L67" s="5"/>
    </row>
    <row r="68" spans="1:13">
      <c r="A68" s="39" t="s">
        <v>141</v>
      </c>
      <c r="B68" s="19"/>
      <c r="C68" s="22"/>
      <c r="E68" s="226">
        <f>'Enterprise Template'!G437</f>
        <v>0</v>
      </c>
      <c r="G68" s="226" t="str">
        <f>'Enterprise Template'!I169</f>
        <v/>
      </c>
      <c r="H68" s="5"/>
      <c r="I68" s="226" t="str">
        <f t="shared" si="7"/>
        <v/>
      </c>
      <c r="J68" s="5"/>
      <c r="K68" s="232" t="str">
        <f t="shared" si="8"/>
        <v/>
      </c>
      <c r="L68" s="5"/>
    </row>
    <row r="69" spans="1:13">
      <c r="A69" s="39" t="s">
        <v>118</v>
      </c>
      <c r="B69" s="19"/>
      <c r="C69" s="22"/>
      <c r="E69" s="226">
        <f>'Enterprise Template'!G438</f>
        <v>0</v>
      </c>
      <c r="G69" s="226" t="str">
        <f>'Enterprise Template'!I170</f>
        <v/>
      </c>
      <c r="H69" s="5"/>
      <c r="I69" s="226" t="str">
        <f t="shared" si="7"/>
        <v/>
      </c>
      <c r="J69" s="5"/>
      <c r="K69" s="232" t="str">
        <f t="shared" si="8"/>
        <v/>
      </c>
      <c r="L69" s="5"/>
    </row>
    <row r="70" spans="1:13">
      <c r="A70" s="39" t="s">
        <v>957</v>
      </c>
      <c r="B70" s="19"/>
      <c r="C70" s="22"/>
      <c r="E70" s="226">
        <f>'Enterprise Template'!G439</f>
        <v>0</v>
      </c>
      <c r="G70" s="226" t="str">
        <f>'Enterprise Template'!I171</f>
        <v/>
      </c>
      <c r="H70" s="5"/>
      <c r="I70" s="226" t="str">
        <f t="shared" si="7"/>
        <v/>
      </c>
      <c r="J70" s="5"/>
      <c r="K70" s="232" t="str">
        <f t="shared" si="8"/>
        <v/>
      </c>
      <c r="L70" s="5"/>
    </row>
    <row r="71" spans="1:13">
      <c r="A71" s="39" t="s">
        <v>3022</v>
      </c>
      <c r="B71" s="19"/>
      <c r="C71" s="22"/>
      <c r="E71" s="226">
        <f>'Enterprise Template'!G440</f>
        <v>0</v>
      </c>
      <c r="G71" s="226" t="str">
        <f>'Enterprise Template'!I172</f>
        <v/>
      </c>
      <c r="H71" s="5"/>
      <c r="I71" s="226" t="str">
        <f t="shared" si="7"/>
        <v/>
      </c>
      <c r="J71" s="5"/>
      <c r="K71" s="232" t="str">
        <f t="shared" si="8"/>
        <v/>
      </c>
      <c r="L71" s="5"/>
    </row>
    <row r="72" spans="1:13">
      <c r="A72" s="39" t="s">
        <v>2984</v>
      </c>
      <c r="B72" s="19"/>
      <c r="C72" s="22"/>
      <c r="E72" s="226">
        <f>'Enterprise Template'!G441</f>
        <v>0</v>
      </c>
      <c r="G72" s="226" t="str">
        <f>'Enterprise Template'!I173</f>
        <v/>
      </c>
      <c r="H72" s="5"/>
      <c r="I72" s="226" t="str">
        <f t="shared" si="7"/>
        <v/>
      </c>
      <c r="J72" s="5"/>
      <c r="K72" s="232" t="str">
        <f t="shared" si="8"/>
        <v/>
      </c>
      <c r="L72" s="5"/>
    </row>
    <row r="73" spans="1:13">
      <c r="A73" s="39"/>
      <c r="B73" s="19"/>
      <c r="C73" s="47" t="s">
        <v>119</v>
      </c>
      <c r="E73" s="32">
        <f>SUM(E61:E72)</f>
        <v>0</v>
      </c>
      <c r="G73" s="32">
        <f>SUM(G61:G72)</f>
        <v>0</v>
      </c>
      <c r="H73" s="5"/>
      <c r="I73" s="32">
        <f>SUM(I61:I72)</f>
        <v>0</v>
      </c>
      <c r="J73" s="5"/>
      <c r="L73" s="5"/>
      <c r="M73" s="264"/>
    </row>
    <row r="75" spans="1:13">
      <c r="A75" s="39" t="s">
        <v>962</v>
      </c>
      <c r="E75" s="226">
        <f>-('Enterprise Template'!G445+'Enterprise Template'!G447+'Enterprise Template'!G449)</f>
        <v>0</v>
      </c>
      <c r="G75" s="226" t="str">
        <f>'Enterprise Template'!I101</f>
        <v/>
      </c>
      <c r="I75" s="226" t="str">
        <f t="shared" ref="I75:I76" si="9">IF(ISERR(E75-G75),"",(E75-G75))</f>
        <v/>
      </c>
      <c r="K75" s="232" t="str">
        <f t="shared" ref="K75:K76" si="10">IF(OR(I75=0,I75=""),"","Answer Required")</f>
        <v/>
      </c>
    </row>
    <row r="76" spans="1:13">
      <c r="A76" s="39" t="s">
        <v>963</v>
      </c>
      <c r="E76" s="226">
        <f>'Enterprise Template'!G446+'Enterprise Template'!G448+'Enterprise Template'!G450</f>
        <v>0</v>
      </c>
      <c r="G76" s="226" t="str">
        <f>'Enterprise Template'!I180</f>
        <v/>
      </c>
      <c r="I76" s="226" t="str">
        <f t="shared" si="9"/>
        <v/>
      </c>
      <c r="K76" s="232" t="str">
        <f t="shared" si="10"/>
        <v/>
      </c>
    </row>
    <row r="77" spans="1:13">
      <c r="C77" s="47" t="s">
        <v>964</v>
      </c>
      <c r="E77" s="32">
        <f>SUM(E75:E76)</f>
        <v>0</v>
      </c>
      <c r="G77" s="32">
        <f>SUM(G75:G76)</f>
        <v>0</v>
      </c>
      <c r="I77" s="32">
        <f>SUM(I75:I76)</f>
        <v>0</v>
      </c>
    </row>
    <row r="79" spans="1:13">
      <c r="A79" s="13" t="s">
        <v>668</v>
      </c>
      <c r="B79" s="13"/>
      <c r="C79" s="13"/>
      <c r="G79" s="12"/>
    </row>
    <row r="80" spans="1:13">
      <c r="G80" s="12"/>
    </row>
    <row r="81" spans="1:7" ht="48.75" customHeight="1">
      <c r="A81" s="303" t="s">
        <v>361</v>
      </c>
      <c r="B81" s="1357" t="s">
        <v>362</v>
      </c>
      <c r="C81" s="1359"/>
      <c r="D81" s="1359"/>
      <c r="E81" s="260">
        <f>-'Enterprise Template'!G331</f>
        <v>0</v>
      </c>
      <c r="F81" s="12" t="s">
        <v>363</v>
      </c>
      <c r="G81" s="12"/>
    </row>
    <row r="82" spans="1:7" ht="35.25" customHeight="1">
      <c r="B82" s="1357" t="s">
        <v>364</v>
      </c>
      <c r="C82" s="1359"/>
      <c r="D82" s="1359"/>
      <c r="E82" s="260">
        <f>'Enterprise Template'!G458</f>
        <v>0</v>
      </c>
      <c r="F82" s="12" t="s">
        <v>363</v>
      </c>
      <c r="G82" s="12"/>
    </row>
    <row r="83" spans="1:7" ht="30" customHeight="1">
      <c r="B83" s="1357" t="s">
        <v>3353</v>
      </c>
      <c r="C83" s="1358"/>
      <c r="D83" s="1358"/>
      <c r="E83" s="260">
        <f>'Enterprise Template'!G459</f>
        <v>0</v>
      </c>
      <c r="F83" s="12" t="s">
        <v>363</v>
      </c>
      <c r="G83" s="12"/>
    </row>
    <row r="84" spans="1:7" ht="45.75" customHeight="1">
      <c r="B84" s="1357" t="s">
        <v>3406</v>
      </c>
      <c r="C84" s="1358"/>
      <c r="D84" s="1358"/>
      <c r="E84" s="260">
        <f>'Enterprise Template'!G460</f>
        <v>0</v>
      </c>
      <c r="F84" s="12" t="s">
        <v>363</v>
      </c>
      <c r="G84" s="12"/>
    </row>
    <row r="85" spans="1:7" ht="30" customHeight="1">
      <c r="B85" s="1357" t="s">
        <v>3354</v>
      </c>
      <c r="C85" s="1358"/>
      <c r="D85" s="1358"/>
      <c r="E85" s="260">
        <f>'Enterprise Template'!G461</f>
        <v>0</v>
      </c>
      <c r="F85" s="12" t="s">
        <v>363</v>
      </c>
      <c r="G85" s="12"/>
    </row>
    <row r="86" spans="1:7" ht="31.5" customHeight="1">
      <c r="B86" s="1357" t="s">
        <v>365</v>
      </c>
      <c r="C86" s="1358"/>
      <c r="D86" s="1358"/>
      <c r="E86" s="260">
        <f>'Enterprise Template'!G462</f>
        <v>0</v>
      </c>
      <c r="F86" s="12" t="s">
        <v>363</v>
      </c>
      <c r="G86" s="12"/>
    </row>
    <row r="87" spans="1:7" ht="30.75" customHeight="1">
      <c r="B87" s="1357" t="s">
        <v>669</v>
      </c>
      <c r="C87" s="1358"/>
      <c r="D87" s="1358"/>
      <c r="E87" s="260">
        <f>'Enterprise Template'!G464</f>
        <v>0</v>
      </c>
      <c r="F87" s="12" t="s">
        <v>363</v>
      </c>
      <c r="G87" s="12"/>
    </row>
    <row r="88" spans="1:7" ht="18.75" customHeight="1">
      <c r="B88" s="1360" t="s">
        <v>285</v>
      </c>
      <c r="C88" s="992"/>
      <c r="D88" s="993"/>
      <c r="E88" s="260">
        <f>SUM(E81:E87)</f>
        <v>0</v>
      </c>
      <c r="G88" s="12"/>
    </row>
    <row r="89" spans="1:7">
      <c r="E89" s="114"/>
      <c r="G89" s="12"/>
    </row>
    <row r="90" spans="1:7" ht="48" customHeight="1">
      <c r="A90" s="303" t="s">
        <v>366</v>
      </c>
      <c r="B90" s="1370" t="s">
        <v>3352</v>
      </c>
      <c r="C90" s="1371"/>
      <c r="D90" s="1371"/>
      <c r="E90" s="260">
        <f>'Tab 3-Capital Assets'!H49+'Tab 3-Capital Assets'!H26</f>
        <v>0</v>
      </c>
      <c r="F90" s="12" t="s">
        <v>363</v>
      </c>
      <c r="G90" s="12"/>
    </row>
    <row r="91" spans="1:7">
      <c r="B91" s="143"/>
      <c r="C91" s="857"/>
      <c r="D91" s="857"/>
      <c r="E91" s="114"/>
      <c r="G91" s="12"/>
    </row>
    <row r="92" spans="1:7" ht="18" customHeight="1">
      <c r="B92" s="1360" t="s">
        <v>391</v>
      </c>
      <c r="C92" s="992"/>
      <c r="D92" s="993"/>
      <c r="E92" s="260">
        <f>E88-E90</f>
        <v>0</v>
      </c>
      <c r="G92" s="12"/>
    </row>
    <row r="93" spans="1:7">
      <c r="G93" s="12"/>
    </row>
    <row r="94" spans="1:7">
      <c r="G94" s="12"/>
    </row>
    <row r="95" spans="1:7">
      <c r="A95" s="302" t="s">
        <v>670</v>
      </c>
      <c r="B95" s="302"/>
      <c r="C95" s="302"/>
      <c r="G95" s="12"/>
    </row>
    <row r="96" spans="1:7">
      <c r="A96" s="1234" t="str">
        <f>IF(E92=0,"N/A","Answer Required")</f>
        <v>N/A</v>
      </c>
      <c r="B96" s="1362"/>
      <c r="C96" s="1362"/>
      <c r="D96" s="1362"/>
      <c r="E96" s="1363"/>
      <c r="G96" s="12"/>
    </row>
    <row r="97" spans="1:7">
      <c r="A97" s="1364"/>
      <c r="B97" s="1365"/>
      <c r="C97" s="1365"/>
      <c r="D97" s="1365"/>
      <c r="E97" s="1366"/>
      <c r="G97" s="12"/>
    </row>
    <row r="98" spans="1:7">
      <c r="A98" s="1364"/>
      <c r="B98" s="1365"/>
      <c r="C98" s="1365"/>
      <c r="D98" s="1365"/>
      <c r="E98" s="1366"/>
      <c r="G98" s="12"/>
    </row>
    <row r="99" spans="1:7">
      <c r="A99" s="1364"/>
      <c r="B99" s="1365"/>
      <c r="C99" s="1365"/>
      <c r="D99" s="1365"/>
      <c r="E99" s="1366"/>
      <c r="G99" s="12"/>
    </row>
    <row r="100" spans="1:7">
      <c r="A100" s="1364"/>
      <c r="B100" s="1365"/>
      <c r="C100" s="1365"/>
      <c r="D100" s="1365"/>
      <c r="E100" s="1366"/>
      <c r="G100" s="12"/>
    </row>
    <row r="101" spans="1:7">
      <c r="A101" s="1364"/>
      <c r="B101" s="1365"/>
      <c r="C101" s="1365"/>
      <c r="D101" s="1365"/>
      <c r="E101" s="1366"/>
      <c r="G101" s="12"/>
    </row>
    <row r="102" spans="1:7">
      <c r="A102" s="1367"/>
      <c r="B102" s="1368"/>
      <c r="C102" s="1368"/>
      <c r="D102" s="1368"/>
      <c r="E102" s="1369"/>
      <c r="G102" s="12"/>
    </row>
    <row r="103" spans="1:7">
      <c r="G103" s="12"/>
    </row>
    <row r="104" spans="1:7">
      <c r="G104" s="12"/>
    </row>
    <row r="105" spans="1:7">
      <c r="A105" s="13" t="s">
        <v>671</v>
      </c>
      <c r="B105" s="13"/>
      <c r="C105" s="13"/>
      <c r="G105" s="12"/>
    </row>
    <row r="106" spans="1:7">
      <c r="G106" s="12"/>
    </row>
    <row r="107" spans="1:7" ht="94.5" customHeight="1">
      <c r="A107" s="303" t="s">
        <v>361</v>
      </c>
      <c r="B107" s="1357" t="s">
        <v>3407</v>
      </c>
      <c r="C107" s="1359"/>
      <c r="D107" s="1359"/>
      <c r="E107" s="260">
        <f>-'Enterprise Template'!G332</f>
        <v>0</v>
      </c>
      <c r="F107" s="12" t="s">
        <v>363</v>
      </c>
      <c r="G107" s="12"/>
    </row>
    <row r="108" spans="1:7" ht="24" customHeight="1">
      <c r="A108" s="303" t="s">
        <v>767</v>
      </c>
      <c r="B108" s="1357" t="s">
        <v>600</v>
      </c>
      <c r="C108" s="1359"/>
      <c r="D108" s="1359"/>
      <c r="E108" s="260">
        <f>'Enterprise Template'!G131</f>
        <v>0</v>
      </c>
      <c r="F108" s="12" t="s">
        <v>363</v>
      </c>
      <c r="G108" s="12"/>
    </row>
    <row r="109" spans="1:7">
      <c r="B109" s="1357" t="s">
        <v>285</v>
      </c>
      <c r="C109" s="1359"/>
      <c r="D109" s="1359"/>
      <c r="E109" s="260">
        <f>SUM(E107:E108)</f>
        <v>0</v>
      </c>
      <c r="G109" s="12"/>
    </row>
    <row r="110" spans="1:7">
      <c r="E110" s="114"/>
      <c r="G110" s="12"/>
    </row>
    <row r="111" spans="1:7" ht="91.5" customHeight="1">
      <c r="A111" s="303" t="s">
        <v>376</v>
      </c>
      <c r="B111" s="1357" t="s">
        <v>3408</v>
      </c>
      <c r="C111" s="1359"/>
      <c r="D111" s="1359"/>
      <c r="E111" s="260">
        <f>-('Tab 5-LT Liabilities'!D18+'Tab 5-LT Liabilities'!D20+'Tab 5-LT Liabilities'!D21+'Tab 5-LT Liabilities'!D22+'Tab 5-LT Liabilities'!D19)</f>
        <v>0</v>
      </c>
      <c r="F111" s="12" t="s">
        <v>363</v>
      </c>
      <c r="G111" s="12"/>
    </row>
    <row r="112" spans="1:7" ht="30.75" customHeight="1">
      <c r="A112" s="304" t="s">
        <v>790</v>
      </c>
      <c r="B112" s="1357" t="s">
        <v>933</v>
      </c>
      <c r="C112" s="1359"/>
      <c r="D112" s="1359"/>
      <c r="E112" s="260">
        <f>-'Enterprise Template'!G253</f>
        <v>0</v>
      </c>
      <c r="F112" s="12" t="s">
        <v>363</v>
      </c>
      <c r="G112" s="12"/>
    </row>
    <row r="113" spans="1:7" ht="19.5" customHeight="1">
      <c r="B113" s="1357" t="s">
        <v>285</v>
      </c>
      <c r="C113" s="1359"/>
      <c r="D113" s="1359"/>
      <c r="E113" s="260">
        <f>SUM(E111:E112)</f>
        <v>0</v>
      </c>
      <c r="G113" s="12"/>
    </row>
    <row r="114" spans="1:7">
      <c r="C114" s="143"/>
      <c r="E114" s="114"/>
      <c r="G114" s="12"/>
    </row>
    <row r="115" spans="1:7" ht="18" customHeight="1">
      <c r="B115" s="1357" t="s">
        <v>391</v>
      </c>
      <c r="C115" s="1359"/>
      <c r="D115" s="1359"/>
      <c r="E115" s="260">
        <f>E109-E113</f>
        <v>0</v>
      </c>
      <c r="G115" s="12"/>
    </row>
    <row r="116" spans="1:7">
      <c r="E116" s="114"/>
      <c r="G116" s="12"/>
    </row>
    <row r="117" spans="1:7">
      <c r="A117" s="302" t="s">
        <v>670</v>
      </c>
      <c r="B117" s="302"/>
      <c r="C117" s="302"/>
      <c r="G117" s="12"/>
    </row>
    <row r="118" spans="1:7">
      <c r="A118" s="1234" t="str">
        <f>IF(E115=0,"N/A","Answer Required")</f>
        <v>N/A</v>
      </c>
      <c r="B118" s="1362"/>
      <c r="C118" s="1362"/>
      <c r="D118" s="1362"/>
      <c r="E118" s="1363"/>
      <c r="G118" s="12"/>
    </row>
    <row r="119" spans="1:7">
      <c r="A119" s="1364"/>
      <c r="B119" s="1365"/>
      <c r="C119" s="1365"/>
      <c r="D119" s="1365"/>
      <c r="E119" s="1366"/>
      <c r="G119" s="12"/>
    </row>
    <row r="120" spans="1:7">
      <c r="A120" s="1364"/>
      <c r="B120" s="1365"/>
      <c r="C120" s="1365"/>
      <c r="D120" s="1365"/>
      <c r="E120" s="1366"/>
      <c r="G120" s="12"/>
    </row>
    <row r="121" spans="1:7">
      <c r="A121" s="1364"/>
      <c r="B121" s="1365"/>
      <c r="C121" s="1365"/>
      <c r="D121" s="1365"/>
      <c r="E121" s="1366"/>
      <c r="G121" s="12"/>
    </row>
    <row r="122" spans="1:7">
      <c r="A122" s="1364"/>
      <c r="B122" s="1365"/>
      <c r="C122" s="1365"/>
      <c r="D122" s="1365"/>
      <c r="E122" s="1366"/>
      <c r="G122" s="12"/>
    </row>
    <row r="123" spans="1:7">
      <c r="A123" s="1364"/>
      <c r="B123" s="1365"/>
      <c r="C123" s="1365"/>
      <c r="D123" s="1365"/>
      <c r="E123" s="1366"/>
      <c r="G123" s="12"/>
    </row>
    <row r="124" spans="1:7">
      <c r="A124" s="1367"/>
      <c r="B124" s="1368"/>
      <c r="C124" s="1368"/>
      <c r="D124" s="1368"/>
      <c r="E124" s="1369"/>
      <c r="G124" s="12"/>
    </row>
    <row r="125" spans="1:7">
      <c r="G125" s="12"/>
    </row>
    <row r="126" spans="1:7">
      <c r="G126" s="12"/>
    </row>
    <row r="127" spans="1:7">
      <c r="G127" s="12"/>
    </row>
    <row r="132" spans="1:1">
      <c r="A132" s="143"/>
    </row>
    <row r="133" spans="1:1">
      <c r="A133" s="143"/>
    </row>
  </sheetData>
  <sheetProtection algorithmName="SHA-512" hashValue="aX6uuDSK/3ZMGcFx3+k7UHAkYC/yk3vJ4b0zaYtkxfMbmq696Qx70EimpxjefvG2LWk8qd3vn9o/87b0YVx4Ug==" saltValue="gXH+MpKG0FqGY+OvoQjIjw==" spinCount="100000" sheet="1" objects="1" scenarios="1"/>
  <mergeCells count="32">
    <mergeCell ref="A96:E102"/>
    <mergeCell ref="B92:D92"/>
    <mergeCell ref="B90:D90"/>
    <mergeCell ref="B115:D115"/>
    <mergeCell ref="A118:E124"/>
    <mergeCell ref="B107:D107"/>
    <mergeCell ref="B108:D108"/>
    <mergeCell ref="B109:D109"/>
    <mergeCell ref="B111:D111"/>
    <mergeCell ref="B112:D112"/>
    <mergeCell ref="B113:D113"/>
    <mergeCell ref="K14:K15"/>
    <mergeCell ref="E14:E15"/>
    <mergeCell ref="G14:G15"/>
    <mergeCell ref="I14:I15"/>
    <mergeCell ref="B82:D82"/>
    <mergeCell ref="A65:D65"/>
    <mergeCell ref="A52:D52"/>
    <mergeCell ref="B83:D83"/>
    <mergeCell ref="B81:D81"/>
    <mergeCell ref="B86:D86"/>
    <mergeCell ref="B87:D87"/>
    <mergeCell ref="B88:D88"/>
    <mergeCell ref="B85:D85"/>
    <mergeCell ref="B84:D84"/>
    <mergeCell ref="B7:G7"/>
    <mergeCell ref="B1:G1"/>
    <mergeCell ref="B2:G2"/>
    <mergeCell ref="B3:G3"/>
    <mergeCell ref="B4:G4"/>
    <mergeCell ref="B5:G5"/>
    <mergeCell ref="B6:G6"/>
  </mergeCells>
  <phoneticPr fontId="46" type="noConversion"/>
  <conditionalFormatting sqref="A96:E102">
    <cfRule type="cellIs" dxfId="14" priority="2" operator="equal">
      <formula>"Answer Required"</formula>
    </cfRule>
  </conditionalFormatting>
  <conditionalFormatting sqref="A118:E124">
    <cfRule type="cellIs" dxfId="13" priority="1" operator="equal">
      <formula>"Answer Required"</formula>
    </cfRule>
  </conditionalFormatting>
  <conditionalFormatting sqref="K17:K29 K38:K40 K43:K45 K48:K58 K61:K72 K75:K76">
    <cfRule type="cellIs" dxfId="12" priority="4" operator="equal">
      <formula>"Answer Required"</formula>
    </cfRule>
  </conditionalFormatting>
  <conditionalFormatting sqref="K31:K36">
    <cfRule type="cellIs" dxfId="11" priority="3" operator="equal">
      <formula>"Answer Required"</formula>
    </cfRule>
  </conditionalFormatting>
  <dataValidations xWindow="146" yWindow="303" count="4">
    <dataValidation type="whole" allowBlank="1" showInputMessage="1" showErrorMessage="1" error="Enter a whole number_x000a_" sqref="J61:J72 L61:L72 E61:E72 J48:J58 L48:L58 E17:E36 G30:H30 E48:E58 G27:G28 G38:H40 J38:J40 E38:E40 L38:L40 G43:H45 E43:E45 L43:L45 J43:J45 G33:H36 L17:L36 H17:H29 H31:H32 G48:H58 J17:J36 G61:H72" xr:uid="{00000000-0002-0000-1300-000000000000}">
      <formula1>-9999999999999990000</formula1>
      <formula2>99999999999999900000</formula2>
    </dataValidation>
    <dataValidation type="whole" allowBlank="1" showErrorMessage="1" prompt="_x000a__x000a_" sqref="L37 J46:J47 E37 L46:L47 J41:J42 E46:E47 L41:L42 J59:J60 E41:E42 L59:L60 E59:E60 G59:H60 G41:H42 G46:H47 G37:H37 J37" xr:uid="{00000000-0002-0000-1300-000001000000}">
      <formula1>-999999999999999000</formula1>
      <formula2>9999999999999990000</formula2>
    </dataValidation>
    <dataValidation allowBlank="1" showErrorMessage="1" sqref="L73 E73 G73:H73 J73" xr:uid="{00000000-0002-0000-1300-000002000000}"/>
    <dataValidation allowBlank="1" showInputMessage="1" showErrorMessage="1" error="Enter a whole number_x000a_" sqref="G29" xr:uid="{00000000-0002-0000-1300-000003000000}"/>
  </dataValidations>
  <pageMargins left="0.75" right="0.25" top="0.5" bottom="0.25" header="0.2" footer="0.25"/>
  <pageSetup scale="55" orientation="landscape"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1" manualBreakCount="1">
    <brk id="77" max="1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H57"/>
  <sheetViews>
    <sheetView showGridLines="0" zoomScaleNormal="100" zoomScaleSheetLayoutView="100" workbookViewId="0">
      <selection activeCell="A14" sqref="A14"/>
    </sheetView>
  </sheetViews>
  <sheetFormatPr defaultColWidth="7.85546875" defaultRowHeight="11.25"/>
  <cols>
    <col min="1" max="1" width="23.28515625" style="146" customWidth="1"/>
    <col min="2" max="2" width="17.28515625" style="147" customWidth="1"/>
    <col min="3" max="3" width="16.28515625" style="147" customWidth="1"/>
    <col min="4" max="5" width="15.85546875" style="147" customWidth="1"/>
    <col min="6" max="6" width="17.140625" style="148" customWidth="1"/>
    <col min="7" max="16384" width="7.85546875" style="10"/>
  </cols>
  <sheetData>
    <row r="1" spans="1:8" s="12" customFormat="1" ht="12.75">
      <c r="A1" s="1122" t="s">
        <v>272</v>
      </c>
      <c r="B1" s="1169"/>
      <c r="C1" s="1156" t="str">
        <f>'Enterprise Template'!E1</f>
        <v/>
      </c>
      <c r="D1" s="1157"/>
      <c r="E1" s="1157"/>
      <c r="F1" s="1157"/>
      <c r="G1" s="1158"/>
      <c r="H1" s="143"/>
    </row>
    <row r="2" spans="1:8" s="12" customFormat="1" ht="12.75">
      <c r="A2" s="1122" t="s">
        <v>190</v>
      </c>
      <c r="B2" s="1169"/>
      <c r="C2" s="1156" t="str">
        <f>IF('Enterprise Template'!E2="","",'Enterprise Template'!E2)</f>
        <v/>
      </c>
      <c r="D2" s="1157"/>
      <c r="E2" s="1157"/>
      <c r="F2" s="1157"/>
      <c r="G2" s="1158"/>
      <c r="H2" s="103"/>
    </row>
    <row r="3" spans="1:8" s="12" customFormat="1" ht="12.75" customHeight="1">
      <c r="A3" s="1122" t="s">
        <v>447</v>
      </c>
      <c r="B3" s="1169"/>
      <c r="C3" s="1159" t="str">
        <f>IF('Enterprise Template'!E3="","",'Enterprise Template'!E3)</f>
        <v/>
      </c>
      <c r="D3" s="1160"/>
      <c r="E3" s="1160"/>
      <c r="F3" s="1160"/>
      <c r="G3" s="1161"/>
      <c r="H3" s="103"/>
    </row>
    <row r="4" spans="1:8" s="12" customFormat="1" ht="12.75">
      <c r="A4" s="1122" t="s">
        <v>448</v>
      </c>
      <c r="B4" s="1169"/>
      <c r="C4" s="1162" t="str">
        <f>IF('Enterprise Template'!E4="","",'Enterprise Template'!E4)</f>
        <v/>
      </c>
      <c r="D4" s="1163"/>
      <c r="E4" s="1163"/>
      <c r="F4" s="1163"/>
      <c r="G4" s="1164"/>
      <c r="H4" s="103"/>
    </row>
    <row r="5" spans="1:8" s="12" customFormat="1" ht="12.75">
      <c r="A5" s="1122" t="s">
        <v>2847</v>
      </c>
      <c r="B5" s="1169"/>
      <c r="C5" s="1150" t="str">
        <f>IF('Enterprise Template'!E5="","",'Enterprise Template'!E5)</f>
        <v/>
      </c>
      <c r="D5" s="1151"/>
      <c r="E5" s="1151"/>
      <c r="F5" s="1151"/>
      <c r="G5" s="1152"/>
      <c r="H5" s="103"/>
    </row>
    <row r="6" spans="1:8" s="12" customFormat="1" ht="12.75">
      <c r="A6" s="1122" t="s">
        <v>449</v>
      </c>
      <c r="B6" s="1169"/>
      <c r="C6" s="1153" t="str">
        <f>IF('Enterprise Template'!E6="","",'Enterprise Template'!E6)</f>
        <v/>
      </c>
      <c r="D6" s="1154"/>
      <c r="E6" s="1154"/>
      <c r="F6" s="1154"/>
      <c r="G6" s="1155"/>
      <c r="H6" s="103"/>
    </row>
    <row r="7" spans="1:8" s="12" customFormat="1" ht="12.75">
      <c r="A7" s="1122" t="s">
        <v>224</v>
      </c>
      <c r="B7" s="1169"/>
      <c r="C7" s="1156" t="str">
        <f>'Enterprise Template'!E7</f>
        <v/>
      </c>
      <c r="D7" s="1157"/>
      <c r="E7" s="1157"/>
      <c r="F7" s="1157"/>
      <c r="G7" s="1158"/>
      <c r="H7" s="103"/>
    </row>
    <row r="8" spans="1:8" s="12" customFormat="1" ht="12.75">
      <c r="A8" s="73"/>
      <c r="B8" s="102"/>
      <c r="C8" s="102"/>
      <c r="D8" s="102"/>
      <c r="E8" s="102"/>
      <c r="F8" s="102"/>
      <c r="G8" s="102"/>
      <c r="H8" s="103"/>
    </row>
    <row r="9" spans="1:8" ht="12">
      <c r="A9" s="144" t="s">
        <v>298</v>
      </c>
      <c r="B9" s="145"/>
      <c r="C9" s="145"/>
      <c r="D9" s="145"/>
      <c r="E9" s="145"/>
      <c r="F9" s="145"/>
      <c r="G9" s="8"/>
    </row>
    <row r="10" spans="1:8" ht="12">
      <c r="A10" s="144" t="str">
        <f>'Enterprise Template'!$A$27:$D$27</f>
        <v>For the Year Ended June 30, 2024</v>
      </c>
      <c r="B10" s="145"/>
      <c r="C10" s="145"/>
      <c r="D10" s="145"/>
      <c r="E10" s="145"/>
      <c r="F10" s="145"/>
      <c r="G10" s="145"/>
    </row>
    <row r="11" spans="1:8" ht="18.75" customHeight="1">
      <c r="B11" s="146"/>
    </row>
    <row r="12" spans="1:8" ht="12.75">
      <c r="A12" s="13" t="s">
        <v>528</v>
      </c>
      <c r="B12" s="146"/>
    </row>
    <row r="13" spans="1:8" ht="33.75">
      <c r="A13" s="146" t="s">
        <v>299</v>
      </c>
      <c r="B13" s="149" t="s">
        <v>300</v>
      </c>
      <c r="C13" s="554" t="s">
        <v>953</v>
      </c>
      <c r="D13" s="150" t="s">
        <v>304</v>
      </c>
      <c r="E13" s="150" t="s">
        <v>305</v>
      </c>
      <c r="F13" s="438" t="s">
        <v>791</v>
      </c>
    </row>
    <row r="14" spans="1:8" ht="24" customHeight="1">
      <c r="A14" s="161"/>
      <c r="B14" s="2"/>
      <c r="C14" s="2"/>
      <c r="D14" s="2"/>
      <c r="E14" s="2"/>
      <c r="F14" s="196">
        <f t="shared" ref="F14:F19" si="0">SUM(C14:E14)-B14</f>
        <v>0</v>
      </c>
      <c r="G14" s="1382" t="s">
        <v>457</v>
      </c>
    </row>
    <row r="15" spans="1:8" ht="23.25" customHeight="1">
      <c r="A15" s="161"/>
      <c r="B15" s="2"/>
      <c r="C15" s="2"/>
      <c r="D15" s="2"/>
      <c r="E15" s="2"/>
      <c r="F15" s="196">
        <f t="shared" si="0"/>
        <v>0</v>
      </c>
      <c r="G15" s="1383"/>
    </row>
    <row r="16" spans="1:8" ht="24" customHeight="1">
      <c r="A16" s="161"/>
      <c r="B16" s="2"/>
      <c r="C16" s="2"/>
      <c r="D16" s="2"/>
      <c r="E16" s="2"/>
      <c r="F16" s="196">
        <f t="shared" si="0"/>
        <v>0</v>
      </c>
      <c r="G16" s="1383"/>
    </row>
    <row r="17" spans="1:7" ht="23.25" customHeight="1">
      <c r="A17" s="161"/>
      <c r="B17" s="2"/>
      <c r="C17" s="2"/>
      <c r="D17" s="2"/>
      <c r="E17" s="2"/>
      <c r="F17" s="196">
        <f t="shared" si="0"/>
        <v>0</v>
      </c>
      <c r="G17" s="1383"/>
    </row>
    <row r="18" spans="1:7" ht="23.25" customHeight="1">
      <c r="A18" s="161"/>
      <c r="B18" s="2"/>
      <c r="C18" s="2"/>
      <c r="D18" s="2"/>
      <c r="E18" s="2"/>
      <c r="F18" s="196">
        <f t="shared" si="0"/>
        <v>0</v>
      </c>
      <c r="G18" s="1383"/>
    </row>
    <row r="19" spans="1:7" ht="27" customHeight="1">
      <c r="A19" s="161"/>
      <c r="B19" s="2"/>
      <c r="C19" s="2"/>
      <c r="D19" s="2"/>
      <c r="E19" s="2"/>
      <c r="F19" s="196">
        <f t="shared" si="0"/>
        <v>0</v>
      </c>
      <c r="G19" s="1384"/>
    </row>
    <row r="20" spans="1:7">
      <c r="A20" s="151" t="s">
        <v>306</v>
      </c>
      <c r="B20" s="115">
        <f>-'Enterprise Template'!G252</f>
        <v>0</v>
      </c>
      <c r="C20" s="115">
        <f>'Enterprise Template'!G245</f>
        <v>0</v>
      </c>
      <c r="D20" s="162"/>
      <c r="E20" s="162"/>
      <c r="F20" s="196">
        <f>SUM(C20:E20)-B20</f>
        <v>0</v>
      </c>
      <c r="G20" s="146"/>
    </row>
    <row r="21" spans="1:7" ht="9.75" customHeight="1">
      <c r="B21" s="88"/>
      <c r="C21" s="88"/>
      <c r="D21" s="88"/>
      <c r="E21" s="88"/>
      <c r="F21" s="88"/>
    </row>
    <row r="22" spans="1:7" ht="10.5" customHeight="1">
      <c r="B22" s="88"/>
      <c r="C22" s="88"/>
      <c r="D22" s="88"/>
      <c r="E22" s="88"/>
      <c r="F22" s="88"/>
    </row>
    <row r="23" spans="1:7">
      <c r="A23" s="146" t="s">
        <v>307</v>
      </c>
      <c r="B23" s="64">
        <f>SUM(B14:B20)</f>
        <v>0</v>
      </c>
      <c r="C23" s="64">
        <f>SUM(C14:C20)</f>
        <v>0</v>
      </c>
      <c r="D23" s="64">
        <f>SUM(D14:D20)</f>
        <v>0</v>
      </c>
      <c r="E23" s="64">
        <f>SUM(E14:E20)</f>
        <v>0</v>
      </c>
      <c r="F23" s="64">
        <f>SUM(F14:F20)</f>
        <v>0</v>
      </c>
    </row>
    <row r="24" spans="1:7" ht="27.75" customHeight="1">
      <c r="B24" s="187"/>
      <c r="C24" s="187"/>
      <c r="D24" s="187"/>
      <c r="E24" s="187"/>
      <c r="F24" s="187"/>
    </row>
    <row r="25" spans="1:7">
      <c r="B25" s="148"/>
      <c r="C25" s="148"/>
      <c r="D25" s="148"/>
      <c r="E25" s="148"/>
    </row>
    <row r="26" spans="1:7" ht="12.75">
      <c r="A26" s="13" t="s">
        <v>529</v>
      </c>
      <c r="B26" s="148"/>
      <c r="C26" s="148"/>
      <c r="D26" s="148"/>
      <c r="E26" s="148"/>
    </row>
    <row r="27" spans="1:7">
      <c r="A27" s="146" t="s">
        <v>309</v>
      </c>
      <c r="B27" s="148"/>
      <c r="C27" s="148"/>
      <c r="D27" s="148"/>
      <c r="E27" s="148"/>
      <c r="F27" s="148" t="s">
        <v>310</v>
      </c>
    </row>
    <row r="28" spans="1:7">
      <c r="A28" s="1377"/>
      <c r="B28" s="1378"/>
      <c r="C28" s="1379"/>
      <c r="D28" s="148"/>
      <c r="E28" s="148"/>
      <c r="F28" s="2"/>
      <c r="G28" s="1381" t="s">
        <v>483</v>
      </c>
    </row>
    <row r="29" spans="1:7">
      <c r="A29" s="1377"/>
      <c r="B29" s="1378"/>
      <c r="C29" s="1379"/>
      <c r="D29" s="148"/>
      <c r="E29" s="148"/>
      <c r="F29" s="2"/>
      <c r="G29" s="1381"/>
    </row>
    <row r="30" spans="1:7">
      <c r="A30" s="1377"/>
      <c r="B30" s="1378"/>
      <c r="C30" s="1379"/>
      <c r="D30" s="148"/>
      <c r="E30" s="148"/>
      <c r="F30" s="2"/>
      <c r="G30" s="1381"/>
    </row>
    <row r="31" spans="1:7">
      <c r="A31" s="1380"/>
      <c r="B31" s="1378"/>
      <c r="C31" s="1379"/>
      <c r="D31" s="148"/>
      <c r="E31" s="148"/>
      <c r="F31" s="2"/>
      <c r="G31" s="1381"/>
    </row>
    <row r="32" spans="1:7" ht="17.25" customHeight="1">
      <c r="A32" s="384" t="s">
        <v>636</v>
      </c>
      <c r="B32" s="385"/>
      <c r="C32" s="385"/>
      <c r="D32" s="148"/>
      <c r="E32" s="148"/>
      <c r="F32" s="115">
        <f>SUM(F28:F31)</f>
        <v>0</v>
      </c>
      <c r="G32" s="347"/>
    </row>
    <row r="33" spans="1:7" ht="21" customHeight="1">
      <c r="A33" s="385"/>
      <c r="B33" s="385"/>
      <c r="C33" s="385"/>
      <c r="D33" s="148"/>
      <c r="E33" s="148"/>
      <c r="F33" s="162"/>
      <c r="G33" s="347"/>
    </row>
    <row r="34" spans="1:7" ht="22.5">
      <c r="A34" s="152" t="s">
        <v>315</v>
      </c>
      <c r="B34" s="148"/>
      <c r="C34" s="148"/>
      <c r="D34" s="148"/>
      <c r="E34" s="148"/>
      <c r="F34" s="2"/>
      <c r="G34" s="1381" t="s">
        <v>446</v>
      </c>
    </row>
    <row r="35" spans="1:7" ht="45" customHeight="1">
      <c r="A35" s="151" t="s">
        <v>311</v>
      </c>
      <c r="B35" s="148"/>
      <c r="C35" s="148"/>
      <c r="D35" s="148"/>
      <c r="E35" s="148"/>
      <c r="F35" s="2"/>
      <c r="G35" s="1381"/>
    </row>
    <row r="36" spans="1:7" ht="11.25" customHeight="1">
      <c r="A36" s="151" t="s">
        <v>502</v>
      </c>
      <c r="B36" s="148"/>
      <c r="C36" s="148"/>
      <c r="D36" s="148"/>
      <c r="E36" s="148"/>
      <c r="F36" s="2"/>
      <c r="G36" s="1381"/>
    </row>
    <row r="37" spans="1:7" ht="11.25" customHeight="1">
      <c r="A37" s="152" t="s">
        <v>312</v>
      </c>
      <c r="B37" s="148"/>
      <c r="C37" s="148"/>
      <c r="D37" s="148"/>
      <c r="E37" s="148"/>
      <c r="F37" s="2"/>
      <c r="G37" s="1381"/>
    </row>
    <row r="38" spans="1:7" ht="24" customHeight="1">
      <c r="A38" s="348" t="s">
        <v>637</v>
      </c>
      <c r="B38" s="148"/>
      <c r="C38" s="148"/>
      <c r="D38" s="148"/>
      <c r="E38" s="148"/>
      <c r="F38" s="115">
        <f>F32+F34+F35+F36+F37</f>
        <v>0</v>
      </c>
      <c r="G38" s="347"/>
    </row>
    <row r="39" spans="1:7" ht="17.25" customHeight="1">
      <c r="B39" s="148"/>
      <c r="C39" s="148"/>
      <c r="D39" s="148"/>
      <c r="E39" s="148"/>
      <c r="F39" s="162"/>
      <c r="G39" s="347"/>
    </row>
    <row r="40" spans="1:7" ht="25.5" customHeight="1">
      <c r="A40" s="329" t="s">
        <v>530</v>
      </c>
      <c r="B40" s="148"/>
      <c r="C40" s="148"/>
      <c r="D40" s="148"/>
      <c r="E40" s="148"/>
      <c r="F40" s="7"/>
    </row>
    <row r="41" spans="1:7">
      <c r="A41" s="152" t="s">
        <v>680</v>
      </c>
      <c r="B41" s="148"/>
      <c r="C41" s="148"/>
      <c r="D41" s="148"/>
      <c r="E41" s="148"/>
      <c r="F41" s="115">
        <f>'Enterprise Template'!G266</f>
        <v>0</v>
      </c>
      <c r="G41" s="1374" t="s">
        <v>445</v>
      </c>
    </row>
    <row r="42" spans="1:7">
      <c r="A42" s="152" t="s">
        <v>681</v>
      </c>
      <c r="B42" s="148"/>
      <c r="C42" s="148"/>
      <c r="D42" s="148"/>
      <c r="E42" s="148"/>
      <c r="F42" s="115">
        <f>'Enterprise Template'!G265</f>
        <v>0</v>
      </c>
      <c r="G42" s="1375"/>
    </row>
    <row r="43" spans="1:7">
      <c r="A43" s="152" t="s">
        <v>313</v>
      </c>
      <c r="F43" s="115">
        <f>'Enterprise Template'!G263</f>
        <v>0</v>
      </c>
      <c r="G43" s="1375"/>
    </row>
    <row r="44" spans="1:7">
      <c r="A44" s="152" t="s">
        <v>314</v>
      </c>
      <c r="F44" s="115">
        <f>'Enterprise Template'!G264</f>
        <v>0</v>
      </c>
      <c r="G44" s="1375"/>
    </row>
    <row r="45" spans="1:7">
      <c r="A45" s="152" t="s">
        <v>6</v>
      </c>
      <c r="F45" s="2"/>
      <c r="G45" s="1376"/>
    </row>
    <row r="46" spans="1:7" ht="24" customHeight="1">
      <c r="A46" s="348" t="s">
        <v>638</v>
      </c>
      <c r="F46" s="196">
        <f>SUM(F41:F45)</f>
        <v>0</v>
      </c>
    </row>
    <row r="47" spans="1:7" ht="19.5" customHeight="1">
      <c r="F47" s="187"/>
    </row>
    <row r="48" spans="1:7" ht="33" customHeight="1">
      <c r="A48" s="348" t="s">
        <v>678</v>
      </c>
      <c r="F48" s="196">
        <f>F38+F46</f>
        <v>0</v>
      </c>
    </row>
    <row r="49" spans="1:7">
      <c r="F49" s="65"/>
    </row>
    <row r="50" spans="1:7">
      <c r="A50" s="439" t="s">
        <v>792</v>
      </c>
      <c r="F50" s="115">
        <f>'Enterprise Template'!G268</f>
        <v>0</v>
      </c>
      <c r="G50" s="153"/>
    </row>
    <row r="51" spans="1:7" ht="16.5" customHeight="1" thickBot="1">
      <c r="A51" s="439" t="s">
        <v>793</v>
      </c>
      <c r="F51" s="67">
        <f>IF(SUM(F23,F48,F50)='Enterprise Template'!G269,SUM(F23,F48,F50),"ERROR")</f>
        <v>0</v>
      </c>
      <c r="G51" s="153"/>
    </row>
    <row r="52" spans="1:7" ht="9.75" customHeight="1" thickTop="1"/>
    <row r="53" spans="1:7" ht="21" customHeight="1"/>
    <row r="54" spans="1:7" ht="37.5" customHeight="1">
      <c r="A54" s="1372" t="s">
        <v>380</v>
      </c>
      <c r="B54" s="1373"/>
      <c r="C54" s="1373"/>
      <c r="E54" s="289" t="s">
        <v>440</v>
      </c>
      <c r="F54" s="285">
        <f>IFERROR(((F23+F48+F50)-'Enterprise Template'!G269),"Error")</f>
        <v>0</v>
      </c>
    </row>
    <row r="55" spans="1:7">
      <c r="A55" s="154"/>
    </row>
    <row r="56" spans="1:7">
      <c r="A56" s="154"/>
    </row>
    <row r="57" spans="1:7">
      <c r="A57" s="154"/>
    </row>
  </sheetData>
  <sheetProtection algorithmName="SHA-512" hashValue="z8gfJdtjWhAodYBsySjfYqVoqnlH4PKub8TjYXCyeHs5hyVoa/uwXJR2kt3OkZ9SJ46PCjoC0S0NcMq0LNc4tQ==" saltValue="kV9RLsJ6taZQcgjJB++DOQ==" spinCount="100000" sheet="1" objects="1" scenarios="1"/>
  <mergeCells count="23">
    <mergeCell ref="C5:G5"/>
    <mergeCell ref="C6:G6"/>
    <mergeCell ref="C7:G7"/>
    <mergeCell ref="G14:G19"/>
    <mergeCell ref="A5:B5"/>
    <mergeCell ref="A6:B6"/>
    <mergeCell ref="C1:G1"/>
    <mergeCell ref="C2:G2"/>
    <mergeCell ref="C3:G3"/>
    <mergeCell ref="C4:G4"/>
    <mergeCell ref="A1:B1"/>
    <mergeCell ref="A2:B2"/>
    <mergeCell ref="A3:B3"/>
    <mergeCell ref="A4:B4"/>
    <mergeCell ref="A54:C54"/>
    <mergeCell ref="A7:B7"/>
    <mergeCell ref="G41:G45"/>
    <mergeCell ref="A29:C29"/>
    <mergeCell ref="A31:C31"/>
    <mergeCell ref="A30:C30"/>
    <mergeCell ref="G34:G37"/>
    <mergeCell ref="A28:C28"/>
    <mergeCell ref="G28:G31"/>
  </mergeCells>
  <phoneticPr fontId="46" type="noConversion"/>
  <dataValidations xWindow="350" yWindow="231" count="9">
    <dataValidation type="whole" allowBlank="1" showErrorMessage="1" sqref="F51" xr:uid="{00000000-0002-0000-1400-000000000000}">
      <formula1>-9999999999999990</formula1>
      <formula2>9999999999999990</formula2>
    </dataValidation>
    <dataValidation type="whole" allowBlank="1" showInputMessage="1" showErrorMessage="1" sqref="F46:F48 F40" xr:uid="{00000000-0002-0000-1400-000001000000}">
      <formula1>-99999999999999900</formula1>
      <formula2>999999999999999000</formula2>
    </dataValidation>
    <dataValidation type="whole" allowBlank="1" showErrorMessage="1" error="Amount must be rounded to the nearest dollar." sqref="F50 B20:E20 F32:F33 F38:F39" xr:uid="{00000000-0002-0000-1400-000002000000}">
      <formula1>-1000000000000</formula1>
      <formula2>1000000000000</formula2>
    </dataValidation>
    <dataValidation allowBlank="1" showErrorMessage="1" sqref="G14 G28 G34" xr:uid="{00000000-0002-0000-1400-000003000000}"/>
    <dataValidation allowBlank="1" showInputMessage="1" showErrorMessage="1" promptTitle="Step 2" prompt="Record Securities Lending Transactions provided by DOA, if applicable.  The revenue should be recorded as Charges for Goods/Services." sqref="G20" xr:uid="{00000000-0002-0000-1400-000004000000}"/>
    <dataValidation type="whole" allowBlank="1" showInputMessage="1" showErrorMessage="1" sqref="F14:F24 B21:E24" xr:uid="{00000000-0002-0000-1400-000005000000}">
      <formula1>-99999999999999</formula1>
      <formula2>99999999999999</formula2>
    </dataValidation>
    <dataValidation type="whole" allowBlank="1" showInputMessage="1" showErrorMessage="1" error="Enter a whole number" sqref="F41:F44" xr:uid="{00000000-0002-0000-1400-000006000000}">
      <formula1>-999999999999999</formula1>
      <formula2>9999999999999</formula2>
    </dataValidation>
    <dataValidation type="list" allowBlank="1" showInputMessage="1" showErrorMessage="1" error="Use the drop-down list to enter identifiable segment." sqref="A14:A19" xr:uid="{00000000-0002-0000-1400-000007000000}">
      <formula1>Segments</formula1>
    </dataValidation>
    <dataValidation type="whole" allowBlank="1" showErrorMessage="1" error="Please enter a whole number." sqref="B14:E19 F28:F31 F34:F37 F45" xr:uid="{00000000-0002-0000-1400-000008000000}">
      <formula1>-9999999999999</formula1>
      <formula2>9999999999999</formula2>
    </dataValidation>
  </dataValidations>
  <pageMargins left="0.75" right="0.75" top="1" bottom="0.75" header="0.5" footer="0.5"/>
  <pageSetup scale="62"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3:R60"/>
  <sheetViews>
    <sheetView showGridLines="0" zoomScaleNormal="100" zoomScaleSheetLayoutView="100" workbookViewId="0">
      <selection activeCell="B12" sqref="B12"/>
    </sheetView>
  </sheetViews>
  <sheetFormatPr defaultColWidth="8.85546875" defaultRowHeight="12.75"/>
  <cols>
    <col min="1" max="1" width="6" style="270" customWidth="1"/>
    <col min="2" max="2" width="15.5703125" style="270" customWidth="1"/>
    <col min="3" max="3" width="28.28515625" style="270" customWidth="1"/>
    <col min="4" max="5" width="5.140625" style="270" customWidth="1"/>
    <col min="6" max="6" width="5.140625" style="270" bestFit="1" customWidth="1"/>
    <col min="7" max="7" width="13.28515625" style="270" customWidth="1"/>
    <col min="8" max="8" width="2.140625" style="270" customWidth="1"/>
    <col min="9" max="9" width="13.85546875" style="270" customWidth="1"/>
    <col min="10" max="10" width="5" style="270" customWidth="1"/>
    <col min="11" max="11" width="5.7109375" style="270" customWidth="1"/>
    <col min="12" max="12" width="17" style="270" customWidth="1"/>
    <col min="13" max="13" width="1.85546875" style="270" customWidth="1"/>
    <col min="14" max="14" width="2.140625" style="270" customWidth="1"/>
    <col min="15" max="15" width="7" style="270" customWidth="1"/>
    <col min="16" max="16" width="1.28515625" style="270" customWidth="1"/>
    <col min="17" max="17" width="8.85546875" style="270"/>
    <col min="18" max="18" width="0" style="270" hidden="1" customWidth="1"/>
    <col min="19" max="16384" width="8.85546875" style="270"/>
  </cols>
  <sheetData>
    <row r="3" spans="1:18">
      <c r="A3" s="448" t="s">
        <v>272</v>
      </c>
      <c r="C3" s="1387" t="str">
        <f>'Enterprise Template'!E1</f>
        <v/>
      </c>
      <c r="D3" s="1388"/>
      <c r="E3" s="1388"/>
      <c r="F3" s="1388"/>
      <c r="G3" s="1389"/>
    </row>
    <row r="4" spans="1:18">
      <c r="A4" s="448" t="s">
        <v>869</v>
      </c>
      <c r="C4" s="1387" t="str">
        <f>'Enterprise Template'!E7</f>
        <v/>
      </c>
      <c r="D4" s="1388"/>
      <c r="E4" s="1388"/>
      <c r="F4" s="1388"/>
      <c r="G4" s="1389"/>
    </row>
    <row r="5" spans="1:18" s="273" customFormat="1" ht="12.6" hidden="1" customHeight="1">
      <c r="A5" s="272"/>
      <c r="B5" s="449"/>
      <c r="C5" s="1390"/>
      <c r="D5" s="1391"/>
      <c r="E5" s="1391"/>
      <c r="F5" s="1391"/>
      <c r="G5" s="1392"/>
      <c r="H5" s="450"/>
      <c r="I5" s="450"/>
      <c r="J5" s="450"/>
      <c r="K5" s="450"/>
    </row>
    <row r="6" spans="1:18" s="273" customFormat="1" ht="12.6" customHeight="1">
      <c r="A6" s="272"/>
      <c r="B6" s="449"/>
      <c r="C6" s="451"/>
      <c r="D6" s="451"/>
      <c r="E6" s="451"/>
      <c r="F6" s="451"/>
      <c r="G6" s="451"/>
      <c r="H6" s="450"/>
      <c r="I6" s="450"/>
      <c r="J6" s="450"/>
      <c r="K6" s="450"/>
    </row>
    <row r="7" spans="1:18" s="452" customFormat="1">
      <c r="A7" s="448"/>
    </row>
    <row r="8" spans="1:18" s="452" customFormat="1" hidden="1">
      <c r="A8" s="448"/>
    </row>
    <row r="9" spans="1:18" ht="10.5" customHeight="1">
      <c r="A9" s="1393" t="s">
        <v>899</v>
      </c>
      <c r="B9" s="1393"/>
      <c r="C9" s="1393"/>
      <c r="D9" s="1393"/>
      <c r="E9" s="1393"/>
      <c r="F9" s="1393"/>
      <c r="G9" s="1393"/>
      <c r="H9" s="1393"/>
      <c r="I9" s="1393"/>
      <c r="J9" s="1393"/>
      <c r="K9" s="1393"/>
      <c r="L9" s="1393"/>
      <c r="M9" s="1393"/>
    </row>
    <row r="10" spans="1:18">
      <c r="A10" s="1393" t="s">
        <v>934</v>
      </c>
      <c r="B10" s="1393"/>
      <c r="C10" s="1393"/>
      <c r="D10" s="1393"/>
      <c r="E10" s="1393"/>
      <c r="F10" s="1393"/>
      <c r="G10" s="1393"/>
      <c r="H10" s="1393"/>
      <c r="I10" s="1393"/>
      <c r="J10" s="1393"/>
      <c r="K10" s="1393"/>
      <c r="L10" s="1393"/>
      <c r="M10" s="1393"/>
      <c r="R10" s="270" t="s">
        <v>454</v>
      </c>
    </row>
    <row r="11" spans="1:18">
      <c r="A11" s="453"/>
      <c r="B11" s="454"/>
      <c r="C11" s="454"/>
      <c r="D11" s="454"/>
      <c r="E11" s="454"/>
      <c r="F11" s="454"/>
      <c r="G11" s="454"/>
      <c r="H11" s="454"/>
      <c r="I11" s="454"/>
      <c r="J11" s="454"/>
      <c r="R11" s="270" t="s">
        <v>455</v>
      </c>
    </row>
    <row r="12" spans="1:18" ht="30.75" customHeight="1">
      <c r="A12" s="457" t="s">
        <v>807</v>
      </c>
      <c r="B12" s="469" t="s">
        <v>851</v>
      </c>
      <c r="C12" s="1385" t="s">
        <v>852</v>
      </c>
      <c r="D12" s="1386"/>
      <c r="E12" s="1386"/>
      <c r="F12" s="1386"/>
      <c r="G12" s="1386"/>
      <c r="H12" s="1386"/>
      <c r="I12" s="1386"/>
      <c r="J12" s="1386"/>
      <c r="K12" s="1386"/>
      <c r="L12" s="1386"/>
      <c r="M12" s="1386"/>
      <c r="R12" s="270" t="s">
        <v>806</v>
      </c>
    </row>
    <row r="13" spans="1:18">
      <c r="A13" s="457"/>
      <c r="B13" s="455"/>
      <c r="C13" s="456"/>
      <c r="D13" s="454"/>
      <c r="E13" s="454"/>
      <c r="F13" s="454"/>
      <c r="G13" s="454"/>
      <c r="H13" s="454"/>
      <c r="I13" s="454"/>
      <c r="J13" s="454"/>
    </row>
    <row r="14" spans="1:18" hidden="1">
      <c r="A14" s="457" t="s">
        <v>808</v>
      </c>
      <c r="B14" s="646" t="s">
        <v>851</v>
      </c>
      <c r="C14" s="1385"/>
      <c r="D14" s="1386"/>
      <c r="E14" s="1386"/>
      <c r="F14" s="1386"/>
      <c r="G14" s="1386"/>
      <c r="H14" s="1386"/>
      <c r="I14" s="1386"/>
      <c r="J14" s="1386"/>
      <c r="K14" s="1386"/>
      <c r="L14" s="1386"/>
      <c r="M14" s="1386"/>
    </row>
    <row r="15" spans="1:18" hidden="1">
      <c r="A15" s="457"/>
      <c r="B15" s="455"/>
      <c r="C15" s="456"/>
      <c r="D15" s="454"/>
      <c r="E15" s="454"/>
      <c r="F15" s="454"/>
      <c r="G15" s="454"/>
      <c r="H15" s="454"/>
      <c r="I15" s="454"/>
      <c r="J15" s="454"/>
    </row>
    <row r="16" spans="1:18">
      <c r="A16" s="457" t="s">
        <v>808</v>
      </c>
      <c r="B16" s="469" t="s">
        <v>851</v>
      </c>
      <c r="C16" s="1395" t="s">
        <v>809</v>
      </c>
      <c r="D16" s="1396"/>
      <c r="E16" s="1396"/>
      <c r="F16" s="1396"/>
      <c r="G16" s="1396"/>
      <c r="H16" s="1396"/>
      <c r="I16" s="1396"/>
      <c r="J16" s="1396"/>
      <c r="K16" s="1396"/>
      <c r="L16" s="1396"/>
      <c r="M16" s="1397"/>
    </row>
    <row r="17" spans="1:13">
      <c r="A17" s="457"/>
      <c r="B17" s="455"/>
      <c r="C17" s="1398" t="s">
        <v>810</v>
      </c>
      <c r="D17" s="1399"/>
      <c r="E17" s="1399"/>
      <c r="F17" s="1399"/>
      <c r="G17" s="1399"/>
      <c r="H17" s="1399"/>
      <c r="I17" s="1399"/>
      <c r="J17" s="1399"/>
      <c r="K17" s="1399"/>
      <c r="L17" s="1399"/>
      <c r="M17" s="1400"/>
    </row>
    <row r="18" spans="1:13" ht="25.5" customHeight="1">
      <c r="A18" s="457"/>
      <c r="B18" s="455"/>
      <c r="C18" s="1401" t="s">
        <v>853</v>
      </c>
      <c r="D18" s="1402"/>
      <c r="E18" s="1402"/>
      <c r="F18" s="1402"/>
      <c r="G18" s="1402"/>
      <c r="H18" s="1402"/>
      <c r="I18" s="1402"/>
      <c r="J18" s="1402"/>
      <c r="K18" s="1402"/>
      <c r="L18" s="1402"/>
      <c r="M18" s="1403"/>
    </row>
    <row r="19" spans="1:13">
      <c r="A19" s="647"/>
      <c r="B19" s="454"/>
      <c r="C19" s="454"/>
      <c r="D19" s="454"/>
      <c r="E19" s="454"/>
      <c r="F19" s="454"/>
      <c r="G19" s="454"/>
      <c r="H19" s="454"/>
      <c r="I19" s="454"/>
      <c r="J19" s="454"/>
    </row>
    <row r="20" spans="1:13" hidden="1">
      <c r="A20" s="457" t="s">
        <v>812</v>
      </c>
      <c r="B20" s="646" t="s">
        <v>851</v>
      </c>
      <c r="C20" s="1404"/>
      <c r="D20" s="1405"/>
      <c r="E20" s="1405"/>
      <c r="F20" s="1405"/>
      <c r="G20" s="1405"/>
      <c r="H20" s="1405"/>
      <c r="I20" s="1405"/>
      <c r="J20" s="1405"/>
      <c r="K20" s="1405"/>
      <c r="L20" s="1405"/>
      <c r="M20" s="1406"/>
    </row>
    <row r="21" spans="1:13" hidden="1">
      <c r="A21" s="457"/>
      <c r="B21" s="455"/>
      <c r="C21" s="455"/>
      <c r="D21" s="454"/>
      <c r="E21" s="454"/>
      <c r="F21" s="454"/>
      <c r="G21" s="454"/>
      <c r="H21" s="454"/>
      <c r="I21" s="454"/>
      <c r="J21" s="454"/>
    </row>
    <row r="22" spans="1:13" ht="27" customHeight="1">
      <c r="A22" s="457" t="s">
        <v>811</v>
      </c>
      <c r="B22" s="469" t="str">
        <f>IF(OR('Enterprise Template'!G263&lt;&gt;0,'Enterprise Template'!G264&lt;&gt;0),"Answer Required","N/A")</f>
        <v>N/A</v>
      </c>
      <c r="C22" s="1395" t="s">
        <v>813</v>
      </c>
      <c r="D22" s="1396"/>
      <c r="E22" s="1396"/>
      <c r="F22" s="1396"/>
      <c r="G22" s="1396"/>
      <c r="H22" s="1396"/>
      <c r="I22" s="1396"/>
      <c r="J22" s="1396"/>
      <c r="K22" s="1396"/>
      <c r="L22" s="1396"/>
      <c r="M22" s="1397"/>
    </row>
    <row r="23" spans="1:13">
      <c r="A23" s="457"/>
      <c r="B23" s="455"/>
      <c r="C23" s="1407" t="s">
        <v>814</v>
      </c>
      <c r="D23" s="1408"/>
      <c r="E23" s="1408"/>
      <c r="F23" s="1408"/>
      <c r="G23" s="1408"/>
      <c r="H23" s="1408"/>
      <c r="I23" s="1408"/>
      <c r="J23" s="1408"/>
      <c r="K23" s="1408"/>
      <c r="L23" s="1408"/>
      <c r="M23" s="1409"/>
    </row>
    <row r="24" spans="1:13" ht="25.5" customHeight="1">
      <c r="A24" s="457"/>
      <c r="B24" s="455"/>
      <c r="C24" s="1410" t="s">
        <v>815</v>
      </c>
      <c r="D24" s="1411"/>
      <c r="E24" s="1411"/>
      <c r="F24" s="1411"/>
      <c r="G24" s="1411"/>
      <c r="H24" s="1411"/>
      <c r="I24" s="1411"/>
      <c r="J24" s="1411"/>
      <c r="K24" s="1411"/>
      <c r="L24" s="1411"/>
      <c r="M24" s="1412"/>
    </row>
    <row r="25" spans="1:13">
      <c r="A25" s="647"/>
      <c r="B25" s="454"/>
      <c r="C25" s="454"/>
      <c r="D25" s="454"/>
      <c r="E25" s="454"/>
      <c r="F25" s="454"/>
      <c r="G25" s="454"/>
      <c r="H25" s="454"/>
      <c r="I25" s="454"/>
      <c r="J25" s="454"/>
    </row>
    <row r="26" spans="1:13" hidden="1">
      <c r="A26" s="457" t="s">
        <v>817</v>
      </c>
      <c r="B26" s="646" t="s">
        <v>851</v>
      </c>
      <c r="C26" s="1404"/>
      <c r="D26" s="1405"/>
      <c r="E26" s="1405"/>
      <c r="F26" s="1405"/>
      <c r="G26" s="1405"/>
      <c r="H26" s="1405"/>
      <c r="I26" s="1405"/>
      <c r="J26" s="1405"/>
      <c r="K26" s="1405"/>
      <c r="L26" s="1405"/>
      <c r="M26" s="1406"/>
    </row>
    <row r="27" spans="1:13" hidden="1">
      <c r="A27" s="647"/>
      <c r="B27" s="454"/>
      <c r="C27" s="454"/>
      <c r="D27" s="454"/>
      <c r="E27" s="454"/>
      <c r="F27" s="454"/>
      <c r="G27" s="454"/>
      <c r="H27" s="454"/>
      <c r="I27" s="454"/>
      <c r="J27" s="454"/>
    </row>
    <row r="28" spans="1:13">
      <c r="A28" s="457" t="s">
        <v>812</v>
      </c>
      <c r="B28" s="469" t="s">
        <v>851</v>
      </c>
      <c r="C28" s="1413" t="s">
        <v>818</v>
      </c>
      <c r="D28" s="1414"/>
      <c r="E28" s="1414"/>
      <c r="F28" s="1414"/>
      <c r="G28" s="1414"/>
      <c r="H28" s="1414"/>
      <c r="I28" s="1414"/>
      <c r="J28" s="1414"/>
      <c r="K28" s="1414"/>
      <c r="L28" s="1414"/>
      <c r="M28" s="1415"/>
    </row>
    <row r="29" spans="1:13">
      <c r="A29" s="453"/>
      <c r="B29" s="454"/>
      <c r="C29" s="454"/>
      <c r="D29" s="454"/>
      <c r="E29" s="454"/>
      <c r="F29" s="454"/>
      <c r="G29" s="454"/>
      <c r="H29" s="454"/>
      <c r="I29" s="454"/>
      <c r="J29" s="454"/>
    </row>
    <row r="30" spans="1:13" ht="28.5" customHeight="1">
      <c r="A30" s="527" t="s">
        <v>816</v>
      </c>
      <c r="B30" s="469" t="s">
        <v>851</v>
      </c>
      <c r="C30" s="1416" t="s">
        <v>928</v>
      </c>
      <c r="D30" s="1417"/>
      <c r="E30" s="1417"/>
      <c r="F30" s="1417"/>
      <c r="G30" s="1417"/>
      <c r="H30" s="1417"/>
      <c r="I30" s="1417"/>
      <c r="J30" s="1417"/>
      <c r="K30" s="1417"/>
      <c r="L30" s="1417"/>
      <c r="M30" s="1418"/>
    </row>
    <row r="31" spans="1:13" ht="41.25" customHeight="1">
      <c r="A31" s="447"/>
      <c r="C31" s="1419" t="s">
        <v>935</v>
      </c>
      <c r="D31" s="1420"/>
      <c r="E31" s="1420"/>
      <c r="F31" s="1420"/>
      <c r="G31" s="1420"/>
      <c r="H31" s="1420"/>
      <c r="I31" s="1420"/>
      <c r="J31" s="1420"/>
      <c r="K31" s="1420"/>
      <c r="L31" s="1420"/>
      <c r="M31" s="1421"/>
    </row>
    <row r="32" spans="1:13">
      <c r="A32" s="447"/>
      <c r="B32" s="454"/>
      <c r="C32" s="454"/>
      <c r="D32" s="454"/>
      <c r="E32" s="454"/>
      <c r="F32" s="454"/>
      <c r="G32" s="454"/>
      <c r="H32" s="454"/>
      <c r="I32" s="454"/>
      <c r="J32" s="454"/>
    </row>
    <row r="33" spans="1:15" ht="12.75" customHeight="1">
      <c r="H33" s="454"/>
      <c r="I33" s="454"/>
      <c r="J33" s="454"/>
      <c r="K33" s="1394"/>
      <c r="L33" s="1394"/>
      <c r="M33" s="1394"/>
      <c r="N33" s="1394"/>
      <c r="O33" s="1394"/>
    </row>
    <row r="34" spans="1:15" ht="12.75" customHeight="1">
      <c r="B34" s="271" t="s">
        <v>354</v>
      </c>
      <c r="H34" s="454"/>
      <c r="I34" s="458" t="s">
        <v>349</v>
      </c>
      <c r="J34" s="458"/>
      <c r="K34" s="1394"/>
      <c r="L34" s="1394"/>
      <c r="M34" s="1394"/>
      <c r="N34" s="1394"/>
      <c r="O34" s="1394"/>
    </row>
    <row r="35" spans="1:15">
      <c r="H35" s="454"/>
      <c r="I35" s="454"/>
      <c r="J35" s="454"/>
    </row>
    <row r="36" spans="1:15" ht="12.75" customHeight="1">
      <c r="A36" s="272"/>
      <c r="B36" s="459" t="s">
        <v>355</v>
      </c>
      <c r="C36" s="1422"/>
      <c r="D36" s="1423"/>
      <c r="E36" s="1423"/>
      <c r="F36" s="1423"/>
      <c r="G36" s="1423"/>
      <c r="H36" s="454"/>
      <c r="I36" s="460"/>
      <c r="J36" s="541"/>
      <c r="L36" s="1394" t="s">
        <v>924</v>
      </c>
      <c r="M36" s="1394"/>
      <c r="N36" s="1394"/>
      <c r="O36" s="1394"/>
    </row>
    <row r="37" spans="1:15">
      <c r="A37" s="272"/>
      <c r="B37" s="459" t="s">
        <v>356</v>
      </c>
      <c r="C37" s="1422"/>
      <c r="D37" s="1423"/>
      <c r="E37" s="1423"/>
      <c r="F37" s="1423"/>
      <c r="G37" s="1423"/>
      <c r="H37" s="454"/>
      <c r="I37" s="454"/>
      <c r="J37" s="454"/>
      <c r="L37" s="1394"/>
      <c r="M37" s="1394"/>
      <c r="N37" s="1394"/>
      <c r="O37" s="1394"/>
    </row>
    <row r="38" spans="1:15" s="273" customFormat="1" ht="12.6" customHeight="1">
      <c r="B38" s="274"/>
      <c r="H38" s="454"/>
      <c r="I38" s="454"/>
      <c r="J38" s="454"/>
      <c r="L38" s="450" t="s">
        <v>925</v>
      </c>
    </row>
    <row r="39" spans="1:15" s="273" customFormat="1" ht="13.5" customHeight="1">
      <c r="A39" s="272"/>
      <c r="B39" s="459" t="s">
        <v>355</v>
      </c>
      <c r="C39" s="1422"/>
      <c r="D39" s="1423"/>
      <c r="E39" s="1423"/>
      <c r="F39" s="1423"/>
      <c r="G39" s="1423"/>
      <c r="H39" s="454"/>
      <c r="I39" s="460"/>
      <c r="J39" s="541"/>
      <c r="K39" s="270"/>
      <c r="L39" s="1394" t="s">
        <v>924</v>
      </c>
      <c r="M39" s="1394"/>
      <c r="N39" s="1394"/>
      <c r="O39" s="1394"/>
    </row>
    <row r="40" spans="1:15" s="273" customFormat="1" ht="12.6" customHeight="1">
      <c r="A40" s="272"/>
      <c r="B40" s="459" t="s">
        <v>356</v>
      </c>
      <c r="C40" s="1422"/>
      <c r="D40" s="1423"/>
      <c r="E40" s="1423"/>
      <c r="F40" s="1423"/>
      <c r="G40" s="1423"/>
      <c r="H40" s="454"/>
      <c r="I40" s="454"/>
      <c r="J40" s="454"/>
      <c r="K40" s="270"/>
      <c r="L40" s="1394"/>
      <c r="M40" s="1394"/>
      <c r="N40" s="1394"/>
      <c r="O40" s="1394"/>
    </row>
    <row r="41" spans="1:15" s="273" customFormat="1" ht="12.6" customHeight="1">
      <c r="B41" s="274"/>
      <c r="H41" s="454"/>
      <c r="I41" s="454"/>
      <c r="J41" s="454"/>
      <c r="L41" s="450" t="s">
        <v>925</v>
      </c>
    </row>
    <row r="42" spans="1:15" s="273" customFormat="1" ht="13.5" customHeight="1">
      <c r="A42" s="272"/>
      <c r="B42" s="459" t="s">
        <v>355</v>
      </c>
      <c r="C42" s="1422"/>
      <c r="D42" s="1423"/>
      <c r="E42" s="1423"/>
      <c r="F42" s="1423"/>
      <c r="G42" s="1423"/>
      <c r="H42" s="454"/>
      <c r="I42" s="460"/>
      <c r="J42" s="541"/>
      <c r="K42" s="270"/>
      <c r="L42" s="1394" t="s">
        <v>926</v>
      </c>
      <c r="M42" s="1394"/>
      <c r="N42" s="1394"/>
      <c r="O42" s="1394"/>
    </row>
    <row r="43" spans="1:15" s="273" customFormat="1" ht="12.6" customHeight="1">
      <c r="A43" s="272"/>
      <c r="B43" s="459" t="s">
        <v>356</v>
      </c>
      <c r="C43" s="1422"/>
      <c r="D43" s="1423"/>
      <c r="E43" s="1423"/>
      <c r="F43" s="1423"/>
      <c r="G43" s="1423"/>
      <c r="H43" s="454"/>
      <c r="I43" s="454"/>
      <c r="J43" s="454"/>
      <c r="K43" s="270"/>
      <c r="L43" s="1394"/>
      <c r="M43" s="1394"/>
      <c r="N43" s="1394"/>
      <c r="O43" s="1394"/>
    </row>
    <row r="44" spans="1:15" s="273" customFormat="1" ht="12.6" customHeight="1">
      <c r="A44" s="270"/>
      <c r="B44" s="270"/>
      <c r="C44" s="270"/>
      <c r="D44" s="270"/>
      <c r="E44" s="270"/>
      <c r="F44" s="270"/>
      <c r="G44" s="270"/>
      <c r="H44" s="454"/>
      <c r="I44" s="454"/>
      <c r="J44" s="454"/>
      <c r="L44" s="450" t="s">
        <v>925</v>
      </c>
    </row>
    <row r="45" spans="1:15" s="273" customFormat="1" ht="13.5" customHeight="1">
      <c r="A45" s="272"/>
      <c r="B45" s="459" t="s">
        <v>355</v>
      </c>
      <c r="C45" s="1422"/>
      <c r="D45" s="1423"/>
      <c r="E45" s="1423"/>
      <c r="F45" s="1423"/>
      <c r="G45" s="1423"/>
      <c r="H45" s="454"/>
      <c r="I45" s="460"/>
      <c r="J45" s="541"/>
      <c r="K45" s="270"/>
      <c r="L45" s="1394" t="s">
        <v>924</v>
      </c>
      <c r="M45" s="1394"/>
      <c r="N45" s="1394"/>
      <c r="O45" s="1394"/>
    </row>
    <row r="46" spans="1:15">
      <c r="A46" s="272"/>
      <c r="B46" s="459" t="s">
        <v>356</v>
      </c>
      <c r="C46" s="1422"/>
      <c r="D46" s="1423"/>
      <c r="E46" s="1423"/>
      <c r="F46" s="1423"/>
      <c r="G46" s="1423"/>
      <c r="H46" s="454"/>
      <c r="I46" s="454"/>
      <c r="J46" s="454"/>
      <c r="L46" s="1394"/>
      <c r="M46" s="1394"/>
      <c r="N46" s="1394"/>
      <c r="O46" s="1394"/>
    </row>
    <row r="47" spans="1:15" s="273" customFormat="1" ht="12.6" customHeight="1">
      <c r="A47" s="270"/>
      <c r="B47" s="270"/>
      <c r="C47" s="270"/>
      <c r="D47" s="270"/>
      <c r="E47" s="270"/>
      <c r="F47" s="270"/>
      <c r="G47" s="270"/>
      <c r="H47" s="454"/>
      <c r="I47" s="454"/>
      <c r="J47" s="454"/>
      <c r="L47" s="450" t="s">
        <v>925</v>
      </c>
    </row>
    <row r="48" spans="1:15" s="273" customFormat="1" ht="13.5" customHeight="1">
      <c r="A48" s="270"/>
      <c r="B48" s="271" t="s">
        <v>357</v>
      </c>
      <c r="C48" s="270"/>
      <c r="D48" s="270"/>
      <c r="E48" s="270"/>
      <c r="F48" s="270"/>
      <c r="G48" s="270"/>
      <c r="H48" s="454"/>
      <c r="I48" s="458" t="s">
        <v>349</v>
      </c>
      <c r="J48" s="458"/>
      <c r="L48" s="450"/>
    </row>
    <row r="49" spans="1:15">
      <c r="H49" s="454"/>
      <c r="I49" s="454"/>
      <c r="J49" s="454"/>
    </row>
    <row r="50" spans="1:15">
      <c r="A50" s="272"/>
      <c r="B50" s="459" t="s">
        <v>355</v>
      </c>
      <c r="C50" s="1422"/>
      <c r="D50" s="1423"/>
      <c r="E50" s="1423"/>
      <c r="F50" s="1423"/>
      <c r="G50" s="1423"/>
      <c r="H50" s="454"/>
      <c r="I50" s="460"/>
      <c r="J50" s="541"/>
      <c r="L50" s="1394" t="s">
        <v>819</v>
      </c>
      <c r="M50" s="1394"/>
      <c r="N50" s="1394"/>
      <c r="O50" s="1394"/>
    </row>
    <row r="51" spans="1:15">
      <c r="A51" s="272"/>
      <c r="B51" s="459" t="s">
        <v>356</v>
      </c>
      <c r="C51" s="1422"/>
      <c r="D51" s="1423"/>
      <c r="E51" s="1423"/>
      <c r="F51" s="1423"/>
      <c r="G51" s="1423"/>
      <c r="H51" s="454"/>
      <c r="I51" s="454"/>
      <c r="J51" s="454"/>
      <c r="L51" s="1394"/>
      <c r="M51" s="1394"/>
      <c r="N51" s="1394"/>
      <c r="O51" s="1394"/>
    </row>
    <row r="52" spans="1:15" s="273" customFormat="1" ht="12.6" customHeight="1">
      <c r="B52" s="274"/>
      <c r="H52" s="454"/>
      <c r="I52" s="454"/>
      <c r="J52" s="454"/>
      <c r="L52" s="450"/>
    </row>
    <row r="53" spans="1:15" s="273" customFormat="1" ht="13.5" customHeight="1">
      <c r="A53" s="272"/>
      <c r="B53" s="459" t="s">
        <v>355</v>
      </c>
      <c r="C53" s="1422"/>
      <c r="D53" s="1423"/>
      <c r="E53" s="1423"/>
      <c r="F53" s="1423"/>
      <c r="G53" s="1423"/>
      <c r="H53" s="454"/>
      <c r="I53" s="460"/>
      <c r="J53" s="541"/>
      <c r="K53" s="270"/>
      <c r="L53" s="1394" t="s">
        <v>819</v>
      </c>
      <c r="M53" s="1394"/>
      <c r="N53" s="1394"/>
      <c r="O53" s="1394"/>
    </row>
    <row r="54" spans="1:15" s="273" customFormat="1" ht="12.6" customHeight="1">
      <c r="A54" s="272"/>
      <c r="B54" s="459" t="s">
        <v>356</v>
      </c>
      <c r="C54" s="1422"/>
      <c r="D54" s="1423"/>
      <c r="E54" s="1423"/>
      <c r="F54" s="1423"/>
      <c r="G54" s="1423"/>
      <c r="H54" s="454"/>
      <c r="I54" s="454"/>
      <c r="J54" s="454"/>
      <c r="K54" s="270"/>
      <c r="L54" s="1394"/>
      <c r="M54" s="1394"/>
      <c r="N54" s="1394"/>
      <c r="O54" s="1394"/>
    </row>
    <row r="55" spans="1:15" s="273" customFormat="1" ht="12.6" customHeight="1">
      <c r="B55" s="274"/>
      <c r="H55" s="454"/>
      <c r="I55" s="454"/>
      <c r="J55" s="454"/>
      <c r="L55" s="450"/>
    </row>
    <row r="56" spans="1:15" s="273" customFormat="1" ht="13.5" customHeight="1">
      <c r="A56" s="272"/>
      <c r="B56" s="459" t="s">
        <v>355</v>
      </c>
      <c r="C56" s="1422"/>
      <c r="D56" s="1423"/>
      <c r="E56" s="1423"/>
      <c r="F56" s="1423"/>
      <c r="G56" s="1423"/>
      <c r="H56" s="454"/>
      <c r="I56" s="460"/>
      <c r="J56" s="541"/>
      <c r="K56" s="270"/>
      <c r="L56" s="1394" t="s">
        <v>819</v>
      </c>
      <c r="M56" s="1394"/>
      <c r="N56" s="1394"/>
      <c r="O56" s="1394"/>
    </row>
    <row r="57" spans="1:15" s="273" customFormat="1" ht="12.6" customHeight="1">
      <c r="A57" s="272"/>
      <c r="B57" s="459" t="s">
        <v>356</v>
      </c>
      <c r="C57" s="1422"/>
      <c r="D57" s="1423"/>
      <c r="E57" s="1423"/>
      <c r="F57" s="1423"/>
      <c r="G57" s="1423"/>
      <c r="H57" s="454"/>
      <c r="I57" s="454"/>
      <c r="J57" s="454"/>
      <c r="K57" s="270"/>
      <c r="L57" s="1394"/>
      <c r="M57" s="1394"/>
      <c r="N57" s="1394"/>
      <c r="O57" s="1394"/>
    </row>
    <row r="58" spans="1:15" s="273" customFormat="1" ht="12.6" customHeight="1">
      <c r="A58" s="270"/>
      <c r="B58" s="270"/>
      <c r="C58" s="270"/>
      <c r="D58" s="270"/>
      <c r="E58" s="270"/>
      <c r="F58" s="270"/>
      <c r="G58" s="270"/>
      <c r="H58" s="454"/>
      <c r="I58" s="454"/>
      <c r="J58" s="454"/>
      <c r="L58" s="450"/>
    </row>
    <row r="59" spans="1:15" s="273" customFormat="1" ht="13.5" customHeight="1">
      <c r="A59" s="272"/>
      <c r="B59" s="459" t="s">
        <v>355</v>
      </c>
      <c r="C59" s="1422"/>
      <c r="D59" s="1423"/>
      <c r="E59" s="1423"/>
      <c r="F59" s="1423"/>
      <c r="G59" s="1423"/>
      <c r="H59" s="454"/>
      <c r="I59" s="460"/>
      <c r="J59" s="541"/>
      <c r="K59" s="270"/>
      <c r="L59" s="1394" t="s">
        <v>819</v>
      </c>
      <c r="M59" s="1394"/>
      <c r="N59" s="1394"/>
      <c r="O59" s="1394"/>
    </row>
    <row r="60" spans="1:15">
      <c r="A60" s="272"/>
      <c r="B60" s="459" t="s">
        <v>356</v>
      </c>
      <c r="C60" s="1422"/>
      <c r="D60" s="1423"/>
      <c r="E60" s="1423"/>
      <c r="F60" s="1423"/>
      <c r="G60" s="1423"/>
      <c r="H60" s="454"/>
      <c r="I60" s="454"/>
      <c r="J60" s="454"/>
      <c r="L60" s="1394"/>
      <c r="M60" s="1394"/>
      <c r="N60" s="1394"/>
      <c r="O60" s="1394"/>
    </row>
  </sheetData>
  <sheetProtection algorithmName="SHA-512" hashValue="x4+LILXUrqkyvO/bpH0Mph5p+OueOUwzmkvDhmJOReOAImSY+gHIui/Ce3G/VRaVQBrshSRJVRLu6+3W+ap0jA==" saltValue="vGRF82uNN71882NFDrcnhg==" spinCount="100000" sheet="1" objects="1" scenarios="1"/>
  <mergeCells count="43">
    <mergeCell ref="C56:G56"/>
    <mergeCell ref="L56:O57"/>
    <mergeCell ref="C57:G57"/>
    <mergeCell ref="C59:G59"/>
    <mergeCell ref="L59:O60"/>
    <mergeCell ref="C60:G60"/>
    <mergeCell ref="C50:G50"/>
    <mergeCell ref="L50:O51"/>
    <mergeCell ref="C51:G51"/>
    <mergeCell ref="C53:G53"/>
    <mergeCell ref="L53:O54"/>
    <mergeCell ref="C54:G54"/>
    <mergeCell ref="C42:G42"/>
    <mergeCell ref="L42:O43"/>
    <mergeCell ref="C43:G43"/>
    <mergeCell ref="C45:G45"/>
    <mergeCell ref="L45:O46"/>
    <mergeCell ref="C46:G46"/>
    <mergeCell ref="C36:G36"/>
    <mergeCell ref="L36:O37"/>
    <mergeCell ref="C37:G37"/>
    <mergeCell ref="C39:G39"/>
    <mergeCell ref="L39:O40"/>
    <mergeCell ref="C40:G40"/>
    <mergeCell ref="K33:O34"/>
    <mergeCell ref="C16:M16"/>
    <mergeCell ref="C17:M17"/>
    <mergeCell ref="C18:M18"/>
    <mergeCell ref="C20:M20"/>
    <mergeCell ref="C22:M22"/>
    <mergeCell ref="C23:M23"/>
    <mergeCell ref="C24:M24"/>
    <mergeCell ref="C26:M26"/>
    <mergeCell ref="C28:M28"/>
    <mergeCell ref="C30:M30"/>
    <mergeCell ref="C31:M31"/>
    <mergeCell ref="C14:M14"/>
    <mergeCell ref="C12:M12"/>
    <mergeCell ref="C3:G3"/>
    <mergeCell ref="C4:G4"/>
    <mergeCell ref="C5:G5"/>
    <mergeCell ref="A9:M9"/>
    <mergeCell ref="A10:M10"/>
  </mergeCells>
  <conditionalFormatting sqref="B12 B16 B20 B22 B26 B28">
    <cfRule type="cellIs" dxfId="10" priority="11" operator="equal">
      <formula>"Error"</formula>
    </cfRule>
  </conditionalFormatting>
  <conditionalFormatting sqref="B12">
    <cfRule type="cellIs" dxfId="9" priority="9" operator="equal">
      <formula>"Answer Required"</formula>
    </cfRule>
  </conditionalFormatting>
  <conditionalFormatting sqref="B14">
    <cfRule type="cellIs" dxfId="8" priority="1" operator="equal">
      <formula>"Answer Required"</formula>
    </cfRule>
    <cfRule type="cellIs" dxfId="7" priority="2" operator="equal">
      <formula>"Error"</formula>
    </cfRule>
  </conditionalFormatting>
  <conditionalFormatting sqref="B16">
    <cfRule type="cellIs" dxfId="6" priority="8" operator="equal">
      <formula>"Answer Required"</formula>
    </cfRule>
  </conditionalFormatting>
  <conditionalFormatting sqref="B20">
    <cfRule type="cellIs" dxfId="5" priority="7" operator="equal">
      <formula>"Answer Required"</formula>
    </cfRule>
  </conditionalFormatting>
  <conditionalFormatting sqref="B22">
    <cfRule type="cellIs" dxfId="4" priority="6" operator="equal">
      <formula>"Answer Required"</formula>
    </cfRule>
  </conditionalFormatting>
  <conditionalFormatting sqref="B26">
    <cfRule type="cellIs" dxfId="3" priority="5" operator="equal">
      <formula>"Answer Required"</formula>
    </cfRule>
  </conditionalFormatting>
  <conditionalFormatting sqref="B28">
    <cfRule type="cellIs" dxfId="2" priority="4" operator="equal">
      <formula>"Answer Required"</formula>
    </cfRule>
  </conditionalFormatting>
  <conditionalFormatting sqref="B30">
    <cfRule type="cellIs" dxfId="1" priority="3" operator="equal">
      <formula>"Answer Required"</formula>
    </cfRule>
    <cfRule type="cellIs" dxfId="0" priority="10" operator="equal">
      <formula>"Error"</formula>
    </cfRule>
  </conditionalFormatting>
  <dataValidations count="1">
    <dataValidation type="list" allowBlank="1" showInputMessage="1" showErrorMessage="1" error="Please use the drop-down to select Yes or No." sqref="B30 B12 B16 B20 B14 B26 B28 B22" xr:uid="{00000000-0002-0000-1500-000000000000}">
      <formula1>$R$10:$R$11</formula1>
    </dataValidation>
  </dataValidations>
  <pageMargins left="0.75" right="0.5" top="0.56999999999999995" bottom="0.37" header="0.19" footer="0.17"/>
  <pageSetup scale="70" orientation="portrait" cellComments="asDisplayed" r:id="rId1"/>
  <headerFooter alignWithMargins="0">
    <oddHeader>&amp;C&amp;"Times New Roman,Bold"Attachment 10
Enterprise Fund Financial Statement Template
&amp;A</oddHeader>
    <oddFooter>&amp;L&amp;"Times New Roman,Regular"&amp;F \ &amp;A&amp;R&amp;"Times New Roman,Regular"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9525</xdr:colOff>
                    <xdr:row>35</xdr:row>
                    <xdr:rowOff>19050</xdr:rowOff>
                  </from>
                  <to>
                    <xdr:col>10</xdr:col>
                    <xdr:colOff>314325</xdr:colOff>
                    <xdr:row>36</xdr:row>
                    <xdr:rowOff>114300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10</xdr:col>
                    <xdr:colOff>9525</xdr:colOff>
                    <xdr:row>38</xdr:row>
                    <xdr:rowOff>19050</xdr:rowOff>
                  </from>
                  <to>
                    <xdr:col>10</xdr:col>
                    <xdr:colOff>314325</xdr:colOff>
                    <xdr:row>39</xdr:row>
                    <xdr:rowOff>104775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10</xdr:col>
                    <xdr:colOff>9525</xdr:colOff>
                    <xdr:row>41</xdr:row>
                    <xdr:rowOff>19050</xdr:rowOff>
                  </from>
                  <to>
                    <xdr:col>10</xdr:col>
                    <xdr:colOff>314325</xdr:colOff>
                    <xdr:row>42</xdr:row>
                    <xdr:rowOff>104775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10</xdr:col>
                    <xdr:colOff>9525</xdr:colOff>
                    <xdr:row>44</xdr:row>
                    <xdr:rowOff>19050</xdr:rowOff>
                  </from>
                  <to>
                    <xdr:col>10</xdr:col>
                    <xdr:colOff>314325</xdr:colOff>
                    <xdr:row>45</xdr:row>
                    <xdr:rowOff>104775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9525</xdr:colOff>
                    <xdr:row>49</xdr:row>
                    <xdr:rowOff>19050</xdr:rowOff>
                  </from>
                  <to>
                    <xdr:col>10</xdr:col>
                    <xdr:colOff>314325</xdr:colOff>
                    <xdr:row>50</xdr:row>
                    <xdr:rowOff>114300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10</xdr:col>
                    <xdr:colOff>9525</xdr:colOff>
                    <xdr:row>52</xdr:row>
                    <xdr:rowOff>19050</xdr:rowOff>
                  </from>
                  <to>
                    <xdr:col>10</xdr:col>
                    <xdr:colOff>314325</xdr:colOff>
                    <xdr:row>53</xdr:row>
                    <xdr:rowOff>104775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9525</xdr:colOff>
                    <xdr:row>55</xdr:row>
                    <xdr:rowOff>19050</xdr:rowOff>
                  </from>
                  <to>
                    <xdr:col>10</xdr:col>
                    <xdr:colOff>314325</xdr:colOff>
                    <xdr:row>56</xdr:row>
                    <xdr:rowOff>104775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10</xdr:col>
                    <xdr:colOff>9525</xdr:colOff>
                    <xdr:row>58</xdr:row>
                    <xdr:rowOff>19050</xdr:rowOff>
                  </from>
                  <to>
                    <xdr:col>10</xdr:col>
                    <xdr:colOff>314325</xdr:colOff>
                    <xdr:row>59</xdr:row>
                    <xdr:rowOff>104775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H95"/>
  <sheetViews>
    <sheetView showGridLines="0" topLeftCell="A4" zoomScale="80" zoomScaleNormal="80" workbookViewId="0">
      <selection activeCell="A10" sqref="A10"/>
    </sheetView>
  </sheetViews>
  <sheetFormatPr defaultColWidth="9.140625" defaultRowHeight="12.75"/>
  <cols>
    <col min="1" max="1" width="11.140625" style="12" customWidth="1"/>
    <col min="2" max="2" width="29.85546875" style="12" customWidth="1"/>
    <col min="3" max="4" width="8.7109375" style="12" customWidth="1"/>
    <col min="5" max="6" width="24.7109375" style="12" customWidth="1"/>
    <col min="7" max="7" width="12.85546875" style="12" customWidth="1"/>
    <col min="8" max="16384" width="9.140625" style="12"/>
  </cols>
  <sheetData>
    <row r="1" spans="1:8">
      <c r="A1" s="1122" t="s">
        <v>272</v>
      </c>
      <c r="B1" s="1169"/>
      <c r="C1" s="1424" t="str">
        <f>'Enterprise Template'!E1</f>
        <v/>
      </c>
      <c r="D1" s="1425"/>
      <c r="E1" s="1425"/>
      <c r="F1" s="1426"/>
      <c r="G1" s="166"/>
    </row>
    <row r="2" spans="1:8" ht="13.5" customHeight="1">
      <c r="A2" s="1122" t="s">
        <v>190</v>
      </c>
      <c r="B2" s="1169"/>
      <c r="C2" s="1424" t="str">
        <f>IF('Enterprise Template'!E2="","",'Enterprise Template'!E2)</f>
        <v/>
      </c>
      <c r="D2" s="1425"/>
      <c r="E2" s="1425"/>
      <c r="F2" s="1426"/>
      <c r="G2" s="166"/>
    </row>
    <row r="3" spans="1:8">
      <c r="A3" s="1122" t="s">
        <v>447</v>
      </c>
      <c r="B3" s="1169"/>
      <c r="C3" s="1427" t="str">
        <f>IF('Enterprise Template'!E3="","",'Enterprise Template'!E3)</f>
        <v/>
      </c>
      <c r="D3" s="1428"/>
      <c r="E3" s="1428"/>
      <c r="F3" s="1429"/>
      <c r="G3" s="166"/>
    </row>
    <row r="4" spans="1:8">
      <c r="A4" s="1122" t="s">
        <v>448</v>
      </c>
      <c r="B4" s="1169"/>
      <c r="C4" s="1162" t="str">
        <f>IF('Enterprise Template'!E4="","",'Enterprise Template'!E4)</f>
        <v/>
      </c>
      <c r="D4" s="1163"/>
      <c r="E4" s="1163"/>
      <c r="F4" s="1164"/>
      <c r="G4" s="166"/>
    </row>
    <row r="5" spans="1:8">
      <c r="A5" s="1122" t="s">
        <v>2847</v>
      </c>
      <c r="B5" s="1169"/>
      <c r="C5" s="1430" t="str">
        <f>IF('Enterprise Template'!E5="","",'Enterprise Template'!E5)</f>
        <v/>
      </c>
      <c r="D5" s="1431"/>
      <c r="E5" s="1431"/>
      <c r="F5" s="1432"/>
      <c r="G5" s="166"/>
    </row>
    <row r="6" spans="1:8">
      <c r="A6" s="1122" t="s">
        <v>449</v>
      </c>
      <c r="B6" s="1169"/>
      <c r="C6" s="1153" t="str">
        <f>IF('Enterprise Template'!E6="","",'Enterprise Template'!E6)</f>
        <v/>
      </c>
      <c r="D6" s="1154"/>
      <c r="E6" s="1154"/>
      <c r="F6" s="1155"/>
      <c r="G6" s="166"/>
    </row>
    <row r="7" spans="1:8">
      <c r="A7" s="1122" t="s">
        <v>224</v>
      </c>
      <c r="B7" s="1169"/>
      <c r="C7" s="1424" t="str">
        <f>'Enterprise Template'!E7</f>
        <v/>
      </c>
      <c r="D7" s="1425"/>
      <c r="E7" s="1425"/>
      <c r="F7" s="1426"/>
      <c r="G7" s="166"/>
    </row>
    <row r="9" spans="1:8" ht="26.25" customHeight="1">
      <c r="A9" s="155" t="s">
        <v>485</v>
      </c>
      <c r="B9" s="155" t="s">
        <v>486</v>
      </c>
      <c r="C9" s="155" t="s">
        <v>522</v>
      </c>
      <c r="D9" s="155" t="s">
        <v>523</v>
      </c>
      <c r="E9" s="155" t="s">
        <v>524</v>
      </c>
      <c r="F9" s="155" t="s">
        <v>525</v>
      </c>
      <c r="H9" s="156"/>
    </row>
    <row r="10" spans="1:8">
      <c r="A10" s="307"/>
      <c r="B10" s="3"/>
      <c r="C10" s="396"/>
      <c r="D10" s="4"/>
      <c r="E10" s="362"/>
      <c r="F10" s="362"/>
    </row>
    <row r="11" spans="1:8">
      <c r="A11" s="307"/>
      <c r="B11" s="3"/>
      <c r="C11" s="4"/>
      <c r="D11" s="4"/>
      <c r="E11" s="362"/>
      <c r="F11" s="362"/>
    </row>
    <row r="12" spans="1:8">
      <c r="A12" s="307"/>
      <c r="B12" s="3"/>
      <c r="C12" s="4"/>
      <c r="D12" s="4"/>
      <c r="E12" s="362"/>
      <c r="F12" s="362"/>
    </row>
    <row r="13" spans="1:8">
      <c r="A13" s="307"/>
      <c r="B13" s="3"/>
      <c r="C13" s="4"/>
      <c r="D13" s="4"/>
      <c r="E13" s="362"/>
      <c r="F13" s="362"/>
    </row>
    <row r="14" spans="1:8">
      <c r="A14" s="307"/>
      <c r="B14" s="3"/>
      <c r="C14" s="4"/>
      <c r="D14" s="4"/>
      <c r="E14" s="362"/>
      <c r="F14" s="362"/>
    </row>
    <row r="15" spans="1:8">
      <c r="A15" s="307"/>
      <c r="B15" s="3"/>
      <c r="C15" s="4"/>
      <c r="D15" s="4"/>
      <c r="E15" s="362"/>
      <c r="F15" s="362"/>
    </row>
    <row r="16" spans="1:8">
      <c r="A16" s="307"/>
      <c r="B16" s="3"/>
      <c r="C16" s="4"/>
      <c r="D16" s="4"/>
      <c r="E16" s="362"/>
      <c r="F16" s="362"/>
    </row>
    <row r="17" spans="1:6">
      <c r="A17" s="307"/>
      <c r="B17" s="3"/>
      <c r="C17" s="4"/>
      <c r="D17" s="4"/>
      <c r="E17" s="362"/>
      <c r="F17" s="362"/>
    </row>
    <row r="18" spans="1:6">
      <c r="A18" s="307"/>
      <c r="B18" s="3"/>
      <c r="C18" s="4"/>
      <c r="D18" s="4"/>
      <c r="E18" s="362"/>
      <c r="F18" s="362"/>
    </row>
    <row r="19" spans="1:6">
      <c r="A19" s="307"/>
      <c r="B19" s="3"/>
      <c r="C19" s="4"/>
      <c r="D19" s="4"/>
      <c r="E19" s="362"/>
      <c r="F19" s="362"/>
    </row>
    <row r="20" spans="1:6">
      <c r="A20" s="307"/>
      <c r="B20" s="3"/>
      <c r="C20" s="4"/>
      <c r="D20" s="4"/>
      <c r="E20" s="362"/>
      <c r="F20" s="362"/>
    </row>
    <row r="21" spans="1:6">
      <c r="A21" s="307"/>
      <c r="B21" s="3"/>
      <c r="C21" s="4"/>
      <c r="D21" s="4"/>
      <c r="E21" s="362"/>
      <c r="F21" s="362"/>
    </row>
    <row r="22" spans="1:6">
      <c r="A22" s="307"/>
      <c r="B22" s="3"/>
      <c r="C22" s="4"/>
      <c r="D22" s="4"/>
      <c r="E22" s="362"/>
      <c r="F22" s="362"/>
    </row>
    <row r="23" spans="1:6">
      <c r="A23" s="307"/>
      <c r="B23" s="3"/>
      <c r="C23" s="4"/>
      <c r="D23" s="4"/>
      <c r="E23" s="362"/>
      <c r="F23" s="362"/>
    </row>
    <row r="24" spans="1:6">
      <c r="A24" s="307"/>
      <c r="B24" s="3"/>
      <c r="C24" s="4"/>
      <c r="D24" s="4"/>
      <c r="E24" s="362"/>
      <c r="F24" s="362"/>
    </row>
    <row r="25" spans="1:6">
      <c r="A25" s="307"/>
      <c r="B25" s="3"/>
      <c r="C25" s="4"/>
      <c r="D25" s="4"/>
      <c r="E25" s="362"/>
      <c r="F25" s="362"/>
    </row>
    <row r="26" spans="1:6">
      <c r="A26" s="307"/>
      <c r="B26" s="3"/>
      <c r="C26" s="4"/>
      <c r="D26" s="4"/>
      <c r="E26" s="362"/>
      <c r="F26" s="362"/>
    </row>
    <row r="27" spans="1:6">
      <c r="A27" s="307"/>
      <c r="B27" s="3"/>
      <c r="C27" s="4"/>
      <c r="D27" s="4"/>
      <c r="E27" s="362"/>
      <c r="F27" s="362"/>
    </row>
    <row r="28" spans="1:6">
      <c r="A28" s="307"/>
      <c r="B28" s="3"/>
      <c r="C28" s="4"/>
      <c r="D28" s="4"/>
      <c r="E28" s="362"/>
      <c r="F28" s="362"/>
    </row>
    <row r="29" spans="1:6">
      <c r="A29" s="307"/>
      <c r="B29" s="3"/>
      <c r="C29" s="4"/>
      <c r="D29" s="4"/>
      <c r="E29" s="362"/>
      <c r="F29" s="362"/>
    </row>
    <row r="30" spans="1:6">
      <c r="A30" s="307"/>
      <c r="B30" s="3"/>
      <c r="C30" s="4"/>
      <c r="D30" s="4"/>
      <c r="E30" s="362"/>
      <c r="F30" s="362"/>
    </row>
    <row r="31" spans="1:6">
      <c r="A31" s="307"/>
      <c r="B31" s="3"/>
      <c r="C31" s="4"/>
      <c r="D31" s="4"/>
      <c r="E31" s="362"/>
      <c r="F31" s="362"/>
    </row>
    <row r="32" spans="1:6">
      <c r="A32" s="307"/>
      <c r="B32" s="3"/>
      <c r="C32" s="4"/>
      <c r="D32" s="4"/>
      <c r="E32" s="362"/>
      <c r="F32" s="362"/>
    </row>
    <row r="33" spans="1:6">
      <c r="A33" s="307"/>
      <c r="B33" s="3"/>
      <c r="C33" s="4"/>
      <c r="D33" s="4"/>
      <c r="E33" s="362"/>
      <c r="F33" s="362"/>
    </row>
    <row r="34" spans="1:6">
      <c r="A34" s="307"/>
      <c r="B34" s="3"/>
      <c r="C34" s="4"/>
      <c r="D34" s="4"/>
      <c r="E34" s="362"/>
      <c r="F34" s="362"/>
    </row>
    <row r="35" spans="1:6">
      <c r="A35" s="307"/>
      <c r="B35" s="3"/>
      <c r="C35" s="4"/>
      <c r="D35" s="4"/>
      <c r="E35" s="362"/>
      <c r="F35" s="362"/>
    </row>
    <row r="36" spans="1:6">
      <c r="A36" s="307"/>
      <c r="B36" s="3"/>
      <c r="C36" s="4"/>
      <c r="D36" s="4"/>
      <c r="E36" s="362"/>
      <c r="F36" s="362"/>
    </row>
    <row r="37" spans="1:6">
      <c r="A37" s="307"/>
      <c r="B37" s="3"/>
      <c r="C37" s="4"/>
      <c r="D37" s="4"/>
      <c r="E37" s="362"/>
      <c r="F37" s="362"/>
    </row>
    <row r="38" spans="1:6">
      <c r="A38" s="307"/>
      <c r="B38" s="3"/>
      <c r="C38" s="4"/>
      <c r="D38" s="4"/>
      <c r="E38" s="362"/>
      <c r="F38" s="362"/>
    </row>
    <row r="39" spans="1:6">
      <c r="A39" s="307"/>
      <c r="B39" s="3"/>
      <c r="C39" s="4"/>
      <c r="D39" s="4"/>
      <c r="E39" s="362"/>
      <c r="F39" s="362"/>
    </row>
    <row r="40" spans="1:6">
      <c r="A40" s="307"/>
      <c r="B40" s="3"/>
      <c r="C40" s="4"/>
      <c r="D40" s="4"/>
      <c r="E40" s="362"/>
      <c r="F40" s="362"/>
    </row>
    <row r="41" spans="1:6">
      <c r="A41" s="307"/>
      <c r="B41" s="3"/>
      <c r="C41" s="4"/>
      <c r="D41" s="4"/>
      <c r="E41" s="362"/>
      <c r="F41" s="362"/>
    </row>
    <row r="42" spans="1:6">
      <c r="A42" s="307"/>
      <c r="B42" s="3"/>
      <c r="C42" s="4"/>
      <c r="D42" s="4"/>
      <c r="E42" s="362"/>
      <c r="F42" s="362"/>
    </row>
    <row r="43" spans="1:6">
      <c r="A43" s="307"/>
      <c r="B43" s="3"/>
      <c r="C43" s="4"/>
      <c r="D43" s="4"/>
      <c r="E43" s="362"/>
      <c r="F43" s="362"/>
    </row>
    <row r="44" spans="1:6">
      <c r="A44" s="307"/>
      <c r="B44" s="3"/>
      <c r="C44" s="4"/>
      <c r="D44" s="4"/>
      <c r="E44" s="362"/>
      <c r="F44" s="362"/>
    </row>
    <row r="45" spans="1:6">
      <c r="A45" s="307"/>
      <c r="B45" s="3"/>
      <c r="C45" s="4"/>
      <c r="D45" s="4"/>
      <c r="E45" s="362"/>
      <c r="F45" s="362"/>
    </row>
    <row r="46" spans="1:6">
      <c r="A46" s="307"/>
      <c r="B46" s="3"/>
      <c r="C46" s="4"/>
      <c r="D46" s="4"/>
      <c r="E46" s="362"/>
      <c r="F46" s="362"/>
    </row>
    <row r="47" spans="1:6">
      <c r="A47" s="307"/>
      <c r="B47" s="3"/>
      <c r="C47" s="4"/>
      <c r="D47" s="4"/>
      <c r="E47" s="362"/>
      <c r="F47" s="362"/>
    </row>
    <row r="48" spans="1:6">
      <c r="A48" s="307"/>
      <c r="B48" s="3"/>
      <c r="C48" s="4"/>
      <c r="D48" s="4"/>
      <c r="E48" s="362"/>
      <c r="F48" s="362"/>
    </row>
    <row r="49" spans="1:6">
      <c r="A49" s="307"/>
      <c r="B49" s="3"/>
      <c r="C49" s="4"/>
      <c r="D49" s="4"/>
      <c r="E49" s="362"/>
      <c r="F49" s="362"/>
    </row>
    <row r="50" spans="1:6">
      <c r="A50" s="307"/>
      <c r="B50" s="3"/>
      <c r="C50" s="4"/>
      <c r="D50" s="4"/>
      <c r="E50" s="362"/>
      <c r="F50" s="362"/>
    </row>
    <row r="51" spans="1:6">
      <c r="A51" s="307"/>
      <c r="B51" s="3"/>
      <c r="C51" s="4"/>
      <c r="D51" s="4"/>
      <c r="E51" s="362"/>
      <c r="F51" s="362"/>
    </row>
    <row r="52" spans="1:6">
      <c r="A52" s="307"/>
      <c r="B52" s="3"/>
      <c r="C52" s="4"/>
      <c r="D52" s="4"/>
      <c r="E52" s="362"/>
      <c r="F52" s="362"/>
    </row>
    <row r="53" spans="1:6">
      <c r="A53" s="307"/>
      <c r="B53" s="3"/>
      <c r="C53" s="4"/>
      <c r="D53" s="4"/>
      <c r="E53" s="362"/>
      <c r="F53" s="362"/>
    </row>
    <row r="54" spans="1:6">
      <c r="A54" s="307"/>
      <c r="B54" s="3"/>
      <c r="C54" s="4"/>
      <c r="D54" s="4"/>
      <c r="E54" s="362"/>
      <c r="F54" s="362"/>
    </row>
    <row r="55" spans="1:6">
      <c r="A55" s="307"/>
      <c r="B55" s="3"/>
      <c r="C55" s="4"/>
      <c r="D55" s="4"/>
      <c r="E55" s="362"/>
      <c r="F55" s="362"/>
    </row>
    <row r="56" spans="1:6">
      <c r="A56" s="307"/>
      <c r="B56" s="3"/>
      <c r="C56" s="4"/>
      <c r="D56" s="4"/>
      <c r="E56" s="362"/>
      <c r="F56" s="362"/>
    </row>
    <row r="57" spans="1:6">
      <c r="A57" s="307"/>
      <c r="B57" s="3"/>
      <c r="C57" s="4"/>
      <c r="D57" s="4"/>
      <c r="E57" s="362"/>
      <c r="F57" s="362"/>
    </row>
    <row r="58" spans="1:6">
      <c r="A58" s="307"/>
      <c r="B58" s="3"/>
      <c r="C58" s="4"/>
      <c r="D58" s="4"/>
      <c r="E58" s="362"/>
      <c r="F58" s="362"/>
    </row>
    <row r="59" spans="1:6">
      <c r="A59" s="307"/>
      <c r="B59" s="3"/>
      <c r="C59" s="4"/>
      <c r="D59" s="4"/>
      <c r="E59" s="362"/>
      <c r="F59" s="362"/>
    </row>
    <row r="60" spans="1:6">
      <c r="A60" s="307"/>
      <c r="B60" s="3"/>
      <c r="C60" s="4"/>
      <c r="D60" s="4"/>
      <c r="E60" s="362"/>
      <c r="F60" s="362"/>
    </row>
    <row r="61" spans="1:6">
      <c r="A61" s="307"/>
      <c r="B61" s="3"/>
      <c r="C61" s="4"/>
      <c r="D61" s="4"/>
      <c r="E61" s="362"/>
      <c r="F61" s="362"/>
    </row>
    <row r="62" spans="1:6">
      <c r="A62" s="307"/>
      <c r="B62" s="3"/>
      <c r="C62" s="4"/>
      <c r="D62" s="4"/>
      <c r="E62" s="362"/>
      <c r="F62" s="362"/>
    </row>
    <row r="63" spans="1:6">
      <c r="A63" s="307"/>
      <c r="B63" s="3"/>
      <c r="C63" s="4"/>
      <c r="D63" s="4"/>
      <c r="E63" s="362"/>
      <c r="F63" s="362"/>
    </row>
    <row r="64" spans="1:6">
      <c r="A64" s="307"/>
      <c r="B64" s="3"/>
      <c r="C64" s="4"/>
      <c r="D64" s="4"/>
      <c r="E64" s="362"/>
      <c r="F64" s="362"/>
    </row>
    <row r="65" spans="1:6">
      <c r="A65" s="307"/>
      <c r="B65" s="3"/>
      <c r="C65" s="4"/>
      <c r="D65" s="4"/>
      <c r="E65" s="362"/>
      <c r="F65" s="362"/>
    </row>
    <row r="66" spans="1:6">
      <c r="A66" s="307"/>
      <c r="B66" s="3"/>
      <c r="C66" s="4"/>
      <c r="D66" s="4"/>
      <c r="E66" s="362"/>
      <c r="F66" s="362"/>
    </row>
    <row r="67" spans="1:6">
      <c r="A67" s="307"/>
      <c r="B67" s="3"/>
      <c r="C67" s="4"/>
      <c r="D67" s="4"/>
      <c r="E67" s="362"/>
      <c r="F67" s="362"/>
    </row>
    <row r="68" spans="1:6" ht="13.5" customHeight="1">
      <c r="A68" s="157"/>
      <c r="C68" s="111"/>
      <c r="D68" s="111"/>
      <c r="E68" s="158"/>
      <c r="F68" s="158"/>
    </row>
    <row r="69" spans="1:6" hidden="1">
      <c r="D69" s="12" t="s">
        <v>558</v>
      </c>
    </row>
    <row r="70" spans="1:6" hidden="1">
      <c r="B70" s="12" t="s">
        <v>473</v>
      </c>
      <c r="D70" s="12" t="s">
        <v>548</v>
      </c>
    </row>
    <row r="71" spans="1:6" hidden="1">
      <c r="B71" s="12" t="s">
        <v>867</v>
      </c>
      <c r="D71" s="12" t="s">
        <v>549</v>
      </c>
    </row>
    <row r="72" spans="1:6" hidden="1">
      <c r="B72" s="12" t="s">
        <v>737</v>
      </c>
      <c r="D72" s="12" t="s">
        <v>550</v>
      </c>
    </row>
    <row r="73" spans="1:6" hidden="1">
      <c r="B73" s="12" t="s">
        <v>566</v>
      </c>
      <c r="D73" s="12" t="s">
        <v>551</v>
      </c>
    </row>
    <row r="74" spans="1:6" hidden="1">
      <c r="B74" s="12" t="s">
        <v>738</v>
      </c>
      <c r="D74" s="12" t="s">
        <v>552</v>
      </c>
    </row>
    <row r="75" spans="1:6" hidden="1">
      <c r="B75" s="12" t="s">
        <v>475</v>
      </c>
      <c r="D75" s="12" t="s">
        <v>553</v>
      </c>
    </row>
    <row r="76" spans="1:6" hidden="1">
      <c r="B76" s="12" t="s">
        <v>474</v>
      </c>
      <c r="D76" s="12" t="s">
        <v>554</v>
      </c>
    </row>
    <row r="77" spans="1:6" hidden="1">
      <c r="B77" s="12" t="s">
        <v>476</v>
      </c>
      <c r="D77" s="12" t="s">
        <v>555</v>
      </c>
    </row>
    <row r="78" spans="1:6" hidden="1">
      <c r="B78" s="12" t="s">
        <v>319</v>
      </c>
      <c r="D78" s="12" t="s">
        <v>556</v>
      </c>
    </row>
    <row r="79" spans="1:6" hidden="1">
      <c r="B79" s="12" t="s">
        <v>477</v>
      </c>
      <c r="D79" s="12" t="s">
        <v>601</v>
      </c>
    </row>
    <row r="80" spans="1:6" hidden="1">
      <c r="B80" s="12" t="s">
        <v>478</v>
      </c>
      <c r="D80" s="12" t="s">
        <v>331</v>
      </c>
    </row>
    <row r="81" spans="2:4" hidden="1">
      <c r="B81" s="12" t="s">
        <v>481</v>
      </c>
      <c r="D81" s="12" t="s">
        <v>332</v>
      </c>
    </row>
    <row r="82" spans="2:4" hidden="1">
      <c r="B82" s="12" t="s">
        <v>482</v>
      </c>
      <c r="D82" s="12" t="s">
        <v>345</v>
      </c>
    </row>
    <row r="83" spans="2:4" hidden="1">
      <c r="B83" s="12" t="s">
        <v>610</v>
      </c>
      <c r="D83" s="12" t="s">
        <v>333</v>
      </c>
    </row>
    <row r="84" spans="2:4" hidden="1">
      <c r="B84" s="12" t="s">
        <v>795</v>
      </c>
      <c r="D84" s="12" t="s">
        <v>334</v>
      </c>
    </row>
    <row r="85" spans="2:4" hidden="1">
      <c r="B85" s="12" t="s">
        <v>585</v>
      </c>
      <c r="D85" s="12" t="s">
        <v>335</v>
      </c>
    </row>
    <row r="86" spans="2:4" hidden="1">
      <c r="B86" s="12" t="s">
        <v>901</v>
      </c>
      <c r="D86" s="12" t="s">
        <v>336</v>
      </c>
    </row>
    <row r="87" spans="2:4" hidden="1">
      <c r="B87" s="12" t="s">
        <v>329</v>
      </c>
      <c r="D87" s="12" t="s">
        <v>337</v>
      </c>
    </row>
    <row r="88" spans="2:4" hidden="1">
      <c r="B88" s="12" t="s">
        <v>330</v>
      </c>
      <c r="D88" s="12" t="s">
        <v>338</v>
      </c>
    </row>
    <row r="89" spans="2:4" hidden="1">
      <c r="B89" s="12" t="s">
        <v>915</v>
      </c>
      <c r="D89" s="12" t="s">
        <v>339</v>
      </c>
    </row>
    <row r="90" spans="2:4" hidden="1">
      <c r="D90" s="12" t="s">
        <v>340</v>
      </c>
    </row>
    <row r="91" spans="2:4" hidden="1">
      <c r="D91" s="12" t="s">
        <v>341</v>
      </c>
    </row>
    <row r="92" spans="2:4" hidden="1">
      <c r="D92" s="12" t="s">
        <v>342</v>
      </c>
    </row>
    <row r="93" spans="2:4" hidden="1">
      <c r="D93" s="12" t="s">
        <v>343</v>
      </c>
    </row>
    <row r="94" spans="2:4" hidden="1">
      <c r="D94" s="12" t="s">
        <v>344</v>
      </c>
    </row>
    <row r="95" spans="2:4" hidden="1">
      <c r="D95" s="12" t="s">
        <v>344</v>
      </c>
    </row>
  </sheetData>
  <sheetProtection algorithmName="SHA-512" hashValue="TMkHgB4pSqtZ1zJ4uPZLNg2Xpl+/Pr9DihUxT1BikO+f6wk0tipN9O8DIgjR2ZCcn4tJEFadYKnOp/e/PJex3g==" saltValue="YvLD9b9F8mrWrXX531ZCPA==" spinCount="100000" sheet="1" objects="1" scenarios="1"/>
  <mergeCells count="14">
    <mergeCell ref="A7:B7"/>
    <mergeCell ref="C1:F1"/>
    <mergeCell ref="A1:B1"/>
    <mergeCell ref="A2:B2"/>
    <mergeCell ref="A3:B3"/>
    <mergeCell ref="A4:B4"/>
    <mergeCell ref="A5:B5"/>
    <mergeCell ref="A6:B6"/>
    <mergeCell ref="C2:F2"/>
    <mergeCell ref="C3:F3"/>
    <mergeCell ref="C4:F4"/>
    <mergeCell ref="C5:F5"/>
    <mergeCell ref="C6:F6"/>
    <mergeCell ref="C7:F7"/>
  </mergeCells>
  <phoneticPr fontId="46" type="noConversion"/>
  <dataValidations count="2">
    <dataValidation type="whole" allowBlank="1" showInputMessage="1" showErrorMessage="1" error="Invalid row number.  Please revise as needed." sqref="C68" xr:uid="{00000000-0002-0000-1600-000000000000}">
      <formula1>14</formula1>
      <formula2>414</formula2>
    </dataValidation>
    <dataValidation type="list" allowBlank="1" showInputMessage="1" showErrorMessage="1" error="Use the drop-down list to enter a tab name." sqref="B10:B67" xr:uid="{00000000-0002-0000-1600-000001000000}">
      <formula1>$B$70:$B$89</formula1>
    </dataValidation>
  </dataValidations>
  <pageMargins left="0.75" right="0.75" top="1" bottom="1" header="0.5" footer="0.5"/>
  <pageSetup scale="70" orientation="portrait" cellComments="asDisplayed" copies="2" r:id="rId1"/>
  <headerFooter alignWithMargins="0">
    <oddHeader>&amp;C&amp;"Times New Roman,Bold"Attachment 10
Enterprise Fund Financial Statement Template
&amp;A</oddHeader>
    <oddFooter>&amp;L&amp;"Times New Roman,Regular"&amp;F\&amp;A&amp;R&amp;"Times New Roman,Regular"Page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525"/>
  <sheetViews>
    <sheetView showGridLines="0" tabSelected="1" zoomScale="98" zoomScaleNormal="98" zoomScaleSheetLayoutView="85" workbookViewId="0">
      <selection activeCell="E2" sqref="E2:G2"/>
    </sheetView>
  </sheetViews>
  <sheetFormatPr defaultColWidth="7.5703125" defaultRowHeight="12.75"/>
  <cols>
    <col min="1" max="3" width="1.85546875" style="12" customWidth="1"/>
    <col min="4" max="4" width="46.5703125" style="12" customWidth="1"/>
    <col min="5" max="5" width="22.5703125" style="12" customWidth="1"/>
    <col min="6" max="6" width="19.85546875" style="12" customWidth="1"/>
    <col min="7" max="7" width="24.42578125" style="19" customWidth="1"/>
    <col min="8" max="8" width="14" style="19" customWidth="1"/>
    <col min="9" max="9" width="14.85546875" style="19" customWidth="1"/>
    <col min="10" max="10" width="13" style="19" customWidth="1"/>
    <col min="11" max="11" width="5.7109375" style="19" hidden="1" customWidth="1"/>
    <col min="12" max="12" width="12.7109375" style="710" hidden="1" customWidth="1"/>
    <col min="13" max="13" width="1.7109375" style="19" customWidth="1"/>
    <col min="14" max="14" width="2.42578125" style="19" customWidth="1"/>
    <col min="15" max="15" width="14.42578125" style="19" customWidth="1"/>
    <col min="16" max="16" width="2.42578125" style="19" customWidth="1"/>
    <col min="17" max="17" width="39" style="19" hidden="1" customWidth="1"/>
    <col min="18" max="18" width="34.5703125" style="39" hidden="1" customWidth="1"/>
    <col min="19" max="19" width="12.85546875" style="19" hidden="1" customWidth="1"/>
    <col min="20" max="24" width="7.5703125" style="19" customWidth="1"/>
    <col min="25" max="25" width="10.42578125" style="254" customWidth="1"/>
    <col min="26" max="16384" width="7.5703125" style="19"/>
  </cols>
  <sheetData>
    <row r="1" spans="1:7" ht="12.75" customHeight="1">
      <c r="A1" s="1012" t="s">
        <v>272</v>
      </c>
      <c r="B1" s="1013"/>
      <c r="C1" s="1013"/>
      <c r="D1" s="1014"/>
      <c r="E1" s="1035" t="str">
        <f>_xlfn.IFNA(VLOOKUP(E2,$Q$27:$S$43,3,FALSE),"")</f>
        <v/>
      </c>
      <c r="F1" s="1036"/>
      <c r="G1" s="1037"/>
    </row>
    <row r="2" spans="1:7" ht="17.25" customHeight="1">
      <c r="A2" s="1012" t="s">
        <v>190</v>
      </c>
      <c r="B2" s="1013"/>
      <c r="C2" s="1013"/>
      <c r="D2" s="1014"/>
      <c r="E2" s="1038"/>
      <c r="F2" s="1039"/>
      <c r="G2" s="1040"/>
    </row>
    <row r="3" spans="1:7" ht="15" customHeight="1">
      <c r="A3" s="1012" t="s">
        <v>447</v>
      </c>
      <c r="B3" s="1013"/>
      <c r="C3" s="1013"/>
      <c r="D3" s="1014"/>
      <c r="E3" s="1047"/>
      <c r="F3" s="1048"/>
      <c r="G3" s="1049"/>
    </row>
    <row r="4" spans="1:7" ht="12.75" customHeight="1">
      <c r="A4" s="1012" t="s">
        <v>448</v>
      </c>
      <c r="B4" s="1013"/>
      <c r="C4" s="1013"/>
      <c r="D4" s="1014"/>
      <c r="E4" s="1050"/>
      <c r="F4" s="1051"/>
      <c r="G4" s="1052"/>
    </row>
    <row r="5" spans="1:7" ht="12.75" customHeight="1">
      <c r="A5" s="1012" t="s">
        <v>2847</v>
      </c>
      <c r="B5" s="1013"/>
      <c r="C5" s="1013"/>
      <c r="D5" s="1014"/>
      <c r="E5" s="1041"/>
      <c r="F5" s="1042"/>
      <c r="G5" s="1043"/>
    </row>
    <row r="6" spans="1:7" ht="12.75" customHeight="1">
      <c r="A6" s="1012" t="s">
        <v>449</v>
      </c>
      <c r="B6" s="1013"/>
      <c r="C6" s="1013"/>
      <c r="D6" s="1014"/>
      <c r="E6" s="1044"/>
      <c r="F6" s="1045"/>
      <c r="G6" s="1046"/>
    </row>
    <row r="7" spans="1:7" ht="12.75" customHeight="1">
      <c r="A7" s="1012" t="s">
        <v>224</v>
      </c>
      <c r="B7" s="1013"/>
      <c r="C7" s="1013"/>
      <c r="D7" s="1014"/>
      <c r="E7" s="1019" t="str">
        <f>IF(ISNA(VLOOKUP($E2,Q27:R44,2,FALSE)),"",(VLOOKUP($E2,Q27:R44,2,FALSE)))</f>
        <v/>
      </c>
      <c r="F7" s="1020"/>
      <c r="G7" s="1021"/>
    </row>
    <row r="8" spans="1:7" ht="12.75" customHeight="1">
      <c r="A8" s="801"/>
      <c r="B8" s="801"/>
      <c r="C8" s="801"/>
      <c r="D8" s="801"/>
      <c r="E8" s="391"/>
      <c r="F8" s="391"/>
      <c r="G8" s="391"/>
    </row>
    <row r="9" spans="1:7" ht="12.75" customHeight="1">
      <c r="A9" s="34" t="s">
        <v>753</v>
      </c>
      <c r="B9" s="801"/>
      <c r="C9" s="801"/>
      <c r="D9" s="801"/>
      <c r="E9" s="391"/>
      <c r="F9" s="391"/>
      <c r="G9" s="391"/>
    </row>
    <row r="10" spans="1:7" ht="12.75" customHeight="1">
      <c r="A10" s="1023" t="str">
        <f>IF(ISNA(VLOOKUP($E$2,'HLookup Tables'!E525:J540,2,FALSE)),"",(VLOOKUP($E$2,'HLookup Tables'!E525:J540,2,FALSE)))</f>
        <v/>
      </c>
      <c r="B10" s="1024" t="str">
        <f>IF(ISNA(VLOOKUP($E$2,'HLookup Tables'!F525:K540,2,FALSE)),"",(VLOOKUP($E$2,'HLookup Tables'!F525:K540,2,FALSE)))</f>
        <v/>
      </c>
      <c r="C10" s="1024" t="str">
        <f>IF(ISNA(VLOOKUP($E$2,'HLookup Tables'!G525:L540,2,FALSE)),"",(VLOOKUP($E$2,'HLookup Tables'!G525:L540,2,FALSE)))</f>
        <v/>
      </c>
      <c r="D10" s="1024" t="str">
        <f>IF(ISNA(VLOOKUP($E$2,'HLookup Tables'!H525:M540,2,FALSE)),"",(VLOOKUP($E$2,'HLookup Tables'!H525:M540,2,FALSE)))</f>
        <v/>
      </c>
      <c r="E10" s="1024" t="str">
        <f>IF(ISNA(VLOOKUP($E$2,'HLookup Tables'!I525:N540,2,FALSE)),"",(VLOOKUP($E$2,'HLookup Tables'!I525:N540,2,FALSE)))</f>
        <v/>
      </c>
      <c r="F10" s="1025" t="str">
        <f>IF(ISNA(VLOOKUP($E$2,'HLookup Tables'!J525:O540,2,FALSE)),"",(VLOOKUP($E$2,'HLookup Tables'!J525:O540,2,FALSE)))</f>
        <v/>
      </c>
      <c r="G10" s="1026" t="str">
        <f>IF(ISNA(VLOOKUP($E$2,'HLookup Tables'!K525:P540,2,FALSE)),"",(VLOOKUP($E$2,'HLookup Tables'!K525:P540,2,FALSE)))</f>
        <v/>
      </c>
    </row>
    <row r="11" spans="1:7" ht="12.75" customHeight="1">
      <c r="A11" s="1027" t="str">
        <f>IF(ISNA(VLOOKUP($E$2,'HLookup Tables'!E526:J541,2,FALSE)),"",(VLOOKUP($E$2,'HLookup Tables'!E526:J541,2,FALSE)))</f>
        <v/>
      </c>
      <c r="B11" s="1028" t="str">
        <f>IF(ISNA(VLOOKUP($E$2,'HLookup Tables'!F526:K541,2,FALSE)),"",(VLOOKUP($E$2,'HLookup Tables'!F526:K541,2,FALSE)))</f>
        <v/>
      </c>
      <c r="C11" s="1028" t="str">
        <f>IF(ISNA(VLOOKUP($E$2,'HLookup Tables'!G526:L541,2,FALSE)),"",(VLOOKUP($E$2,'HLookup Tables'!G526:L541,2,FALSE)))</f>
        <v/>
      </c>
      <c r="D11" s="1028" t="str">
        <f>IF(ISNA(VLOOKUP($E$2,'HLookup Tables'!H526:M541,2,FALSE)),"",(VLOOKUP($E$2,'HLookup Tables'!H526:M541,2,FALSE)))</f>
        <v/>
      </c>
      <c r="E11" s="1028" t="str">
        <f>IF(ISNA(VLOOKUP($E$2,'HLookup Tables'!I526:N541,2,FALSE)),"",(VLOOKUP($E$2,'HLookup Tables'!I526:N541,2,FALSE)))</f>
        <v/>
      </c>
      <c r="F11" s="1028" t="str">
        <f>IF(ISNA(VLOOKUP($E$2,'HLookup Tables'!J526:O541,2,FALSE)),"",(VLOOKUP($E$2,'HLookup Tables'!J526:O541,2,FALSE)))</f>
        <v/>
      </c>
      <c r="G11" s="1029" t="str">
        <f>IF(ISNA(VLOOKUP($E$2,'HLookup Tables'!K526:P541,2,FALSE)),"",(VLOOKUP($E$2,'HLookup Tables'!K526:P541,2,FALSE)))</f>
        <v/>
      </c>
    </row>
    <row r="12" spans="1:7" ht="12.75" customHeight="1">
      <c r="A12" s="1027" t="str">
        <f>IF(ISNA(VLOOKUP($E$2,'HLookup Tables'!E527:J542,2,FALSE)),"",(VLOOKUP($E$2,'HLookup Tables'!E527:J542,2,FALSE)))</f>
        <v/>
      </c>
      <c r="B12" s="1028" t="str">
        <f>IF(ISNA(VLOOKUP($E$2,'HLookup Tables'!F527:K542,2,FALSE)),"",(VLOOKUP($E$2,'HLookup Tables'!F527:K542,2,FALSE)))</f>
        <v/>
      </c>
      <c r="C12" s="1028" t="str">
        <f>IF(ISNA(VLOOKUP($E$2,'HLookup Tables'!G527:L542,2,FALSE)),"",(VLOOKUP($E$2,'HLookup Tables'!G527:L542,2,FALSE)))</f>
        <v/>
      </c>
      <c r="D12" s="1028" t="str">
        <f>IF(ISNA(VLOOKUP($E$2,'HLookup Tables'!H527:M542,2,FALSE)),"",(VLOOKUP($E$2,'HLookup Tables'!H527:M542,2,FALSE)))</f>
        <v/>
      </c>
      <c r="E12" s="1028" t="str">
        <f>IF(ISNA(VLOOKUP($E$2,'HLookup Tables'!I527:N542,2,FALSE)),"",(VLOOKUP($E$2,'HLookup Tables'!I527:N542,2,FALSE)))</f>
        <v/>
      </c>
      <c r="F12" s="1028" t="str">
        <f>IF(ISNA(VLOOKUP($E$2,'HLookup Tables'!J527:O542,2,FALSE)),"",(VLOOKUP($E$2,'HLookup Tables'!J527:O542,2,FALSE)))</f>
        <v/>
      </c>
      <c r="G12" s="1029" t="str">
        <f>IF(ISNA(VLOOKUP($E$2,'HLookup Tables'!K527:P542,2,FALSE)),"",(VLOOKUP($E$2,'HLookup Tables'!K527:P542,2,FALSE)))</f>
        <v/>
      </c>
    </row>
    <row r="13" spans="1:7" ht="12.75" customHeight="1">
      <c r="A13" s="1027" t="str">
        <f>IF(ISNA(VLOOKUP($E$2,'HLookup Tables'!E529:J543,2,FALSE)),"",(VLOOKUP($E$2,'HLookup Tables'!E529:J543,2,FALSE)))</f>
        <v/>
      </c>
      <c r="B13" s="1028" t="str">
        <f>IF(ISNA(VLOOKUP($E$2,'HLookup Tables'!F529:K543,2,FALSE)),"",(VLOOKUP($E$2,'HLookup Tables'!F529:K543,2,FALSE)))</f>
        <v/>
      </c>
      <c r="C13" s="1028" t="str">
        <f>IF(ISNA(VLOOKUP($E$2,'HLookup Tables'!G529:L543,2,FALSE)),"",(VLOOKUP($E$2,'HLookup Tables'!G529:L543,2,FALSE)))</f>
        <v/>
      </c>
      <c r="D13" s="1028" t="str">
        <f>IF(ISNA(VLOOKUP($E$2,'HLookup Tables'!H529:M543,2,FALSE)),"",(VLOOKUP($E$2,'HLookup Tables'!H529:M543,2,FALSE)))</f>
        <v/>
      </c>
      <c r="E13" s="1028" t="str">
        <f>IF(ISNA(VLOOKUP($E$2,'HLookup Tables'!I529:N543,2,FALSE)),"",(VLOOKUP($E$2,'HLookup Tables'!I529:N543,2,FALSE)))</f>
        <v/>
      </c>
      <c r="F13" s="1028" t="str">
        <f>IF(ISNA(VLOOKUP($E$2,'HLookup Tables'!J529:O543,2,FALSE)),"",(VLOOKUP($E$2,'HLookup Tables'!J529:O543,2,FALSE)))</f>
        <v/>
      </c>
      <c r="G13" s="1029" t="str">
        <f>IF(ISNA(VLOOKUP($E$2,'HLookup Tables'!K529:P543,2,FALSE)),"",(VLOOKUP($E$2,'HLookup Tables'!K529:P543,2,FALSE)))</f>
        <v/>
      </c>
    </row>
    <row r="14" spans="1:7" ht="12.75" customHeight="1">
      <c r="A14" s="1027" t="str">
        <f>IF(ISNA(VLOOKUP($E$2,'HLookup Tables'!E530:J544,2,FALSE)),"",(VLOOKUP($E$2,'HLookup Tables'!E530:J544,2,FALSE)))</f>
        <v/>
      </c>
      <c r="B14" s="1028" t="str">
        <f>IF(ISNA(VLOOKUP($E$2,'HLookup Tables'!F530:K544,2,FALSE)),"",(VLOOKUP($E$2,'HLookup Tables'!F530:K544,2,FALSE)))</f>
        <v/>
      </c>
      <c r="C14" s="1028" t="str">
        <f>IF(ISNA(VLOOKUP($E$2,'HLookup Tables'!G530:L544,2,FALSE)),"",(VLOOKUP($E$2,'HLookup Tables'!G530:L544,2,FALSE)))</f>
        <v/>
      </c>
      <c r="D14" s="1028" t="str">
        <f>IF(ISNA(VLOOKUP($E$2,'HLookup Tables'!H530:M544,2,FALSE)),"",(VLOOKUP($E$2,'HLookup Tables'!H530:M544,2,FALSE)))</f>
        <v/>
      </c>
      <c r="E14" s="1028" t="str">
        <f>IF(ISNA(VLOOKUP($E$2,'HLookup Tables'!I530:N544,2,FALSE)),"",(VLOOKUP($E$2,'HLookup Tables'!I530:N544,2,FALSE)))</f>
        <v/>
      </c>
      <c r="F14" s="1028" t="str">
        <f>IF(ISNA(VLOOKUP($E$2,'HLookup Tables'!J530:O544,2,FALSE)),"",(VLOOKUP($E$2,'HLookup Tables'!J530:O544,2,FALSE)))</f>
        <v/>
      </c>
      <c r="G14" s="1029" t="str">
        <f>IF(ISNA(VLOOKUP($E$2,'HLookup Tables'!K530:P544,2,FALSE)),"",(VLOOKUP($E$2,'HLookup Tables'!K530:P544,2,FALSE)))</f>
        <v/>
      </c>
    </row>
    <row r="15" spans="1:7" ht="12.75" customHeight="1">
      <c r="A15" s="1027" t="str">
        <f>IF(ISNA(VLOOKUP($E$2,'HLookup Tables'!E531:J545,2,FALSE)),"",(VLOOKUP($E$2,'HLookup Tables'!E531:J545,2,FALSE)))</f>
        <v/>
      </c>
      <c r="B15" s="1028" t="str">
        <f>IF(ISNA(VLOOKUP($E$2,'HLookup Tables'!F531:K545,2,FALSE)),"",(VLOOKUP($E$2,'HLookup Tables'!F531:K545,2,FALSE)))</f>
        <v/>
      </c>
      <c r="C15" s="1028" t="str">
        <f>IF(ISNA(VLOOKUP($E$2,'HLookup Tables'!G531:L545,2,FALSE)),"",(VLOOKUP($E$2,'HLookup Tables'!G531:L545,2,FALSE)))</f>
        <v/>
      </c>
      <c r="D15" s="1028" t="str">
        <f>IF(ISNA(VLOOKUP($E$2,'HLookup Tables'!H531:M545,2,FALSE)),"",(VLOOKUP($E$2,'HLookup Tables'!H531:M545,2,FALSE)))</f>
        <v/>
      </c>
      <c r="E15" s="1028" t="str">
        <f>IF(ISNA(VLOOKUP($E$2,'HLookup Tables'!I531:N545,2,FALSE)),"",(VLOOKUP($E$2,'HLookup Tables'!I531:N545,2,FALSE)))</f>
        <v/>
      </c>
      <c r="F15" s="1028" t="str">
        <f>IF(ISNA(VLOOKUP($E$2,'HLookup Tables'!J531:O545,2,FALSE)),"",(VLOOKUP($E$2,'HLookup Tables'!J531:O545,2,FALSE)))</f>
        <v/>
      </c>
      <c r="G15" s="1029" t="str">
        <f>IF(ISNA(VLOOKUP($E$2,'HLookup Tables'!K531:P545,2,FALSE)),"",(VLOOKUP($E$2,'HLookup Tables'!K531:P545,2,FALSE)))</f>
        <v/>
      </c>
    </row>
    <row r="16" spans="1:7" ht="12.75" customHeight="1">
      <c r="A16" s="1027" t="str">
        <f>IF(ISNA(VLOOKUP($E$2,'HLookup Tables'!E532:J546,2,FALSE)),"",(VLOOKUP($E$2,'HLookup Tables'!E532:J546,2,FALSE)))</f>
        <v/>
      </c>
      <c r="B16" s="1028" t="str">
        <f>IF(ISNA(VLOOKUP($E$2,'HLookup Tables'!F532:K546,2,FALSE)),"",(VLOOKUP($E$2,'HLookup Tables'!F532:K546,2,FALSE)))</f>
        <v/>
      </c>
      <c r="C16" s="1028" t="str">
        <f>IF(ISNA(VLOOKUP($E$2,'HLookup Tables'!G532:L546,2,FALSE)),"",(VLOOKUP($E$2,'HLookup Tables'!G532:L546,2,FALSE)))</f>
        <v/>
      </c>
      <c r="D16" s="1028" t="str">
        <f>IF(ISNA(VLOOKUP($E$2,'HLookup Tables'!H532:M546,2,FALSE)),"",(VLOOKUP($E$2,'HLookup Tables'!H532:M546,2,FALSE)))</f>
        <v/>
      </c>
      <c r="E16" s="1028" t="str">
        <f>IF(ISNA(VLOOKUP($E$2,'HLookup Tables'!I532:N546,2,FALSE)),"",(VLOOKUP($E$2,'HLookup Tables'!I532:N546,2,FALSE)))</f>
        <v/>
      </c>
      <c r="F16" s="1028" t="str">
        <f>IF(ISNA(VLOOKUP($E$2,'HLookup Tables'!J532:O546,2,FALSE)),"",(VLOOKUP($E$2,'HLookup Tables'!J532:O546,2,FALSE)))</f>
        <v/>
      </c>
      <c r="G16" s="1029" t="str">
        <f>IF(ISNA(VLOOKUP($E$2,'HLookup Tables'!K532:P546,2,FALSE)),"",(VLOOKUP($E$2,'HLookup Tables'!K532:P546,2,FALSE)))</f>
        <v/>
      </c>
    </row>
    <row r="17" spans="1:25" ht="12.75" customHeight="1">
      <c r="A17" s="1027" t="str">
        <f>IF(ISNA(VLOOKUP($E$2,'HLookup Tables'!E533:J547,2,FALSE)),"",(VLOOKUP($E$2,'HLookup Tables'!E533:J547,2,FALSE)))</f>
        <v/>
      </c>
      <c r="B17" s="1028" t="str">
        <f>IF(ISNA(VLOOKUP($E$2,'HLookup Tables'!F533:K547,2,FALSE)),"",(VLOOKUP($E$2,'HLookup Tables'!F533:K547,2,FALSE)))</f>
        <v/>
      </c>
      <c r="C17" s="1028" t="str">
        <f>IF(ISNA(VLOOKUP($E$2,'HLookup Tables'!G533:L547,2,FALSE)),"",(VLOOKUP($E$2,'HLookup Tables'!G533:L547,2,FALSE)))</f>
        <v/>
      </c>
      <c r="D17" s="1028" t="str">
        <f>IF(ISNA(VLOOKUP($E$2,'HLookup Tables'!H533:M547,2,FALSE)),"",(VLOOKUP($E$2,'HLookup Tables'!H533:M547,2,FALSE)))</f>
        <v/>
      </c>
      <c r="E17" s="1028" t="str">
        <f>IF(ISNA(VLOOKUP($E$2,'HLookup Tables'!I533:N547,2,FALSE)),"",(VLOOKUP($E$2,'HLookup Tables'!I533:N547,2,FALSE)))</f>
        <v/>
      </c>
      <c r="F17" s="1028" t="str">
        <f>IF(ISNA(VLOOKUP($E$2,'HLookup Tables'!J533:O547,2,FALSE)),"",(VLOOKUP($E$2,'HLookup Tables'!J533:O547,2,FALSE)))</f>
        <v/>
      </c>
      <c r="G17" s="1029" t="str">
        <f>IF(ISNA(VLOOKUP($E$2,'HLookup Tables'!K533:P547,2,FALSE)),"",(VLOOKUP($E$2,'HLookup Tables'!K533:P547,2,FALSE)))</f>
        <v/>
      </c>
      <c r="H17" s="19" t="str">
        <f>IF(ISNA(VLOOKUP($E$2,'HLookup Tables'!L533:Q547,2,FALSE)),"",(VLOOKUP($E$2,'HLookup Tables'!L533:Q547,2,FALSE)))</f>
        <v/>
      </c>
    </row>
    <row r="18" spans="1:25" ht="12.75" customHeight="1">
      <c r="A18" s="1027" t="str">
        <f>IF(ISNA(VLOOKUP($E$2,'HLookup Tables'!E534:J548,2,FALSE)),"",(VLOOKUP($E$2,'HLookup Tables'!E534:J548,2,FALSE)))</f>
        <v/>
      </c>
      <c r="B18" s="1028" t="str">
        <f>IF(ISNA(VLOOKUP($E$2,'HLookup Tables'!F534:K548,2,FALSE)),"",(VLOOKUP($E$2,'HLookup Tables'!F534:K548,2,FALSE)))</f>
        <v/>
      </c>
      <c r="C18" s="1028" t="str">
        <f>IF(ISNA(VLOOKUP($E$2,'HLookup Tables'!G534:L548,2,FALSE)),"",(VLOOKUP($E$2,'HLookup Tables'!G534:L548,2,FALSE)))</f>
        <v/>
      </c>
      <c r="D18" s="1028" t="str">
        <f>IF(ISNA(VLOOKUP($E$2,'HLookup Tables'!H534:M548,2,FALSE)),"",(VLOOKUP($E$2,'HLookup Tables'!H534:M548,2,FALSE)))</f>
        <v/>
      </c>
      <c r="E18" s="1028" t="str">
        <f>IF(ISNA(VLOOKUP($E$2,'HLookup Tables'!I534:N548,2,FALSE)),"",(VLOOKUP($E$2,'HLookup Tables'!I534:N548,2,FALSE)))</f>
        <v/>
      </c>
      <c r="F18" s="1028" t="str">
        <f>IF(ISNA(VLOOKUP($E$2,'HLookup Tables'!J534:O548,2,FALSE)),"",(VLOOKUP($E$2,'HLookup Tables'!J534:O548,2,FALSE)))</f>
        <v/>
      </c>
      <c r="G18" s="1029" t="str">
        <f>IF(ISNA(VLOOKUP($E$2,'HLookup Tables'!K534:P548,2,FALSE)),"",(VLOOKUP($E$2,'HLookup Tables'!K534:P548,2,FALSE)))</f>
        <v/>
      </c>
    </row>
    <row r="19" spans="1:25" ht="130.5" customHeight="1">
      <c r="A19" s="1027" t="str">
        <f>IF(ISNA(VLOOKUP($E$2,'HLookup Tables'!E535:J549,2,FALSE)),"",(VLOOKUP($E$2,'HLookup Tables'!E535:J549,2,FALSE)))</f>
        <v/>
      </c>
      <c r="B19" s="1028" t="str">
        <f>IF(ISNA(VLOOKUP($E$2,'HLookup Tables'!F535:K549,2,FALSE)),"",(VLOOKUP($E$2,'HLookup Tables'!F535:K549,2,FALSE)))</f>
        <v/>
      </c>
      <c r="C19" s="1028" t="str">
        <f>IF(ISNA(VLOOKUP($E$2,'HLookup Tables'!G535:L549,2,FALSE)),"",(VLOOKUP($E$2,'HLookup Tables'!G535:L549,2,FALSE)))</f>
        <v/>
      </c>
      <c r="D19" s="1028" t="str">
        <f>IF(ISNA(VLOOKUP($E$2,'HLookup Tables'!H535:M549,2,FALSE)),"",(VLOOKUP($E$2,'HLookup Tables'!H535:M549,2,FALSE)))</f>
        <v/>
      </c>
      <c r="E19" s="1028" t="str">
        <f>IF(ISNA(VLOOKUP($E$2,'HLookup Tables'!I535:N549,2,FALSE)),"",(VLOOKUP($E$2,'HLookup Tables'!I535:N549,2,FALSE)))</f>
        <v/>
      </c>
      <c r="F19" s="1028" t="str">
        <f>IF(ISNA(VLOOKUP($E$2,'HLookup Tables'!J535:O549,2,FALSE)),"",(VLOOKUP($E$2,'HLookup Tables'!J535:O549,2,FALSE)))</f>
        <v/>
      </c>
      <c r="G19" s="1029" t="str">
        <f>IF(ISNA(VLOOKUP($E$2,'HLookup Tables'!K535:P549,2,FALSE)),"",(VLOOKUP($E$2,'HLookup Tables'!K535:P549,2,FALSE)))</f>
        <v/>
      </c>
    </row>
    <row r="20" spans="1:25" ht="18.75" customHeight="1">
      <c r="A20" s="1027" t="str">
        <f>IF(ISNA(VLOOKUP($E$2,'HLookup Tables'!E536:J550,2,FALSE)),"",(VLOOKUP($E$2,'HLookup Tables'!E536:J550,2,FALSE)))</f>
        <v/>
      </c>
      <c r="B20" s="1028" t="str">
        <f>IF(ISNA(VLOOKUP($E$2,'HLookup Tables'!F536:K550,2,FALSE)),"",(VLOOKUP($E$2,'HLookup Tables'!F536:K550,2,FALSE)))</f>
        <v/>
      </c>
      <c r="C20" s="1028" t="str">
        <f>IF(ISNA(VLOOKUP($E$2,'HLookup Tables'!G536:L550,2,FALSE)),"",(VLOOKUP($E$2,'HLookup Tables'!G536:L550,2,FALSE)))</f>
        <v/>
      </c>
      <c r="D20" s="1028" t="str">
        <f>IF(ISNA(VLOOKUP($E$2,'HLookup Tables'!H536:M550,2,FALSE)),"",(VLOOKUP($E$2,'HLookup Tables'!H536:M550,2,FALSE)))</f>
        <v/>
      </c>
      <c r="E20" s="1028" t="str">
        <f>IF(ISNA(VLOOKUP($E$2,'HLookup Tables'!I536:N550,2,FALSE)),"",(VLOOKUP($E$2,'HLookup Tables'!I536:N550,2,FALSE)))</f>
        <v/>
      </c>
      <c r="F20" s="1028" t="str">
        <f>IF(ISNA(VLOOKUP($E$2,'HLookup Tables'!J536:O550,2,FALSE)),"",(VLOOKUP($E$2,'HLookup Tables'!J536:O550,2,FALSE)))</f>
        <v/>
      </c>
      <c r="G20" s="1029" t="str">
        <f>IF(ISNA(VLOOKUP($E$2,'HLookup Tables'!K536:P550,2,FALSE)),"",(VLOOKUP($E$2,'HLookup Tables'!K536:P550,2,FALSE)))</f>
        <v/>
      </c>
    </row>
    <row r="21" spans="1:25" ht="18.75" customHeight="1">
      <c r="A21" s="1027" t="str">
        <f>IF(ISNA(VLOOKUP($E$2,'HLookup Tables'!E537:J551,2,FALSE)),"",(VLOOKUP($E$2,'HLookup Tables'!E537:J551,2,FALSE)))</f>
        <v/>
      </c>
      <c r="B21" s="1028" t="str">
        <f>IF(ISNA(VLOOKUP($E$2,'HLookup Tables'!F537:K551,2,FALSE)),"",(VLOOKUP($E$2,'HLookup Tables'!F537:K551,2,FALSE)))</f>
        <v/>
      </c>
      <c r="C21" s="1028" t="str">
        <f>IF(ISNA(VLOOKUP($E$2,'HLookup Tables'!G537:L551,2,FALSE)),"",(VLOOKUP($E$2,'HLookup Tables'!G537:L551,2,FALSE)))</f>
        <v/>
      </c>
      <c r="D21" s="1028" t="str">
        <f>IF(ISNA(VLOOKUP($E$2,'HLookup Tables'!H537:M551,2,FALSE)),"",(VLOOKUP($E$2,'HLookup Tables'!H537:M551,2,FALSE)))</f>
        <v/>
      </c>
      <c r="E21" s="1028" t="str">
        <f>IF(ISNA(VLOOKUP($E$2,'HLookup Tables'!I537:N551,2,FALSE)),"",(VLOOKUP($E$2,'HLookup Tables'!I537:N551,2,FALSE)))</f>
        <v/>
      </c>
      <c r="F21" s="1028" t="str">
        <f>IF(ISNA(VLOOKUP($E$2,'HLookup Tables'!J537:O551,2,FALSE)),"",(VLOOKUP($E$2,'HLookup Tables'!J537:O551,2,FALSE)))</f>
        <v/>
      </c>
      <c r="G21" s="1029" t="str">
        <f>IF(ISNA(VLOOKUP($E$2,'HLookup Tables'!K537:P551,2,FALSE)),"",(VLOOKUP($E$2,'HLookup Tables'!K537:P551,2,FALSE)))</f>
        <v/>
      </c>
    </row>
    <row r="22" spans="1:25" ht="18.75" customHeight="1">
      <c r="A22" s="1027" t="str">
        <f>IF(ISNA(VLOOKUP($E$2,'HLookup Tables'!E539:J552,2,FALSE)),"",(VLOOKUP($E$2,'HLookup Tables'!E539:J552,2,FALSE)))</f>
        <v/>
      </c>
      <c r="B22" s="1028" t="str">
        <f>IF(ISNA(VLOOKUP($E$2,'HLookup Tables'!F539:K552,2,FALSE)),"",(VLOOKUP($E$2,'HLookup Tables'!F539:K552,2,FALSE)))</f>
        <v/>
      </c>
      <c r="C22" s="1028" t="str">
        <f>IF(ISNA(VLOOKUP($E$2,'HLookup Tables'!G539:L552,2,FALSE)),"",(VLOOKUP($E$2,'HLookup Tables'!G539:L552,2,FALSE)))</f>
        <v/>
      </c>
      <c r="D22" s="1028" t="str">
        <f>IF(ISNA(VLOOKUP($E$2,'HLookup Tables'!H539:M552,2,FALSE)),"",(VLOOKUP($E$2,'HLookup Tables'!H539:M552,2,FALSE)))</f>
        <v/>
      </c>
      <c r="E22" s="1028" t="str">
        <f>IF(ISNA(VLOOKUP($E$2,'HLookup Tables'!I539:N552,2,FALSE)),"",(VLOOKUP($E$2,'HLookup Tables'!I539:N552,2,FALSE)))</f>
        <v/>
      </c>
      <c r="F22" s="1028" t="str">
        <f>IF(ISNA(VLOOKUP($E$2,'HLookup Tables'!J539:O552,2,FALSE)),"",(VLOOKUP($E$2,'HLookup Tables'!J539:O552,2,FALSE)))</f>
        <v/>
      </c>
      <c r="G22" s="1029" t="str">
        <f>IF(ISNA(VLOOKUP($E$2,'HLookup Tables'!K539:P552,2,FALSE)),"",(VLOOKUP($E$2,'HLookup Tables'!K539:P552,2,FALSE)))</f>
        <v/>
      </c>
    </row>
    <row r="23" spans="1:25" ht="17.25" customHeight="1">
      <c r="A23" s="1027" t="str">
        <f>IF(ISNA(VLOOKUP($E$2,'HLookup Tables'!E540:J553,2,FALSE)),"",(VLOOKUP($E$2,'HLookup Tables'!E540:J553,2,FALSE)))</f>
        <v/>
      </c>
      <c r="B23" s="1028" t="str">
        <f>IF(ISNA(VLOOKUP($E$2,'HLookup Tables'!F540:K553,2,FALSE)),"",(VLOOKUP($E$2,'HLookup Tables'!F540:K553,2,FALSE)))</f>
        <v/>
      </c>
      <c r="C23" s="1028" t="str">
        <f>IF(ISNA(VLOOKUP($E$2,'HLookup Tables'!G540:L553,2,FALSE)),"",(VLOOKUP($E$2,'HLookup Tables'!G540:L553,2,FALSE)))</f>
        <v/>
      </c>
      <c r="D23" s="1028" t="str">
        <f>IF(ISNA(VLOOKUP($E$2,'HLookup Tables'!H540:M553,2,FALSE)),"",(VLOOKUP($E$2,'HLookup Tables'!H540:M553,2,FALSE)))</f>
        <v/>
      </c>
      <c r="E23" s="1028" t="str">
        <f>IF(ISNA(VLOOKUP($E$2,'HLookup Tables'!I540:N553,2,FALSE)),"",(VLOOKUP($E$2,'HLookup Tables'!I540:N553,2,FALSE)))</f>
        <v/>
      </c>
      <c r="F23" s="1028" t="str">
        <f>IF(ISNA(VLOOKUP($E$2,'HLookup Tables'!J540:O553,2,FALSE)),"",(VLOOKUP($E$2,'HLookup Tables'!J540:O553,2,FALSE)))</f>
        <v/>
      </c>
      <c r="G23" s="1029" t="str">
        <f>IF(ISNA(VLOOKUP($E$2,'HLookup Tables'!K540:P553,2,FALSE)),"",(VLOOKUP($E$2,'HLookup Tables'!K540:P553,2,FALSE)))</f>
        <v/>
      </c>
    </row>
    <row r="24" spans="1:25" ht="18.75" hidden="1" customHeight="1">
      <c r="A24" s="1027" t="str">
        <f>IF(ISNA(VLOOKUP($E$2,'HLookup Tables'!E541:J554,2,FALSE)),"",(VLOOKUP($E$2,'HLookup Tables'!E541:J554,2,FALSE)))</f>
        <v/>
      </c>
      <c r="B24" s="1028" t="str">
        <f>IF(ISNA(VLOOKUP($E$2,'HLookup Tables'!F541:K554,2,FALSE)),"",(VLOOKUP($E$2,'HLookup Tables'!F541:K554,2,FALSE)))</f>
        <v/>
      </c>
      <c r="C24" s="1028" t="str">
        <f>IF(ISNA(VLOOKUP($E$2,'HLookup Tables'!G541:L554,2,FALSE)),"",(VLOOKUP($E$2,'HLookup Tables'!G541:L554,2,FALSE)))</f>
        <v/>
      </c>
      <c r="D24" s="1028" t="str">
        <f>IF(ISNA(VLOOKUP($E$2,'HLookup Tables'!H541:M554,2,FALSE)),"",(VLOOKUP($E$2,'HLookup Tables'!H541:M554,2,FALSE)))</f>
        <v/>
      </c>
      <c r="E24" s="1028" t="str">
        <f>IF(ISNA(VLOOKUP($E$2,'HLookup Tables'!I541:N554,2,FALSE)),"",(VLOOKUP($E$2,'HLookup Tables'!I541:N554,2,FALSE)))</f>
        <v/>
      </c>
      <c r="F24" s="1028" t="str">
        <f>IF(ISNA(VLOOKUP($E$2,'HLookup Tables'!J541:O554,2,FALSE)),"",(VLOOKUP($E$2,'HLookup Tables'!J541:O554,2,FALSE)))</f>
        <v/>
      </c>
      <c r="G24" s="1029" t="str">
        <f>IF(ISNA(VLOOKUP($E$2,'HLookup Tables'!K541:P554,2,FALSE)),"",(VLOOKUP($E$2,'HLookup Tables'!K541:P554,2,FALSE)))</f>
        <v/>
      </c>
    </row>
    <row r="25" spans="1:25" ht="52.5" customHeight="1">
      <c r="A25" s="1030" t="str">
        <f>IF(ISNA(VLOOKUP($E$2,'HLookup Tables'!E542:J555,2,FALSE)),"",(VLOOKUP($E$2,'HLookup Tables'!E542:J555,2,FALSE)))</f>
        <v/>
      </c>
      <c r="B25" s="1031" t="str">
        <f>IF(ISNA(VLOOKUP($E$2,'HLookup Tables'!F542:K555,2,FALSE)),"",(VLOOKUP($E$2,'HLookup Tables'!F542:K555,2,FALSE)))</f>
        <v/>
      </c>
      <c r="C25" s="1031" t="str">
        <f>IF(ISNA(VLOOKUP($E$2,'HLookup Tables'!G542:L555,2,FALSE)),"",(VLOOKUP($E$2,'HLookup Tables'!G542:L555,2,FALSE)))</f>
        <v/>
      </c>
      <c r="D25" s="1031" t="str">
        <f>IF(ISNA(VLOOKUP($E$2,'HLookup Tables'!H542:M555,2,FALSE)),"",(VLOOKUP($E$2,'HLookup Tables'!H542:M555,2,FALSE)))</f>
        <v/>
      </c>
      <c r="E25" s="1031" t="str">
        <f>IF(ISNA(VLOOKUP($E$2,'HLookup Tables'!I542:N555,2,FALSE)),"",(VLOOKUP($E$2,'HLookup Tables'!I542:N555,2,FALSE)))</f>
        <v/>
      </c>
      <c r="F25" s="1031" t="str">
        <f>IF(ISNA(VLOOKUP($E$2,'HLookup Tables'!J542:O555,2,FALSE)),"",(VLOOKUP($E$2,'HLookup Tables'!J542:O555,2,FALSE)))</f>
        <v/>
      </c>
      <c r="G25" s="1032" t="str">
        <f>IF(ISNA(VLOOKUP($E$2,'HLookup Tables'!K542:P555,2,FALSE)),"",(VLOOKUP($E$2,'HLookup Tables'!K542:P555,2,FALSE)))</f>
        <v/>
      </c>
    </row>
    <row r="26" spans="1:25" s="12" customFormat="1">
      <c r="A26" s="579" t="s">
        <v>767</v>
      </c>
      <c r="B26" s="579"/>
      <c r="C26" s="579"/>
      <c r="D26" s="579"/>
      <c r="E26" s="117"/>
      <c r="F26" s="117"/>
      <c r="G26" s="117"/>
      <c r="L26" s="651"/>
      <c r="Q26" s="19"/>
      <c r="R26" s="39"/>
      <c r="S26" s="19"/>
      <c r="Y26" s="257"/>
    </row>
    <row r="27" spans="1:25" ht="12.75" customHeight="1">
      <c r="A27" s="28" t="s">
        <v>3610</v>
      </c>
      <c r="B27" s="38"/>
      <c r="C27" s="28"/>
      <c r="D27" s="28"/>
      <c r="E27" s="23"/>
      <c r="F27" s="602"/>
      <c r="G27" s="23"/>
      <c r="Q27" s="201" t="s">
        <v>607</v>
      </c>
      <c r="R27" s="39" t="s">
        <v>618</v>
      </c>
      <c r="S27" s="19">
        <v>999</v>
      </c>
    </row>
    <row r="28" spans="1:25" ht="12.75" customHeight="1">
      <c r="A28" s="24"/>
      <c r="B28" s="24"/>
      <c r="C28" s="24"/>
      <c r="D28" s="24"/>
      <c r="E28" s="19"/>
      <c r="F28" s="1017" t="s">
        <v>602</v>
      </c>
      <c r="L28" s="791"/>
      <c r="Q28" s="201" t="s">
        <v>614</v>
      </c>
      <c r="R28" s="39" t="s">
        <v>676</v>
      </c>
      <c r="S28" s="19">
        <v>440</v>
      </c>
    </row>
    <row r="29" spans="1:25" ht="12" customHeight="1">
      <c r="A29" s="24"/>
      <c r="B29" s="24"/>
      <c r="C29" s="24"/>
      <c r="D29" s="24"/>
      <c r="E29" s="29" t="s">
        <v>360</v>
      </c>
      <c r="F29" s="1033"/>
      <c r="G29" s="29" t="s">
        <v>301</v>
      </c>
      <c r="H29" s="29" t="s">
        <v>261</v>
      </c>
      <c r="I29" s="15" t="s">
        <v>246</v>
      </c>
      <c r="J29" s="842" t="s">
        <v>751</v>
      </c>
      <c r="K29" s="28"/>
      <c r="L29" s="792" t="s">
        <v>536</v>
      </c>
      <c r="O29" s="26"/>
      <c r="P29" s="27"/>
      <c r="Q29" s="201" t="s">
        <v>740</v>
      </c>
      <c r="R29" s="39" t="s">
        <v>608</v>
      </c>
      <c r="S29" s="19">
        <v>152</v>
      </c>
    </row>
    <row r="30" spans="1:25" ht="12.75" customHeight="1">
      <c r="A30" s="34" t="s">
        <v>778</v>
      </c>
      <c r="B30" s="19"/>
      <c r="C30" s="19"/>
      <c r="D30" s="19"/>
      <c r="O30" s="5"/>
      <c r="Q30" s="201" t="s">
        <v>3187</v>
      </c>
      <c r="R30" s="39" t="s">
        <v>3021</v>
      </c>
      <c r="S30" s="19">
        <v>152</v>
      </c>
    </row>
    <row r="31" spans="1:25" ht="12.75" customHeight="1">
      <c r="A31" s="34" t="s">
        <v>192</v>
      </c>
      <c r="B31" s="19"/>
      <c r="C31" s="19"/>
      <c r="D31" s="19"/>
      <c r="E31" s="25"/>
      <c r="F31" s="110"/>
      <c r="G31" s="25"/>
      <c r="H31" s="25"/>
      <c r="I31" s="437"/>
      <c r="J31" s="258"/>
      <c r="K31" s="34"/>
      <c r="L31" s="793"/>
      <c r="O31" s="5"/>
      <c r="Q31" s="201" t="s">
        <v>741</v>
      </c>
      <c r="R31" s="39" t="s">
        <v>611</v>
      </c>
      <c r="S31" s="19">
        <v>149</v>
      </c>
    </row>
    <row r="32" spans="1:25" ht="12">
      <c r="A32" s="19" t="s">
        <v>265</v>
      </c>
      <c r="B32" s="19"/>
      <c r="C32" s="19"/>
      <c r="D32" s="19"/>
      <c r="E32" s="19"/>
      <c r="F32" s="22"/>
      <c r="J32" s="5"/>
      <c r="L32" s="793"/>
      <c r="O32" s="5"/>
      <c r="Q32" s="201" t="s">
        <v>620</v>
      </c>
      <c r="R32" s="39" t="s">
        <v>621</v>
      </c>
      <c r="S32" s="19">
        <v>194</v>
      </c>
    </row>
    <row r="33" spans="1:19" ht="12">
      <c r="A33" s="19"/>
      <c r="B33" s="19" t="s">
        <v>2710</v>
      </c>
      <c r="C33" s="19"/>
      <c r="D33" s="19"/>
      <c r="E33" s="19"/>
      <c r="F33" s="30" t="s">
        <v>120</v>
      </c>
      <c r="G33" s="1"/>
      <c r="H33" s="5" t="str">
        <f>IF(ISNA(HLOOKUP($E$2,'HLookup Tables'!$H$13:$AL$443,4,FALSE)),"",(HLOOKUP($E$2,'HLookup Tables'!$H$13:$AL$443,4,FALSE)))</f>
        <v/>
      </c>
      <c r="I33" s="5" t="str">
        <f t="shared" ref="I33:I38" si="0">IF(ISERR(G33-H33),"",(G33-H33))</f>
        <v/>
      </c>
      <c r="J33" s="164" t="str">
        <f t="shared" ref="J33:J38" si="1">IF($E$7="","",IF(AND(G33=0,H33=0),"",IF(ISERR(I33/ABS(H33)),100%,I33/ABS(H33))))</f>
        <v/>
      </c>
      <c r="K33" s="310"/>
      <c r="L33" s="793"/>
      <c r="O33" s="5"/>
      <c r="Q33" s="201" t="s">
        <v>622</v>
      </c>
      <c r="R33" s="39" t="s">
        <v>613</v>
      </c>
      <c r="S33" s="19">
        <v>194</v>
      </c>
    </row>
    <row r="34" spans="1:19" ht="12">
      <c r="A34" s="19"/>
      <c r="B34" s="19" t="s">
        <v>574</v>
      </c>
      <c r="C34" s="19"/>
      <c r="D34" s="19"/>
      <c r="E34" s="19"/>
      <c r="F34" s="30" t="s">
        <v>625</v>
      </c>
      <c r="G34" s="1"/>
      <c r="H34" s="5" t="str">
        <f>IF(ISNA(HLOOKUP($E$2,'HLookup Tables'!$H$13:$AL$443,5,FALSE)),"",(HLOOKUP($E$2,'HLookup Tables'!$H$13:$AL$443,5,FALSE)))</f>
        <v/>
      </c>
      <c r="I34" s="5" t="str">
        <f t="shared" si="0"/>
        <v/>
      </c>
      <c r="J34" s="164" t="str">
        <f t="shared" si="1"/>
        <v/>
      </c>
      <c r="K34" s="310"/>
      <c r="L34" s="793"/>
      <c r="O34" s="5"/>
      <c r="Q34" s="201" t="s">
        <v>47</v>
      </c>
      <c r="R34" s="39" t="s">
        <v>677</v>
      </c>
      <c r="S34" s="19">
        <v>720</v>
      </c>
    </row>
    <row r="35" spans="1:19" ht="12">
      <c r="A35" s="39"/>
      <c r="B35" s="19" t="s">
        <v>161</v>
      </c>
      <c r="C35" s="19"/>
      <c r="D35" s="19"/>
      <c r="E35" s="19"/>
      <c r="F35" s="30" t="s">
        <v>388</v>
      </c>
      <c r="G35" s="1"/>
      <c r="H35" s="5" t="str">
        <f>IF(ISNA(HLOOKUP($E$2,'HLookup Tables'!$H$13:$AL$443,6,FALSE)),"",(HLOOKUP($E$2,'HLookup Tables'!$H$13:$AL$443,6,FALSE)))</f>
        <v/>
      </c>
      <c r="I35" s="5" t="str">
        <f t="shared" si="0"/>
        <v/>
      </c>
      <c r="J35" s="164" t="str">
        <f t="shared" si="1"/>
        <v/>
      </c>
      <c r="K35" s="310"/>
      <c r="L35" s="793"/>
      <c r="O35" s="5"/>
      <c r="Q35" s="201" t="s">
        <v>617</v>
      </c>
      <c r="R35" s="39" t="s">
        <v>619</v>
      </c>
      <c r="S35" s="19">
        <v>146</v>
      </c>
    </row>
    <row r="36" spans="1:19" ht="12">
      <c r="A36" s="19"/>
      <c r="B36" s="19" t="s">
        <v>160</v>
      </c>
      <c r="C36" s="19"/>
      <c r="D36" s="19"/>
      <c r="E36" s="19"/>
      <c r="F36" s="22"/>
      <c r="G36" s="1"/>
      <c r="H36" s="5" t="str">
        <f>IF(ISNA(HLOOKUP($E$2,'HLookup Tables'!$H$13:$AL$443,7,FALSE)),"",(HLOOKUP($E$2,'HLookup Tables'!$H$13:$AL$443,7,FALSE)))</f>
        <v/>
      </c>
      <c r="I36" s="5" t="str">
        <f t="shared" si="0"/>
        <v/>
      </c>
      <c r="J36" s="164" t="str">
        <f t="shared" si="1"/>
        <v/>
      </c>
      <c r="K36" s="310"/>
      <c r="L36" s="793"/>
      <c r="O36" s="5"/>
      <c r="Q36" s="201" t="s">
        <v>3540</v>
      </c>
      <c r="R36" s="201" t="s">
        <v>3564</v>
      </c>
      <c r="S36" s="19">
        <v>977</v>
      </c>
    </row>
    <row r="37" spans="1:19" ht="12">
      <c r="A37" s="19"/>
      <c r="B37" s="19" t="s">
        <v>46</v>
      </c>
      <c r="C37" s="19"/>
      <c r="D37" s="19"/>
      <c r="E37" s="19"/>
      <c r="F37" s="30" t="s">
        <v>389</v>
      </c>
      <c r="G37" s="1"/>
      <c r="H37" s="5" t="str">
        <f>IF(ISNA(HLOOKUP($E$2,'HLookup Tables'!$H$13:$AL$443,8,FALSE)),"",(HLOOKUP($E$2,'HLookup Tables'!$H$13:$AL$443,8,FALSE)))</f>
        <v/>
      </c>
      <c r="I37" s="5" t="str">
        <f t="shared" si="0"/>
        <v/>
      </c>
      <c r="J37" s="164" t="str">
        <f t="shared" si="1"/>
        <v/>
      </c>
      <c r="K37" s="310"/>
      <c r="L37" s="793"/>
      <c r="O37" s="5"/>
      <c r="Q37" s="201" t="s">
        <v>908</v>
      </c>
      <c r="R37" s="39" t="s">
        <v>908</v>
      </c>
      <c r="S37" s="19">
        <v>172</v>
      </c>
    </row>
    <row r="38" spans="1:19" ht="12">
      <c r="A38" s="19"/>
      <c r="B38" s="19" t="s">
        <v>188</v>
      </c>
      <c r="C38" s="19"/>
      <c r="D38" s="19"/>
      <c r="E38" s="19"/>
      <c r="F38" s="30" t="s">
        <v>3754</v>
      </c>
      <c r="G38" s="16"/>
      <c r="H38" s="5" t="str">
        <f>IF(ISNA(HLOOKUP($E$2,'HLookup Tables'!$H$13:$AL$443,9,FALSE)),"",(HLOOKUP($E$2,'HLookup Tables'!$H$13:$AL$443,9,FALSE)))</f>
        <v/>
      </c>
      <c r="I38" s="5" t="str">
        <f t="shared" si="0"/>
        <v/>
      </c>
      <c r="J38" s="164" t="str">
        <f t="shared" si="1"/>
        <v/>
      </c>
      <c r="K38" s="310"/>
      <c r="L38" s="793"/>
      <c r="Q38" s="201" t="s">
        <v>399</v>
      </c>
      <c r="R38" s="39" t="s">
        <v>565</v>
      </c>
      <c r="S38" s="19">
        <v>182</v>
      </c>
    </row>
    <row r="39" spans="1:19" ht="12">
      <c r="A39" s="19"/>
      <c r="B39" s="19"/>
      <c r="C39" s="31" t="s">
        <v>226</v>
      </c>
      <c r="D39" s="19"/>
      <c r="E39" s="19"/>
      <c r="F39" s="30" t="s">
        <v>121</v>
      </c>
      <c r="G39" s="32">
        <f>SUM(G33:G38)</f>
        <v>0</v>
      </c>
      <c r="H39" s="32">
        <f>SUM(H33:H38)</f>
        <v>0</v>
      </c>
      <c r="I39" s="32">
        <f>SUM(I33:I38)</f>
        <v>0</v>
      </c>
      <c r="J39" s="165" t="str">
        <f>IF(I39=0,"0%",IF(ISERR(I39/ABS(H39)),100%,I39/ABS(H39)))</f>
        <v>0%</v>
      </c>
      <c r="K39" s="182"/>
      <c r="L39" s="793"/>
      <c r="O39" s="5"/>
      <c r="Q39" s="201" t="s">
        <v>603</v>
      </c>
      <c r="R39" s="39" t="s">
        <v>3191</v>
      </c>
      <c r="S39" s="19">
        <v>174</v>
      </c>
    </row>
    <row r="40" spans="1:19" ht="14.25" customHeight="1">
      <c r="A40" s="19"/>
      <c r="B40" s="19"/>
      <c r="C40" s="19"/>
      <c r="D40" s="19"/>
      <c r="E40" s="19"/>
      <c r="F40" s="22"/>
      <c r="G40" s="5"/>
      <c r="H40" s="5"/>
      <c r="I40" s="5"/>
      <c r="J40" s="5"/>
      <c r="K40" s="182"/>
      <c r="L40" s="793"/>
      <c r="O40" s="5"/>
      <c r="Q40" s="201" t="s">
        <v>564</v>
      </c>
      <c r="R40" s="39" t="s">
        <v>612</v>
      </c>
      <c r="S40" s="19">
        <v>702</v>
      </c>
    </row>
    <row r="41" spans="1:19" ht="14.25" hidden="1" customHeight="1">
      <c r="A41" s="19"/>
      <c r="B41" s="710" t="s">
        <v>421</v>
      </c>
      <c r="C41" s="710"/>
      <c r="D41" s="710"/>
      <c r="E41" s="19"/>
      <c r="F41" s="22"/>
      <c r="G41" s="309"/>
      <c r="H41" s="5" t="str">
        <f>IF(ISNA(HLOOKUP($E$2,'HLookup Tables'!$H$13:$AK$443,12,FALSE)),"",(HLOOKUP($E$2,'HLookup Tables'!$H$13:$AK$443,12,FALSE)))</f>
        <v/>
      </c>
      <c r="I41" s="5" t="str">
        <f>IF(ISERR(G41-H41),"",(G41-H41))</f>
        <v/>
      </c>
      <c r="J41" s="164" t="str">
        <f>IF($E$7="","",IF(AND(G41=0,H41=0),"",IF(ISERR(I41/ABS(H41)),100%,I41/ABS(H41))))</f>
        <v/>
      </c>
      <c r="K41" s="310"/>
      <c r="L41" s="793"/>
      <c r="O41" s="5"/>
      <c r="Q41" s="201" t="s">
        <v>616</v>
      </c>
      <c r="R41" s="39" t="s">
        <v>619</v>
      </c>
      <c r="S41" s="19">
        <v>238</v>
      </c>
    </row>
    <row r="42" spans="1:19" ht="14.25" customHeight="1">
      <c r="A42" s="19"/>
      <c r="B42" s="19" t="s">
        <v>162</v>
      </c>
      <c r="C42" s="19"/>
      <c r="D42" s="19"/>
      <c r="E42" s="19"/>
      <c r="F42" s="22"/>
      <c r="G42" s="16"/>
      <c r="H42" s="5" t="str">
        <f>IF(ISNA(HLOOKUP($E$2,'HLookup Tables'!$H$13:$AL$443,13,FALSE)),"",(HLOOKUP($E$2,'HLookup Tables'!$H$13:$AL$443,13,FALSE)))</f>
        <v/>
      </c>
      <c r="I42" s="5" t="str">
        <f>IF(ISERR(G42-H42),"",(G42-H42))</f>
        <v/>
      </c>
      <c r="J42" s="164" t="str">
        <f>IF($E$7="","",IF(AND(G42=0,H42=0),"",IF(ISERR(I42/ABS(H42)),100%,I42/ABS(H42))))</f>
        <v/>
      </c>
      <c r="K42" s="310"/>
      <c r="L42" s="793"/>
      <c r="O42" s="5"/>
      <c r="Q42" s="201" t="s">
        <v>3330</v>
      </c>
      <c r="R42" s="39" t="s">
        <v>615</v>
      </c>
      <c r="S42" s="19">
        <v>127</v>
      </c>
    </row>
    <row r="43" spans="1:19" ht="12">
      <c r="A43" s="19"/>
      <c r="B43" s="19" t="s">
        <v>569</v>
      </c>
      <c r="C43" s="19"/>
      <c r="D43" s="19"/>
      <c r="E43" s="19"/>
      <c r="F43" s="30"/>
      <c r="G43" s="1"/>
      <c r="H43" s="5" t="str">
        <f>IF(ISNA(HLOOKUP($E$2,'HLookup Tables'!$H$13:$AL$443,14,FALSE)),"",(HLOOKUP($E$2,'HLookup Tables'!$H$13:$AL$443,14,FALSE)))</f>
        <v/>
      </c>
      <c r="I43" s="5" t="str">
        <f>IF(ISERR(G43-H43),"",(G43-H43))</f>
        <v/>
      </c>
      <c r="J43" s="164" t="str">
        <f>IF($E$7="","",IF(AND(G43=0,H43=0),"",IF(ISERR(I43/ABS(H43)),100%,I43/ABS(H43))))</f>
        <v/>
      </c>
      <c r="K43" s="310"/>
      <c r="L43" s="793"/>
      <c r="O43" s="5"/>
      <c r="Q43" s="19" t="s">
        <v>2975</v>
      </c>
      <c r="R43" s="39" t="s">
        <v>2974</v>
      </c>
      <c r="S43" s="19">
        <v>149</v>
      </c>
    </row>
    <row r="44" spans="1:19" ht="12">
      <c r="A44" s="19"/>
      <c r="B44" s="19" t="s">
        <v>189</v>
      </c>
      <c r="C44" s="19"/>
      <c r="D44" s="19"/>
      <c r="E44" s="19"/>
      <c r="F44" s="30" t="s">
        <v>3754</v>
      </c>
      <c r="G44" s="16"/>
      <c r="H44" s="5" t="str">
        <f>IF(ISNA(HLOOKUP($E$2,'HLookup Tables'!$H$13:$AL$443,15,FALSE)),"",(HLOOKUP($E$2,'HLookup Tables'!$H$13:$AL$443,15,FALSE)))</f>
        <v/>
      </c>
      <c r="I44" s="5" t="str">
        <f>IF(ISERR(G44-H44),"",(G44-H44))</f>
        <v/>
      </c>
      <c r="J44" s="164" t="str">
        <f>IF($E$7="","",IF(AND(G44=0,H44=0),"",IF(ISERR(I44/ABS(H44)),100%,I44/ABS(H44))))</f>
        <v/>
      </c>
      <c r="K44" s="310"/>
      <c r="L44" s="793"/>
      <c r="Q44" s="201"/>
      <c r="R44" s="201"/>
    </row>
    <row r="45" spans="1:19" ht="12">
      <c r="A45" s="19"/>
      <c r="B45" s="19"/>
      <c r="C45" s="31" t="s">
        <v>101</v>
      </c>
      <c r="D45" s="19"/>
      <c r="E45" s="19"/>
      <c r="F45" s="30" t="s">
        <v>121</v>
      </c>
      <c r="G45" s="32">
        <f>SUM(G41:G44)</f>
        <v>0</v>
      </c>
      <c r="H45" s="32">
        <f>SUM(H41:H44)</f>
        <v>0</v>
      </c>
      <c r="I45" s="32">
        <f>SUM(I41:I44)</f>
        <v>0</v>
      </c>
      <c r="J45" s="165" t="str">
        <f>IF(I45=0,"0%",IF(ISERR(I45/ABS(H45)),100%,I45/ABS(H45)))</f>
        <v>0%</v>
      </c>
      <c r="K45" s="182"/>
      <c r="L45" s="793"/>
      <c r="O45" s="5"/>
    </row>
    <row r="46" spans="1:19" ht="12">
      <c r="A46" s="19"/>
      <c r="B46" s="19"/>
      <c r="C46" s="31"/>
      <c r="D46" s="19"/>
      <c r="E46" s="19"/>
      <c r="F46" s="30"/>
      <c r="G46" s="5"/>
      <c r="H46" s="5"/>
      <c r="I46" s="5"/>
      <c r="J46" s="252"/>
      <c r="K46" s="182"/>
      <c r="L46" s="793"/>
      <c r="O46" s="5"/>
    </row>
    <row r="47" spans="1:19" ht="12">
      <c r="A47" s="19"/>
      <c r="B47" s="31" t="s">
        <v>2817</v>
      </c>
      <c r="C47" s="31"/>
      <c r="D47" s="19"/>
      <c r="E47" s="19"/>
      <c r="F47" s="30"/>
      <c r="G47" s="1"/>
      <c r="H47" s="5" t="str">
        <f>IF(ISNA(HLOOKUP($E$2,'HLookup Tables'!$H$13:$AL$443,18,FALSE)),"",(HLOOKUP($E$2,'HLookup Tables'!$H$13:$AL$443,18,FALSE)))</f>
        <v/>
      </c>
      <c r="I47" s="5" t="str">
        <f>IF(ISERR(G47-H47),"",(G47-H47))</f>
        <v/>
      </c>
      <c r="J47" s="252" t="str">
        <f>IF($E$7="","",IF(AND(G47=0,H47=0),"",IF(ISERR(I47/ABS(H47)),100%,I47/ABS(H47))))</f>
        <v/>
      </c>
      <c r="K47" s="182"/>
      <c r="L47" s="793"/>
      <c r="O47" s="5"/>
    </row>
    <row r="48" spans="1:19" ht="12">
      <c r="A48" s="19"/>
      <c r="B48" s="19"/>
      <c r="C48" s="19"/>
      <c r="D48" s="19"/>
      <c r="E48" s="19"/>
      <c r="F48" s="22"/>
      <c r="G48" s="5"/>
      <c r="H48" s="5"/>
      <c r="I48" s="5"/>
      <c r="J48" s="5"/>
      <c r="K48" s="182"/>
      <c r="L48" s="793"/>
      <c r="O48" s="5"/>
    </row>
    <row r="49" spans="1:18" ht="12">
      <c r="A49" s="19"/>
      <c r="B49" s="19" t="s">
        <v>2979</v>
      </c>
      <c r="C49" s="19"/>
      <c r="D49" s="19"/>
      <c r="E49" s="19"/>
      <c r="F49" s="30" t="s">
        <v>122</v>
      </c>
      <c r="G49" s="1"/>
      <c r="H49" s="5" t="str">
        <f>IF(ISNA(HLOOKUP($E$2,'HLookup Tables'!$H$13:$AL$443,20,FALSE)),"",(HLOOKUP($E$2,'HLookup Tables'!$H$13:$AL$443,20,FALSE)))</f>
        <v/>
      </c>
      <c r="I49" s="5" t="str">
        <f>IF(ISERR(G49-H49),"",(G49-H49))</f>
        <v/>
      </c>
      <c r="J49" s="164" t="str">
        <f>IF($E$7="","",IF(AND(G49=0,H49=0),"",IF(ISERR(I49/ABS(H49)),100%,I49/ABS(H49))))</f>
        <v/>
      </c>
      <c r="K49" s="310"/>
      <c r="L49" s="793"/>
      <c r="O49" s="5"/>
    </row>
    <row r="50" spans="1:18" ht="12">
      <c r="A50" s="19"/>
      <c r="B50" s="19" t="s">
        <v>2978</v>
      </c>
      <c r="C50" s="19"/>
      <c r="D50" s="19"/>
      <c r="E50" s="19"/>
      <c r="F50" s="30" t="s">
        <v>122</v>
      </c>
      <c r="G50" s="1"/>
      <c r="H50" s="5" t="str">
        <f>IF(ISNA(HLOOKUP($E$2,'HLookup Tables'!$H$13:$AL$443,21,FALSE)),"",(HLOOKUP($E$2,'HLookup Tables'!$H$13:$AL$443,21,FALSE)))</f>
        <v/>
      </c>
      <c r="I50" s="5" t="str">
        <f t="shared" ref="I50:I53" si="2">IF(ISERR(G50-H50),"",(G50-H50))</f>
        <v/>
      </c>
      <c r="J50" s="164" t="str">
        <f t="shared" ref="J50:J54" si="3">IF($E$7="","",IF(AND(G50=0,H50=0),"",IF(ISERR(I50/ABS(H50)),100%,I50/ABS(H50))))</f>
        <v/>
      </c>
      <c r="K50" s="310"/>
      <c r="L50" s="793"/>
      <c r="O50" s="5"/>
      <c r="Q50" s="201"/>
      <c r="R50" s="201"/>
    </row>
    <row r="51" spans="1:18" ht="12">
      <c r="A51" s="19"/>
      <c r="B51" s="19" t="s">
        <v>182</v>
      </c>
      <c r="C51" s="19"/>
      <c r="D51" s="19"/>
      <c r="E51" s="19"/>
      <c r="F51" s="30" t="s">
        <v>122</v>
      </c>
      <c r="G51" s="1"/>
      <c r="H51" s="5" t="str">
        <f>IF(ISNA(HLOOKUP($E$2,'HLookup Tables'!$H$13:$AL$443,22,FALSE)),"",(HLOOKUP($E$2,'HLookup Tables'!$H$13:$AL$443,22,FALSE)))</f>
        <v/>
      </c>
      <c r="I51" s="5" t="str">
        <f t="shared" si="2"/>
        <v/>
      </c>
      <c r="J51" s="164" t="str">
        <f t="shared" si="3"/>
        <v/>
      </c>
      <c r="K51" s="310"/>
      <c r="L51" s="793"/>
      <c r="O51" s="5"/>
      <c r="Q51" s="201"/>
      <c r="R51" s="201"/>
    </row>
    <row r="52" spans="1:18" ht="12">
      <c r="A52" s="19"/>
      <c r="B52" s="19" t="s">
        <v>2977</v>
      </c>
      <c r="C52" s="19"/>
      <c r="D52" s="19"/>
      <c r="E52" s="19"/>
      <c r="F52" s="30" t="s">
        <v>122</v>
      </c>
      <c r="G52" s="1"/>
      <c r="H52" s="5" t="str">
        <f>IF(ISNA(HLOOKUP($E$2,'HLookup Tables'!$H$13:$AL$443,23,FALSE)),"",(HLOOKUP($E$2,'HLookup Tables'!$H$13:$AL$443,23,FALSE)))</f>
        <v/>
      </c>
      <c r="I52" s="5" t="str">
        <f t="shared" si="2"/>
        <v/>
      </c>
      <c r="J52" s="164" t="str">
        <f t="shared" si="3"/>
        <v/>
      </c>
      <c r="K52" s="310"/>
      <c r="L52" s="793"/>
      <c r="O52" s="5"/>
      <c r="Q52" s="201"/>
      <c r="R52" s="201"/>
    </row>
    <row r="53" spans="1:18" ht="12">
      <c r="A53" s="19"/>
      <c r="B53" s="19" t="s">
        <v>3192</v>
      </c>
      <c r="C53" s="19"/>
      <c r="D53" s="19"/>
      <c r="E53" s="19"/>
      <c r="F53" s="30" t="s">
        <v>122</v>
      </c>
      <c r="G53" s="1"/>
      <c r="H53" s="5" t="str">
        <f>IF(ISNA(HLOOKUP($E$2,'HLookup Tables'!$H$13:$AL$443,24,FALSE)),"",(HLOOKUP($E$2,'HLookup Tables'!$H$13:$AL$443,24,FALSE)))</f>
        <v/>
      </c>
      <c r="I53" s="5" t="str">
        <f t="shared" si="2"/>
        <v/>
      </c>
      <c r="J53" s="164" t="str">
        <f t="shared" si="3"/>
        <v/>
      </c>
      <c r="K53" s="310"/>
      <c r="L53" s="793"/>
      <c r="O53" s="5"/>
      <c r="Q53" s="5"/>
    </row>
    <row r="54" spans="1:18" ht="12">
      <c r="A54" s="19"/>
      <c r="B54" s="19" t="s">
        <v>458</v>
      </c>
      <c r="C54" s="19"/>
      <c r="D54" s="19"/>
      <c r="E54" s="598" t="str">
        <f>IF(G54&lt;&gt;0,"Answer Required","N/A")</f>
        <v>N/A</v>
      </c>
      <c r="F54" s="30" t="s">
        <v>122</v>
      </c>
      <c r="G54" s="1"/>
      <c r="H54" s="5" t="str">
        <f>IF(ISNA(HLOOKUP($E$2,'HLookup Tables'!$H$13:$AL$443,25,FALSE)),"",(HLOOKUP($E$2,'HLookup Tables'!$H$13:$AL$443,25,FALSE)))</f>
        <v/>
      </c>
      <c r="I54" s="5" t="str">
        <f>IF(ISERR(G54-H54),"",(G54-H54))</f>
        <v/>
      </c>
      <c r="J54" s="164" t="str">
        <f t="shared" si="3"/>
        <v/>
      </c>
      <c r="K54" s="310"/>
      <c r="L54" s="793"/>
      <c r="O54" s="5"/>
      <c r="Q54" s="5"/>
    </row>
    <row r="55" spans="1:18" ht="12">
      <c r="A55" s="19"/>
      <c r="B55" s="19"/>
      <c r="C55" s="31" t="s">
        <v>227</v>
      </c>
      <c r="D55" s="19"/>
      <c r="E55" s="19"/>
      <c r="F55" s="22"/>
      <c r="G55" s="32">
        <f>SUM(G49:G54)</f>
        <v>0</v>
      </c>
      <c r="H55" s="32">
        <f>SUM(H49:H54)</f>
        <v>0</v>
      </c>
      <c r="I55" s="32">
        <f>SUM(I49:I54)</f>
        <v>0</v>
      </c>
      <c r="J55" s="165" t="str">
        <f>IF(I55=0,"0%",IF(ISERR(I55/ABS(H55)),100%,I55/ABS(H55)))</f>
        <v>0%</v>
      </c>
      <c r="K55" s="182"/>
      <c r="L55" s="793"/>
      <c r="Q55" s="5"/>
    </row>
    <row r="56" spans="1:18" ht="12">
      <c r="A56" s="19"/>
      <c r="B56" s="19"/>
      <c r="C56" s="19"/>
      <c r="D56" s="19"/>
      <c r="E56" s="19"/>
      <c r="F56" s="22"/>
      <c r="G56" s="5"/>
      <c r="H56" s="5"/>
      <c r="I56" s="5"/>
      <c r="J56" s="5"/>
      <c r="K56" s="182"/>
      <c r="L56" s="793"/>
      <c r="Q56" s="5"/>
    </row>
    <row r="57" spans="1:18" ht="12">
      <c r="A57" s="19"/>
      <c r="B57" s="19" t="s">
        <v>575</v>
      </c>
      <c r="C57" s="19"/>
      <c r="D57" s="19"/>
      <c r="E57" s="19"/>
      <c r="F57" s="30" t="s">
        <v>122</v>
      </c>
      <c r="G57" s="1"/>
      <c r="H57" s="5" t="str">
        <f>IF(ISNA(HLOOKUP($E$2,'HLookup Tables'!$H$13:$AL$443,28,FALSE)),"",(HLOOKUP($E$2,'HLookup Tables'!$H$13:$AL$443,28,FALSE)))</f>
        <v/>
      </c>
      <c r="I57" s="5" t="str">
        <f>IF(ISERR(G57-H57),"",(G57-H57))</f>
        <v/>
      </c>
      <c r="J57" s="164" t="str">
        <f>IF($E$7="","",IF(AND(G57=0,H57=0),"",IF(ISERR(I57/ABS(H57)),100%,I57/ABS(H57))))</f>
        <v/>
      </c>
      <c r="K57" s="310"/>
      <c r="L57" s="793"/>
      <c r="Q57" s="5"/>
    </row>
    <row r="58" spans="1:18" ht="12">
      <c r="A58" s="19"/>
      <c r="B58" s="19" t="s">
        <v>179</v>
      </c>
      <c r="C58" s="19"/>
      <c r="D58" s="19"/>
      <c r="E58" s="19"/>
      <c r="F58" s="30" t="s">
        <v>122</v>
      </c>
      <c r="G58" s="1"/>
      <c r="H58" s="5" t="str">
        <f>IF(ISNA(HLOOKUP($E$2,'HLookup Tables'!$H$13:$AL$443,29,FALSE)),"",(HLOOKUP($E$2,'HLookup Tables'!$H$13:$AL$443,29,FALSE)))</f>
        <v/>
      </c>
      <c r="I58" s="5" t="str">
        <f>IF(ISERR(G58-H58),"",(G58-H58))</f>
        <v/>
      </c>
      <c r="J58" s="164" t="str">
        <f>IF($E$7="","",IF(AND(G58=0,H58=0),"",IF(ISERR(I58/ABS(H58)),100%,I58/ABS(H58))))</f>
        <v/>
      </c>
      <c r="K58" s="310"/>
      <c r="L58" s="793"/>
      <c r="Q58" s="5"/>
    </row>
    <row r="59" spans="1:18" ht="12">
      <c r="A59" s="19"/>
      <c r="B59" s="19"/>
      <c r="C59" s="31" t="s">
        <v>913</v>
      </c>
      <c r="D59" s="19"/>
      <c r="E59" s="19"/>
      <c r="F59" s="30"/>
      <c r="G59" s="32">
        <f>SUM(G57:G58)</f>
        <v>0</v>
      </c>
      <c r="H59" s="32">
        <f>SUM(H57:H58)</f>
        <v>0</v>
      </c>
      <c r="I59" s="32">
        <f>SUM(I57:I58)</f>
        <v>0</v>
      </c>
      <c r="J59" s="165" t="str">
        <f>IF(I59=0,"0%",IF(ISERR(I59/ABS(H59)),100%,I59/ABS(H59)))</f>
        <v>0%</v>
      </c>
      <c r="K59" s="310"/>
      <c r="L59" s="793"/>
      <c r="Q59" s="5"/>
    </row>
    <row r="60" spans="1:18" ht="12">
      <c r="A60" s="19"/>
      <c r="B60" s="31"/>
      <c r="C60" s="19"/>
      <c r="D60" s="19"/>
      <c r="E60" s="19"/>
      <c r="F60" s="30"/>
      <c r="G60" s="5"/>
      <c r="H60" s="5"/>
      <c r="I60" s="5"/>
      <c r="J60" s="164"/>
      <c r="K60" s="310"/>
      <c r="L60" s="793"/>
      <c r="Q60" s="5"/>
    </row>
    <row r="61" spans="1:18" ht="12">
      <c r="A61" s="19"/>
      <c r="B61" s="31" t="s">
        <v>586</v>
      </c>
      <c r="C61" s="19"/>
      <c r="D61" s="19"/>
      <c r="E61" s="19"/>
      <c r="F61" s="22"/>
      <c r="G61" s="1"/>
      <c r="H61" s="5" t="str">
        <f>IF(ISNA(HLOOKUP($E$2,'HLookup Tables'!$H$13:$AL$443,31,FALSE)),"",(HLOOKUP($E$2,'HLookup Tables'!$H$13:$AL$443,31,FALSE)))</f>
        <v/>
      </c>
      <c r="I61" s="5" t="str">
        <f>IF(ISERR(G61-H61),"",(G61-H61))</f>
        <v/>
      </c>
      <c r="J61" s="164" t="str">
        <f>IF($E$7="","",IF(AND(G61=0,H61=0),"",IF(ISERR(I61/ABS(H61)),100%,I61/ABS(H61))))</f>
        <v/>
      </c>
      <c r="K61" s="310"/>
      <c r="L61" s="793"/>
      <c r="Q61" s="5"/>
    </row>
    <row r="62" spans="1:18" ht="12">
      <c r="A62" s="19"/>
      <c r="B62" s="31" t="s">
        <v>587</v>
      </c>
      <c r="C62" s="19"/>
      <c r="D62" s="19"/>
      <c r="E62" s="19"/>
      <c r="F62" s="30" t="s">
        <v>123</v>
      </c>
      <c r="G62" s="1"/>
      <c r="H62" s="5" t="str">
        <f>IF(ISNA(HLOOKUP($E$2,'HLookup Tables'!$H$13:$AL$443,32,FALSE)),"",(HLOOKUP($E$2,'HLookup Tables'!$H$13:$AL$443,32,FALSE)))</f>
        <v/>
      </c>
      <c r="I62" s="5" t="str">
        <f>IF(ISERR(G62-H62),"",(G62-H62))</f>
        <v/>
      </c>
      <c r="J62" s="164" t="str">
        <f>IF($E$7="","",IF(AND(G62=0,H62=0),"",IF(ISERR(I62/ABS(H62)),100%,I62/ABS(H62))))</f>
        <v/>
      </c>
      <c r="K62" s="310"/>
      <c r="L62" s="793"/>
      <c r="Q62" s="5"/>
    </row>
    <row r="63" spans="1:18" ht="12">
      <c r="A63" s="19"/>
      <c r="B63" s="31" t="s">
        <v>588</v>
      </c>
      <c r="C63" s="19"/>
      <c r="D63" s="19"/>
      <c r="E63" s="19"/>
      <c r="F63" s="30" t="s">
        <v>123</v>
      </c>
      <c r="G63" s="1"/>
      <c r="H63" s="5" t="str">
        <f>IF(ISNA(HLOOKUP($E$2,'HLookup Tables'!$H$13:$AL$443,33,FALSE)),"",(HLOOKUP($E$2,'HLookup Tables'!$H$13:$AL$443,33,FALSE)))</f>
        <v/>
      </c>
      <c r="I63" s="5" t="str">
        <f>IF(ISERR(G63-H63),"",(G63-H63))</f>
        <v/>
      </c>
      <c r="J63" s="164" t="str">
        <f>IF($E$7="","",IF(AND(G63=0,H63=0),"",IF(ISERR(I63/ABS(H63)),100%,I63/ABS(H63))))</f>
        <v/>
      </c>
      <c r="K63" s="310"/>
      <c r="L63" s="793"/>
      <c r="Q63" s="5"/>
    </row>
    <row r="64" spans="1:18" ht="12">
      <c r="A64" s="19"/>
      <c r="B64" s="19"/>
      <c r="C64" s="19"/>
      <c r="D64" s="19"/>
      <c r="E64" s="19"/>
      <c r="F64" s="22"/>
      <c r="G64" s="5"/>
      <c r="H64" s="5"/>
      <c r="I64" s="5"/>
      <c r="J64" s="5"/>
      <c r="K64" s="182"/>
      <c r="L64" s="793"/>
      <c r="Q64" s="5"/>
    </row>
    <row r="65" spans="1:17" ht="12">
      <c r="A65" s="19"/>
      <c r="B65" s="19" t="s">
        <v>589</v>
      </c>
      <c r="C65" s="31"/>
      <c r="D65" s="19"/>
      <c r="E65" s="19"/>
      <c r="F65" s="22"/>
      <c r="G65" s="1"/>
      <c r="H65" s="5" t="str">
        <f>IF(ISNA(HLOOKUP($E$2,'HLookup Tables'!$H$13:$AL$443,35,FALSE)),"",(HLOOKUP($E$2,'HLookup Tables'!$H$13:$AL$443,35,FALSE)))</f>
        <v/>
      </c>
      <c r="I65" s="5" t="str">
        <f>IF(ISERR(G65-H65),"",(G65-H65))</f>
        <v/>
      </c>
      <c r="J65" s="164" t="str">
        <f>IF($E$7="","",IF(AND(G65=0,H65=0),"",IF(ISERR(I65/ABS(H65)),100%,I65/ABS(H65))))</f>
        <v/>
      </c>
      <c r="K65" s="310"/>
      <c r="L65" s="793"/>
      <c r="Q65" s="5"/>
    </row>
    <row r="66" spans="1:17" ht="12">
      <c r="A66" s="19"/>
      <c r="B66" s="19" t="s">
        <v>570</v>
      </c>
      <c r="C66" s="31"/>
      <c r="D66" s="19"/>
      <c r="E66" s="19"/>
      <c r="F66" s="22"/>
      <c r="G66" s="1"/>
      <c r="H66" s="5" t="str">
        <f>IF(ISNA(HLOOKUP($E$2,'HLookup Tables'!$H$13:$AL$443,36,FALSE)),"",(HLOOKUP($E$2,'HLookup Tables'!$H$13:$AL$443,36,FALSE)))</f>
        <v/>
      </c>
      <c r="I66" s="5" t="str">
        <f>IF(ISERR(G66-H66),"",(G66-H66))</f>
        <v/>
      </c>
      <c r="J66" s="164" t="str">
        <f>IF($E$7="","",IF(AND(G66=0,H66=0),"",IF(ISERR(I66/ABS(H66)),100%,I66/ABS(H66))))</f>
        <v/>
      </c>
      <c r="K66" s="310"/>
      <c r="L66" s="793"/>
      <c r="Q66" s="5"/>
    </row>
    <row r="67" spans="1:17" ht="12" hidden="1">
      <c r="A67" s="19"/>
      <c r="B67" s="710" t="s">
        <v>591</v>
      </c>
      <c r="C67" s="19"/>
      <c r="D67" s="19"/>
      <c r="E67" s="19"/>
      <c r="F67" s="22"/>
      <c r="G67" s="1"/>
      <c r="H67" s="5" t="str">
        <f>IF(ISNA(HLOOKUP($E$2,'HLookup Tables'!$H$13:$AK$443,34,FALSE)),"",(HLOOKUP($E$2,'HLookup Tables'!$H$13:$AK$443,34,FALSE)))</f>
        <v/>
      </c>
      <c r="I67" s="5" t="str">
        <f>IF(ISERR(G67-H67),"",(G67-H67))</f>
        <v/>
      </c>
      <c r="J67" s="164" t="str">
        <f>IF($E$7="","",IF(AND(G67=0,H67=0),"",IF(ISERR(I67/ABS(H67)),100%,I67/ABS(H67))))</f>
        <v/>
      </c>
      <c r="K67" s="310"/>
      <c r="L67" s="793"/>
      <c r="Q67" s="5"/>
    </row>
    <row r="68" spans="1:17" ht="12">
      <c r="A68" s="19"/>
      <c r="B68" s="19" t="s">
        <v>459</v>
      </c>
      <c r="C68" s="19"/>
      <c r="D68" s="19"/>
      <c r="E68" s="598" t="str">
        <f>IF(G68&lt;&gt;0,"Answer Required","N/A")</f>
        <v>N/A</v>
      </c>
      <c r="F68" s="22"/>
      <c r="G68" s="16"/>
      <c r="H68" s="5" t="str">
        <f>IF(ISNA(HLOOKUP($E$2,'HLookup Tables'!$H$13:$AL$443,38,FALSE)),"",(HLOOKUP($E$2,'HLookup Tables'!$H$13:$AL$443,38,FALSE)))</f>
        <v/>
      </c>
      <c r="I68" s="5" t="str">
        <f>IF(ISERR(G68-H68),"",(G68-H68))</f>
        <v/>
      </c>
      <c r="J68" s="164" t="str">
        <f>IF($E$7="","",IF(AND(G68=0,H68=0),"",IF(ISERR(I68/ABS(H68)),100%,I68/ABS(H68))))</f>
        <v/>
      </c>
      <c r="K68" s="310"/>
      <c r="L68" s="793"/>
      <c r="Q68" s="5"/>
    </row>
    <row r="69" spans="1:17" ht="12">
      <c r="A69" s="19"/>
      <c r="B69" s="19"/>
      <c r="C69" s="31" t="s">
        <v>234</v>
      </c>
      <c r="D69" s="19"/>
      <c r="E69" s="19"/>
      <c r="F69" s="22"/>
      <c r="G69" s="32">
        <f>SUM(G65:G68)</f>
        <v>0</v>
      </c>
      <c r="H69" s="32">
        <f>SUM(H65:H68)</f>
        <v>0</v>
      </c>
      <c r="I69" s="32">
        <f>SUM(I65:I68)</f>
        <v>0</v>
      </c>
      <c r="J69" s="165" t="str">
        <f>IF(I69=0,"0%",IF(ISERR(I69/ABS(H69)),100%,I69/ABS(H69)))</f>
        <v>0%</v>
      </c>
      <c r="K69" s="182"/>
      <c r="L69" s="793"/>
      <c r="Q69" s="5"/>
    </row>
    <row r="70" spans="1:17" ht="12">
      <c r="A70" s="19"/>
      <c r="B70" s="19"/>
      <c r="C70" s="31"/>
      <c r="D70" s="19"/>
      <c r="E70" s="19"/>
      <c r="F70" s="22"/>
      <c r="G70" s="5"/>
      <c r="H70" s="5"/>
      <c r="I70" s="5"/>
      <c r="J70" s="5"/>
      <c r="K70" s="182"/>
      <c r="L70" s="793"/>
      <c r="Q70" s="5"/>
    </row>
    <row r="71" spans="1:17" ht="12">
      <c r="A71" s="19"/>
      <c r="B71" s="19"/>
      <c r="C71" s="19"/>
      <c r="D71" s="31" t="s">
        <v>592</v>
      </c>
      <c r="E71" s="19"/>
      <c r="F71" s="22"/>
      <c r="G71" s="32">
        <f>SUM(G39,G45,G47,G55,G59,G61:G63,G69)</f>
        <v>0</v>
      </c>
      <c r="H71" s="32">
        <f>SUM(H39,H45,H47,H55,H59,H61:H63,H69)</f>
        <v>0</v>
      </c>
      <c r="I71" s="32">
        <f>SUM(I39,I45,I47,I55,I59,I61:I63,I69)</f>
        <v>0</v>
      </c>
      <c r="J71" s="165" t="str">
        <f>IF(I71=0,"0%",IF(ISERR(I71/ABS(H71)),100%,I71/ABS(H71)))</f>
        <v>0%</v>
      </c>
      <c r="K71" s="182"/>
      <c r="L71" s="793"/>
      <c r="Q71" s="5"/>
    </row>
    <row r="72" spans="1:17" ht="12">
      <c r="A72" s="19"/>
      <c r="B72" s="19"/>
      <c r="C72" s="19"/>
      <c r="D72" s="19"/>
      <c r="E72" s="19"/>
      <c r="F72" s="22"/>
      <c r="G72" s="5"/>
      <c r="H72" s="5"/>
      <c r="I72" s="5"/>
      <c r="J72" s="5"/>
      <c r="K72" s="182"/>
      <c r="L72" s="793"/>
      <c r="Q72" s="5"/>
    </row>
    <row r="73" spans="1:17" ht="12">
      <c r="A73" s="19" t="s">
        <v>266</v>
      </c>
      <c r="B73" s="19"/>
      <c r="C73" s="19"/>
      <c r="D73" s="19"/>
      <c r="E73" s="19"/>
      <c r="F73" s="22"/>
      <c r="G73" s="5"/>
      <c r="H73" s="5"/>
      <c r="I73" s="5"/>
      <c r="J73" s="5"/>
      <c r="K73" s="182"/>
      <c r="L73" s="793"/>
      <c r="Q73" s="5"/>
    </row>
    <row r="74" spans="1:17" ht="12" hidden="1">
      <c r="A74" s="19"/>
      <c r="B74" s="19" t="s">
        <v>162</v>
      </c>
      <c r="C74" s="19"/>
      <c r="D74" s="19"/>
      <c r="E74" s="19"/>
      <c r="F74" s="22"/>
      <c r="G74" s="309"/>
      <c r="H74" s="5" t="str">
        <f>IF(ISNA(HLOOKUP($E$2,'HLookup Tables'!$H$13:$AK$443,44,FALSE)),"",(HLOOKUP($E$2,'HLookup Tables'!$H$13:$AK$443,44,FALSE)))</f>
        <v/>
      </c>
      <c r="I74" s="5" t="str">
        <f>IF(ISERR(G74-H74),"",(G74-H74))</f>
        <v/>
      </c>
      <c r="J74" s="164" t="str">
        <f>IF($E$7="","",IF(AND(G74=0,H74=0),"",IF(ISERR(I74/ABS(H74)),100%,I74/ABS(H74))))</f>
        <v/>
      </c>
      <c r="K74" s="310"/>
      <c r="L74" s="793"/>
      <c r="Q74" s="5"/>
    </row>
    <row r="75" spans="1:17" ht="12">
      <c r="A75" s="19"/>
      <c r="B75" s="19" t="s">
        <v>569</v>
      </c>
      <c r="C75" s="19"/>
      <c r="D75" s="19"/>
      <c r="E75" s="19"/>
      <c r="F75" s="30"/>
      <c r="G75" s="1"/>
      <c r="H75" s="5" t="str">
        <f>IF(ISNA(HLOOKUP($E$2,'HLookup Tables'!$H$13:$AL$443,45,FALSE)),"",(HLOOKUP($E$2,'HLookup Tables'!$H$13:$AL$443,45,FALSE)))</f>
        <v/>
      </c>
      <c r="I75" s="5" t="str">
        <f>IF(ISERR(G75-H75),"",(G75-H75))</f>
        <v/>
      </c>
      <c r="J75" s="164" t="str">
        <f>IF($E$7="","",IF(AND(G75=0,H75=0),"",IF(ISERR(I75/ABS(H75)),100%,I75/ABS(H75))))</f>
        <v/>
      </c>
      <c r="K75" s="310"/>
      <c r="L75" s="793"/>
      <c r="Q75" s="5"/>
    </row>
    <row r="76" spans="1:17" ht="12">
      <c r="A76" s="19"/>
      <c r="B76" s="19" t="s">
        <v>189</v>
      </c>
      <c r="C76" s="19"/>
      <c r="D76" s="19"/>
      <c r="E76" s="19"/>
      <c r="F76" s="30" t="s">
        <v>3754</v>
      </c>
      <c r="G76" s="16"/>
      <c r="H76" s="5" t="str">
        <f>IF(ISNA(HLOOKUP($E$2,'HLookup Tables'!$H$13:$AL$443,46,FALSE)),"",(HLOOKUP($E$2,'HLookup Tables'!$H$13:$AL$443,46,FALSE)))</f>
        <v/>
      </c>
      <c r="I76" s="5" t="str">
        <f>IF(ISERR(G76-H76),"",(G76-H76))</f>
        <v/>
      </c>
      <c r="J76" s="164" t="str">
        <f>IF($E$7="","",IF(AND(G76=0,H76=0),"",IF(ISERR(I76/ABS(H76)),100%,I76/ABS(H76))))</f>
        <v/>
      </c>
      <c r="K76" s="310"/>
      <c r="L76" s="793"/>
      <c r="Q76" s="5"/>
    </row>
    <row r="77" spans="1:17" ht="12">
      <c r="A77" s="19"/>
      <c r="B77" s="19"/>
      <c r="C77" s="31" t="s">
        <v>228</v>
      </c>
      <c r="D77" s="19"/>
      <c r="E77" s="19"/>
      <c r="F77" s="30" t="s">
        <v>121</v>
      </c>
      <c r="G77" s="32">
        <f>SUM(G74:G76)</f>
        <v>0</v>
      </c>
      <c r="H77" s="32">
        <f>SUM(H74:H76)</f>
        <v>0</v>
      </c>
      <c r="I77" s="32">
        <f>SUM(I74:I76)</f>
        <v>0</v>
      </c>
      <c r="J77" s="165" t="str">
        <f>IF(I77=0,"0%",IF(ISERR(I77/ABS(H77)),100%,I77/ABS(H77)))</f>
        <v>0%</v>
      </c>
      <c r="K77" s="182"/>
      <c r="L77" s="793"/>
      <c r="Q77" s="5"/>
    </row>
    <row r="78" spans="1:17" ht="12">
      <c r="A78" s="19"/>
      <c r="B78" s="19"/>
      <c r="C78" s="31"/>
      <c r="D78" s="19"/>
      <c r="E78" s="19"/>
      <c r="F78" s="30"/>
      <c r="G78" s="5"/>
      <c r="H78" s="5"/>
      <c r="I78" s="5"/>
      <c r="J78" s="252"/>
      <c r="K78" s="182"/>
      <c r="L78" s="793"/>
      <c r="Q78" s="5"/>
    </row>
    <row r="79" spans="1:17" ht="12">
      <c r="A79" s="19"/>
      <c r="B79" s="31" t="s">
        <v>2817</v>
      </c>
      <c r="C79" s="31"/>
      <c r="D79" s="19"/>
      <c r="E79" s="19"/>
      <c r="F79" s="30"/>
      <c r="G79" s="1"/>
      <c r="H79" s="5" t="str">
        <f>IF(ISNA(HLOOKUP($E$2,'HLookup Tables'!$H$13:$AL$443,49,FALSE)),"",(HLOOKUP($E$2,'HLookup Tables'!$H$13:$AL$443,49,FALSE)))</f>
        <v/>
      </c>
      <c r="I79" s="5" t="str">
        <f>IF(ISERR(G79-H79),"",(G79-H79))</f>
        <v/>
      </c>
      <c r="J79" s="252" t="str">
        <f>IF($E$7="","",IF(AND(G79=0,H79=0),"",IF(ISERR(I79/ABS(H79)),100%,I79/ABS(H79))))</f>
        <v/>
      </c>
      <c r="K79" s="182"/>
      <c r="L79" s="793"/>
      <c r="Q79" s="5"/>
    </row>
    <row r="80" spans="1:17" ht="12">
      <c r="A80" s="19"/>
      <c r="B80" s="31"/>
      <c r="C80" s="19"/>
      <c r="D80" s="19"/>
      <c r="E80" s="19"/>
      <c r="F80" s="22"/>
      <c r="G80" s="5"/>
      <c r="H80" s="5"/>
      <c r="I80" s="5"/>
      <c r="J80" s="5"/>
      <c r="K80" s="182"/>
      <c r="L80" s="793"/>
      <c r="Q80" s="5"/>
    </row>
    <row r="81" spans="1:17" ht="12">
      <c r="A81" s="19"/>
      <c r="B81" s="19" t="s">
        <v>2979</v>
      </c>
      <c r="C81" s="19"/>
      <c r="D81" s="19"/>
      <c r="E81" s="19"/>
      <c r="F81" s="30" t="s">
        <v>122</v>
      </c>
      <c r="G81" s="1"/>
      <c r="H81" s="5" t="str">
        <f>IF(ISNA(HLOOKUP($E$2,'HLookup Tables'!$H$13:$AL$443,51,FALSE)),"",(HLOOKUP($E$2,'HLookup Tables'!$H$13:$AL$443,51,FALSE)))</f>
        <v/>
      </c>
      <c r="I81" s="5" t="str">
        <f>IF(ISERR(G81-H81),"",(G81-H81))</f>
        <v/>
      </c>
      <c r="J81" s="164" t="str">
        <f>IF($E$7="","",IF(AND(G81=0,H81=0),"",IF(ISERR(I81/ABS(H81)),100%,I81/ABS(H81))))</f>
        <v/>
      </c>
      <c r="K81" s="310"/>
      <c r="L81" s="793"/>
      <c r="Q81" s="5"/>
    </row>
    <row r="82" spans="1:17" ht="12">
      <c r="A82" s="19"/>
      <c r="B82" s="19" t="s">
        <v>2978</v>
      </c>
      <c r="C82" s="19"/>
      <c r="D82" s="19"/>
      <c r="E82" s="19"/>
      <c r="F82" s="30" t="s">
        <v>122</v>
      </c>
      <c r="G82" s="1"/>
      <c r="H82" s="5" t="str">
        <f>IF(ISNA(HLOOKUP($E$2,'HLookup Tables'!$H$13:$AL$443,52,FALSE)),"",(HLOOKUP($E$2,'HLookup Tables'!$H$13:$AL$443,52,FALSE)))</f>
        <v/>
      </c>
      <c r="I82" s="5" t="str">
        <f t="shared" ref="I82:I85" si="4">IF(ISERR(G82-H82),"",(G82-H82))</f>
        <v/>
      </c>
      <c r="J82" s="164" t="str">
        <f t="shared" ref="J82:J87" si="5">IF($E$7="","",IF(AND(G82=0,H82=0),"",IF(ISERR(I82/ABS(H82)),100%,I82/ABS(H82))))</f>
        <v/>
      </c>
      <c r="K82" s="310"/>
      <c r="L82" s="793"/>
      <c r="Q82" s="5"/>
    </row>
    <row r="83" spans="1:17" ht="12">
      <c r="A83" s="19"/>
      <c r="B83" s="19" t="s">
        <v>182</v>
      </c>
      <c r="C83" s="19"/>
      <c r="D83" s="19"/>
      <c r="E83" s="19"/>
      <c r="F83" s="30" t="s">
        <v>122</v>
      </c>
      <c r="G83" s="1"/>
      <c r="H83" s="5" t="str">
        <f>IF(ISNA(HLOOKUP($E$2,'HLookup Tables'!$H$13:$AL$443,53,FALSE)),"",(HLOOKUP($E$2,'HLookup Tables'!$H$13:$AL$443,53,FALSE)))</f>
        <v/>
      </c>
      <c r="I83" s="5" t="str">
        <f t="shared" si="4"/>
        <v/>
      </c>
      <c r="J83" s="164" t="str">
        <f t="shared" si="5"/>
        <v/>
      </c>
      <c r="K83" s="310"/>
      <c r="L83" s="793"/>
      <c r="Q83" s="5"/>
    </row>
    <row r="84" spans="1:17" ht="12">
      <c r="A84" s="19"/>
      <c r="B84" s="19" t="s">
        <v>2977</v>
      </c>
      <c r="C84" s="19"/>
      <c r="D84" s="19"/>
      <c r="E84" s="19"/>
      <c r="F84" s="30" t="s">
        <v>122</v>
      </c>
      <c r="G84" s="1"/>
      <c r="H84" s="5" t="str">
        <f>IF(ISNA(HLOOKUP($E$2,'HLookup Tables'!$H$13:$AL$443,54,FALSE)),"",(HLOOKUP($E$2,'HLookup Tables'!$H$13:$AL$443,54,FALSE)))</f>
        <v/>
      </c>
      <c r="I84" s="5" t="str">
        <f t="shared" si="4"/>
        <v/>
      </c>
      <c r="J84" s="164" t="str">
        <f t="shared" si="5"/>
        <v/>
      </c>
      <c r="K84" s="310"/>
      <c r="L84" s="793"/>
      <c r="Q84" s="5"/>
    </row>
    <row r="85" spans="1:17" ht="12">
      <c r="A85" s="19"/>
      <c r="B85" s="19" t="s">
        <v>3192</v>
      </c>
      <c r="C85" s="19"/>
      <c r="D85" s="19"/>
      <c r="E85" s="19"/>
      <c r="F85" s="30" t="s">
        <v>122</v>
      </c>
      <c r="G85" s="1"/>
      <c r="H85" s="5" t="str">
        <f>IF(ISNA(HLOOKUP($E$2,'HLookup Tables'!$H$13:$AL$443,55,FALSE)),"",(HLOOKUP($E$2,'HLookup Tables'!$H$13:$AL$443,55,FALSE)))</f>
        <v/>
      </c>
      <c r="I85" s="5" t="str">
        <f t="shared" si="4"/>
        <v/>
      </c>
      <c r="J85" s="164" t="str">
        <f t="shared" si="5"/>
        <v/>
      </c>
      <c r="K85" s="310"/>
      <c r="L85" s="793"/>
      <c r="Q85" s="5"/>
    </row>
    <row r="86" spans="1:17" ht="12">
      <c r="A86" s="19"/>
      <c r="B86" s="19" t="s">
        <v>458</v>
      </c>
      <c r="C86" s="19"/>
      <c r="D86" s="19"/>
      <c r="E86" s="598" t="str">
        <f>IF(G86&lt;&gt;0,"Answer Required","N/A")</f>
        <v>N/A</v>
      </c>
      <c r="F86" s="30" t="s">
        <v>122</v>
      </c>
      <c r="G86" s="1"/>
      <c r="H86" s="5" t="str">
        <f>IF(ISNA(HLOOKUP($E$2,'HLookup Tables'!$H$13:$AL$443,56,FALSE)),"",(HLOOKUP($E$2,'HLookup Tables'!$H$13:$AL$443,56,FALSE)))</f>
        <v/>
      </c>
      <c r="I86" s="5" t="str">
        <f>IF(ISERR(G86-H86),"",(G86-H86))</f>
        <v/>
      </c>
      <c r="J86" s="164" t="str">
        <f t="shared" si="5"/>
        <v/>
      </c>
      <c r="K86" s="310"/>
      <c r="L86" s="793"/>
      <c r="Q86" s="5"/>
    </row>
    <row r="87" spans="1:17" ht="12" hidden="1">
      <c r="A87" s="19"/>
      <c r="B87" s="710" t="s">
        <v>179</v>
      </c>
      <c r="C87" s="19"/>
      <c r="D87" s="19"/>
      <c r="E87" s="19"/>
      <c r="F87" s="30" t="s">
        <v>122</v>
      </c>
      <c r="G87" s="776"/>
      <c r="H87" s="5" t="str">
        <f>IF(ISNA(HLOOKUP($E$2,'HLookup Tables'!$H$13:$AK$443,57,FALSE)),"",(HLOOKUP($E$2,'HLookup Tables'!$H$13:$AK$443,57,FALSE)))</f>
        <v/>
      </c>
      <c r="I87" s="5" t="str">
        <f>IF(ISERR(G87-H87),"",(G87-H87))</f>
        <v/>
      </c>
      <c r="J87" s="164" t="str">
        <f t="shared" si="5"/>
        <v/>
      </c>
      <c r="K87" s="310"/>
      <c r="L87" s="793"/>
      <c r="Q87" s="5"/>
    </row>
    <row r="88" spans="1:17" ht="12">
      <c r="A88" s="19"/>
      <c r="B88" s="19"/>
      <c r="C88" s="31" t="s">
        <v>227</v>
      </c>
      <c r="D88" s="19"/>
      <c r="E88" s="19"/>
      <c r="F88" s="22"/>
      <c r="G88" s="32">
        <f>SUM(G81:G87)</f>
        <v>0</v>
      </c>
      <c r="H88" s="32">
        <f>SUM(H81:H87)</f>
        <v>0</v>
      </c>
      <c r="I88" s="32">
        <f>SUM(I81:I87)</f>
        <v>0</v>
      </c>
      <c r="J88" s="165" t="str">
        <f>IF(I88=0,"0%",IF(ISERR(I88/ABS(H88)),100%,I88/ABS(H88)))</f>
        <v>0%</v>
      </c>
      <c r="K88" s="182"/>
      <c r="L88" s="793"/>
      <c r="Q88" s="5"/>
    </row>
    <row r="89" spans="1:17" ht="12">
      <c r="A89" s="19"/>
      <c r="B89" s="31"/>
      <c r="C89" s="19"/>
      <c r="D89" s="19"/>
      <c r="E89" s="19"/>
      <c r="F89" s="22"/>
      <c r="G89" s="5"/>
      <c r="H89" s="5"/>
      <c r="I89" s="5"/>
      <c r="J89" s="5"/>
      <c r="K89" s="182"/>
      <c r="L89" s="793"/>
      <c r="Q89" s="5"/>
    </row>
    <row r="90" spans="1:17" ht="12" hidden="1">
      <c r="A90" s="19"/>
      <c r="B90" s="710" t="s">
        <v>591</v>
      </c>
      <c r="C90" s="31"/>
      <c r="D90" s="19"/>
      <c r="E90" s="19"/>
      <c r="F90" s="22"/>
      <c r="G90" s="309"/>
      <c r="H90" s="5" t="str">
        <f>IF(ISNA(HLOOKUP($E$2,'HLookup Tables'!$H$13:$AK$443,62,FALSE)),"",(HLOOKUP($E$2,'HLookup Tables'!$H$13:$AK$443,62,FALSE)))</f>
        <v/>
      </c>
      <c r="I90" s="5" t="str">
        <f>IF(ISERR(G90-H90),"",(G90-H90))</f>
        <v/>
      </c>
      <c r="J90" s="164" t="str">
        <f>IF($E$7="","",IF(AND(G90=0,H90=0),"",IF(ISERR(I90/ABS(H90)),100%,I90/ABS(H90))))</f>
        <v/>
      </c>
      <c r="K90" s="310"/>
      <c r="L90" s="793"/>
      <c r="Q90" s="5"/>
    </row>
    <row r="91" spans="1:17" ht="12">
      <c r="A91" s="19"/>
      <c r="B91" s="19" t="s">
        <v>459</v>
      </c>
      <c r="C91" s="31"/>
      <c r="D91" s="19"/>
      <c r="E91" s="598" t="str">
        <f>IF(G91&lt;&gt;0,"Answer Required","N/A")</f>
        <v>N/A</v>
      </c>
      <c r="F91" s="22"/>
      <c r="G91" s="16"/>
      <c r="H91" s="5" t="str">
        <f>IF(ISNA(HLOOKUP($E$2,'HLookup Tables'!$H$13:$AL$443,63,FALSE)),"",(HLOOKUP($E$2,'HLookup Tables'!$H$13:$AL$443,63,FALSE)))</f>
        <v/>
      </c>
      <c r="I91" s="5" t="str">
        <f>IF(ISERR(G91-H91),"",(G91-H91))</f>
        <v/>
      </c>
      <c r="J91" s="164" t="str">
        <f>IF($E$7="","",IF(AND(G91=0,H91=0),"",IF(ISERR(I91/ABS(H91)),100%,I91/ABS(H91))))</f>
        <v/>
      </c>
      <c r="K91" s="310"/>
      <c r="L91" s="793"/>
      <c r="Q91" s="5"/>
    </row>
    <row r="92" spans="1:17" ht="12">
      <c r="A92" s="19"/>
      <c r="B92" s="19"/>
      <c r="C92" s="19"/>
      <c r="D92" s="31" t="s">
        <v>229</v>
      </c>
      <c r="E92" s="19"/>
      <c r="F92" s="22"/>
      <c r="G92" s="32">
        <f>SUM(G90:G91)</f>
        <v>0</v>
      </c>
      <c r="H92" s="32">
        <f>SUM(H90:H91)</f>
        <v>0</v>
      </c>
      <c r="I92" s="32">
        <f>SUM(I90:I91)</f>
        <v>0</v>
      </c>
      <c r="J92" s="165" t="str">
        <f>IF(I92=0,"0%",IF(ISERR(I92/ABS(H92)),100%,I92/ABS(H92)))</f>
        <v>0%</v>
      </c>
      <c r="K92" s="182"/>
      <c r="L92" s="793"/>
      <c r="Q92" s="5"/>
    </row>
    <row r="93" spans="1:17" ht="12">
      <c r="A93" s="19"/>
      <c r="B93" s="31"/>
      <c r="C93" s="19"/>
      <c r="D93" s="19"/>
      <c r="E93" s="19"/>
      <c r="F93" s="22"/>
      <c r="G93" s="5"/>
      <c r="H93" s="5"/>
      <c r="I93" s="5"/>
      <c r="J93" s="5"/>
      <c r="K93" s="182"/>
      <c r="L93" s="793"/>
      <c r="Q93" s="5"/>
    </row>
    <row r="94" spans="1:17" ht="12">
      <c r="A94" s="19"/>
      <c r="B94" s="31" t="s">
        <v>191</v>
      </c>
      <c r="C94" s="19"/>
      <c r="D94" s="19"/>
      <c r="E94" s="19"/>
      <c r="F94" s="30" t="s">
        <v>124</v>
      </c>
      <c r="G94" s="1"/>
      <c r="H94" s="5" t="str">
        <f>IF(ISNA(HLOOKUP($E$2,'HLookup Tables'!$H$13:$AL$443,66,FALSE)),"",(HLOOKUP($E$2,'HLookup Tables'!$H$13:$AL$443,66,FALSE)))</f>
        <v/>
      </c>
      <c r="I94" s="5" t="str">
        <f>IF(ISERR(G94-H94),"",(G94-H94))</f>
        <v/>
      </c>
      <c r="J94" s="164" t="str">
        <f>IF($E$7="","",IF(AND(G94=0,H94=0),"",IF(ISERR(I94/ABS(H94)),100%,I94/ABS(H94))))</f>
        <v/>
      </c>
      <c r="K94" s="310"/>
      <c r="L94" s="793"/>
      <c r="Q94" s="5"/>
    </row>
    <row r="95" spans="1:17" ht="12">
      <c r="A95" s="19"/>
      <c r="B95" s="31" t="s">
        <v>3349</v>
      </c>
      <c r="C95" s="19"/>
      <c r="D95" s="19"/>
      <c r="E95" s="19"/>
      <c r="F95" s="30" t="s">
        <v>124</v>
      </c>
      <c r="G95" s="1"/>
      <c r="H95" s="5" t="str">
        <f>IF(ISNA(HLOOKUP($E$2,'HLookup Tables'!$H$13:$AL$443,67,FALSE)),"",(HLOOKUP($E$2,'HLookup Tables'!$H$13:$AL$443,67,FALSE)))</f>
        <v/>
      </c>
      <c r="I95" s="5" t="str">
        <f>IF(ISERR(G95-H95),"",(G95-H95))</f>
        <v/>
      </c>
      <c r="J95" s="164" t="str">
        <f>IF($E$7="","",IF(AND(G95=0,H95=0),"",IF(ISERR(I95/ABS(H95)),100%,I95/ABS(H95))))</f>
        <v/>
      </c>
      <c r="K95" s="310"/>
      <c r="L95" s="793"/>
      <c r="Q95" s="5"/>
    </row>
    <row r="96" spans="1:17" ht="12">
      <c r="A96" s="19"/>
      <c r="B96" s="19"/>
      <c r="C96" s="31"/>
      <c r="D96" s="19"/>
      <c r="E96" s="19"/>
      <c r="F96" s="22"/>
      <c r="G96" s="5"/>
      <c r="H96" s="5"/>
      <c r="I96" s="5"/>
      <c r="J96" s="5"/>
      <c r="K96" s="182"/>
      <c r="L96" s="793"/>
      <c r="Q96" s="5"/>
    </row>
    <row r="97" spans="1:19" ht="12">
      <c r="A97" s="19"/>
      <c r="B97" s="19"/>
      <c r="C97" s="31"/>
      <c r="D97" s="31" t="s">
        <v>593</v>
      </c>
      <c r="E97" s="19"/>
      <c r="F97" s="22"/>
      <c r="G97" s="32">
        <f>SUM(G77,G79,G88,G92,G94:G95)</f>
        <v>0</v>
      </c>
      <c r="H97" s="32">
        <f>SUM(H77,H79,H88,H92,H94:H95)</f>
        <v>0</v>
      </c>
      <c r="I97" s="32">
        <f>SUM(I77,I79,I88,I92,I94:I95)</f>
        <v>0</v>
      </c>
      <c r="J97" s="165" t="str">
        <f>IF(I97=0,"0%",IF(ISERR(I97/ABS(H97)),100%,I97/ABS(H97)))</f>
        <v>0%</v>
      </c>
      <c r="K97" s="182"/>
      <c r="L97" s="793"/>
      <c r="Q97" s="5"/>
    </row>
    <row r="98" spans="1:19" ht="12">
      <c r="A98" s="19"/>
      <c r="B98" s="19"/>
      <c r="C98" s="31"/>
      <c r="D98" s="19"/>
      <c r="E98" s="19"/>
      <c r="F98" s="22"/>
      <c r="G98" s="5"/>
      <c r="H98" s="5"/>
      <c r="I98" s="5"/>
      <c r="J98" s="5"/>
      <c r="K98" s="182"/>
      <c r="L98" s="793"/>
      <c r="Q98" s="5"/>
    </row>
    <row r="99" spans="1:19" ht="12">
      <c r="A99" s="19"/>
      <c r="B99" s="19"/>
      <c r="C99" s="19"/>
      <c r="D99" s="19"/>
      <c r="E99" s="33" t="s">
        <v>594</v>
      </c>
      <c r="F99" s="22"/>
      <c r="G99" s="32">
        <f>SUM(G71,G97)</f>
        <v>0</v>
      </c>
      <c r="H99" s="32">
        <f>SUM(H71,H97)</f>
        <v>0</v>
      </c>
      <c r="I99" s="32">
        <f>SUM(I71,I97)</f>
        <v>0</v>
      </c>
      <c r="J99" s="165" t="str">
        <f>IF(I99=0,"0%",IF(ISERR(I99/ABS(H99)),100%,I99/ABS(H99)))</f>
        <v>0%</v>
      </c>
      <c r="K99" s="182"/>
      <c r="L99" s="794"/>
      <c r="Q99" s="5"/>
    </row>
    <row r="100" spans="1:19" ht="12">
      <c r="A100" s="19"/>
      <c r="B100" s="19"/>
      <c r="C100" s="19"/>
      <c r="D100" s="19"/>
      <c r="E100" s="33"/>
      <c r="F100" s="22"/>
      <c r="G100" s="5"/>
      <c r="H100" s="5"/>
      <c r="I100" s="5"/>
      <c r="J100" s="252"/>
      <c r="K100" s="182"/>
      <c r="L100" s="794"/>
      <c r="Q100" s="5"/>
    </row>
    <row r="101" spans="1:19" ht="12">
      <c r="A101" s="34" t="s">
        <v>768</v>
      </c>
      <c r="B101" s="19"/>
      <c r="C101" s="19"/>
      <c r="D101" s="19"/>
      <c r="E101" s="33"/>
      <c r="F101" s="30" t="s">
        <v>123</v>
      </c>
      <c r="G101" s="1"/>
      <c r="H101" s="5" t="str">
        <f>IF(ISNA(HLOOKUP($E$2,'HLookup Tables'!$H$13:$AL$443,73,FALSE)),"",(HLOOKUP($E$2,'HLookup Tables'!$H$13:$AL$443,73,FALSE)))</f>
        <v/>
      </c>
      <c r="I101" s="5" t="str">
        <f>IF(ISERR(G101-H101),"",(G101-H101))</f>
        <v/>
      </c>
      <c r="J101" s="164" t="str">
        <f>IF($E$7="","",IF(AND(G101=0,H101=0),"",IF(ISERR(I101/ABS(H101)),100%,I101/ABS(H101))))</f>
        <v/>
      </c>
      <c r="K101" s="310"/>
      <c r="L101" s="794"/>
      <c r="Q101" s="5"/>
    </row>
    <row r="102" spans="1:19" ht="12">
      <c r="A102" s="34"/>
      <c r="B102" s="19"/>
      <c r="C102" s="19"/>
      <c r="D102" s="19"/>
      <c r="E102" s="33"/>
      <c r="F102" s="22"/>
      <c r="G102" s="5"/>
      <c r="H102" s="5"/>
      <c r="I102" s="5"/>
      <c r="J102" s="225"/>
      <c r="K102" s="182"/>
      <c r="L102" s="794"/>
      <c r="Q102" s="5"/>
    </row>
    <row r="103" spans="1:19" ht="12">
      <c r="A103" s="34"/>
      <c r="B103" s="19"/>
      <c r="C103" s="19"/>
      <c r="D103" s="19"/>
      <c r="E103" s="33" t="s">
        <v>769</v>
      </c>
      <c r="F103" s="22"/>
      <c r="G103" s="32">
        <f>SUM(G99,G101)</f>
        <v>0</v>
      </c>
      <c r="H103" s="32">
        <f>SUM(H99,H101)</f>
        <v>0</v>
      </c>
      <c r="I103" s="32">
        <f>SUM(I99,I101)</f>
        <v>0</v>
      </c>
      <c r="J103" s="165" t="str">
        <f>IF(I103=0,"0%",IF(ISERR(I103/ABS(H103)),100%,I103/ABS(H103)))</f>
        <v>0%</v>
      </c>
      <c r="K103" s="182"/>
      <c r="L103" s="794"/>
      <c r="Q103" s="5"/>
    </row>
    <row r="104" spans="1:19" ht="12">
      <c r="A104" s="19"/>
      <c r="B104" s="19"/>
      <c r="C104" s="19"/>
      <c r="D104" s="19"/>
      <c r="E104" s="33"/>
      <c r="F104" s="22"/>
      <c r="G104" s="5"/>
      <c r="J104" s="25"/>
      <c r="K104" s="182"/>
      <c r="L104" s="794"/>
      <c r="Q104" s="5"/>
    </row>
    <row r="105" spans="1:19" ht="12.75" customHeight="1">
      <c r="A105" s="1022" t="str">
        <f>A7</f>
        <v>Fund Name:</v>
      </c>
      <c r="B105" s="1022"/>
      <c r="C105" s="1022"/>
      <c r="D105" s="1022"/>
      <c r="E105" s="20" t="str">
        <f>E7</f>
        <v/>
      </c>
      <c r="F105" s="22"/>
      <c r="G105" s="25"/>
      <c r="J105" s="25"/>
      <c r="K105" s="182"/>
      <c r="L105" s="794"/>
      <c r="Q105" s="5"/>
    </row>
    <row r="106" spans="1:19" ht="12">
      <c r="A106" s="34"/>
      <c r="B106" s="19"/>
      <c r="C106" s="19"/>
      <c r="D106" s="19"/>
      <c r="E106" s="19"/>
      <c r="F106" s="22"/>
      <c r="G106" s="25"/>
      <c r="J106" s="25"/>
      <c r="K106" s="182"/>
      <c r="L106" s="794"/>
      <c r="Q106" s="25"/>
    </row>
    <row r="107" spans="1:19" ht="10.5" customHeight="1">
      <c r="A107" s="13" t="str">
        <f>A26</f>
        <v>Statement of Net Position</v>
      </c>
      <c r="B107" s="13"/>
      <c r="C107" s="13"/>
      <c r="D107" s="34"/>
      <c r="F107" s="22"/>
      <c r="G107" s="25"/>
      <c r="J107" s="27"/>
      <c r="K107" s="182"/>
      <c r="L107" s="795"/>
      <c r="Q107" s="25"/>
    </row>
    <row r="108" spans="1:19" ht="14.25" customHeight="1">
      <c r="A108" s="28" t="str">
        <f>A27</f>
        <v>For the Year Ended June 30, 2024</v>
      </c>
      <c r="B108" s="38"/>
      <c r="C108" s="28"/>
      <c r="D108" s="28"/>
      <c r="E108" s="34"/>
      <c r="F108" s="1017" t="s">
        <v>602</v>
      </c>
      <c r="G108" s="27"/>
      <c r="K108" s="182"/>
      <c r="L108" s="794"/>
      <c r="O108" s="25"/>
      <c r="Q108" s="25"/>
    </row>
    <row r="109" spans="1:19" ht="12.75" customHeight="1">
      <c r="A109" s="35"/>
      <c r="B109" s="19"/>
      <c r="C109" s="19"/>
      <c r="D109" s="19"/>
      <c r="E109" s="29" t="s">
        <v>360</v>
      </c>
      <c r="F109" s="1033"/>
      <c r="G109" s="29" t="str">
        <f>G29</f>
        <v>Template</v>
      </c>
      <c r="H109" s="29" t="s">
        <v>261</v>
      </c>
      <c r="I109" s="29" t="str">
        <f>I29</f>
        <v>$</v>
      </c>
      <c r="J109" s="29" t="str">
        <f>J29</f>
        <v>%</v>
      </c>
      <c r="K109" s="28" t="s">
        <v>146</v>
      </c>
      <c r="L109" s="792" t="s">
        <v>536</v>
      </c>
      <c r="Q109" s="25"/>
    </row>
    <row r="110" spans="1:19">
      <c r="A110" s="34" t="s">
        <v>779</v>
      </c>
      <c r="B110" s="19"/>
      <c r="C110" s="19"/>
      <c r="D110" s="19"/>
      <c r="L110" s="793"/>
      <c r="Q110" s="27"/>
    </row>
    <row r="111" spans="1:19">
      <c r="A111" s="34" t="s">
        <v>595</v>
      </c>
      <c r="B111" s="19"/>
      <c r="C111" s="19"/>
      <c r="D111" s="19"/>
      <c r="E111" s="25"/>
      <c r="F111" s="110"/>
      <c r="G111" s="25"/>
      <c r="H111" s="25"/>
      <c r="I111" s="25"/>
      <c r="J111" s="25"/>
      <c r="K111" s="34"/>
      <c r="L111" s="793"/>
      <c r="Q111" s="258"/>
      <c r="S111" s="25"/>
    </row>
    <row r="112" spans="1:19" ht="12">
      <c r="A112" s="19" t="s">
        <v>267</v>
      </c>
      <c r="B112" s="19"/>
      <c r="C112" s="19"/>
      <c r="D112" s="19"/>
      <c r="E112" s="19"/>
      <c r="F112" s="22"/>
      <c r="J112" s="5"/>
      <c r="K112" s="182"/>
      <c r="L112" s="793"/>
    </row>
    <row r="113" spans="1:17" ht="12">
      <c r="A113" s="19"/>
      <c r="B113" s="19" t="s">
        <v>450</v>
      </c>
      <c r="C113" s="19"/>
      <c r="D113" s="19"/>
      <c r="E113" s="19"/>
      <c r="F113" s="30"/>
      <c r="G113" s="1"/>
      <c r="H113" s="5" t="str">
        <f>IF(ISNA(HLOOKUP($E$2,'HLookup Tables'!$H$13:$AL$443,80,FALSE)),"",(HLOOKUP($E$2,'HLookup Tables'!$H$13:$AL$443,80,FALSE)))</f>
        <v/>
      </c>
      <c r="I113" s="5" t="str">
        <f>IF(ISERR(G113-H113),"",(G113-H113))</f>
        <v/>
      </c>
      <c r="J113" s="164" t="str">
        <f>IF($E$7="","",IF(AND(G113=0,H113=0),"",IF(ISERR(I113/ABS(H113)),100%,I113/ABS(H113))))</f>
        <v/>
      </c>
      <c r="K113" s="310"/>
      <c r="L113" s="793"/>
    </row>
    <row r="114" spans="1:17" ht="12">
      <c r="A114" s="19"/>
      <c r="B114" s="19" t="s">
        <v>425</v>
      </c>
      <c r="C114" s="19"/>
      <c r="D114" s="19"/>
      <c r="E114" s="19"/>
      <c r="F114" s="30"/>
      <c r="G114" s="1"/>
      <c r="H114" s="5" t="str">
        <f>IF(ISNA(HLOOKUP($E$2,'HLookup Tables'!$H$13:$AL$443,81,FALSE)),"",(HLOOKUP($E$2,'HLookup Tables'!$H$13:$AL$443,81,FALSE)))</f>
        <v/>
      </c>
      <c r="I114" s="5" t="str">
        <f>IF(ISERR(G114-H114),"",(G114-H114))</f>
        <v/>
      </c>
      <c r="J114" s="164" t="str">
        <f>IF($E$7="","",IF(AND(G114=0,H114=0),"",IF(ISERR(I114/ABS(H114)),100%,I114/ABS(H114))))</f>
        <v/>
      </c>
      <c r="K114" s="310"/>
      <c r="L114" s="793"/>
      <c r="Q114" s="5"/>
    </row>
    <row r="115" spans="1:17" ht="12">
      <c r="A115" s="19"/>
      <c r="B115" s="19" t="s">
        <v>451</v>
      </c>
      <c r="C115" s="19"/>
      <c r="D115" s="19"/>
      <c r="E115" s="19"/>
      <c r="F115" s="30"/>
      <c r="G115" s="1"/>
      <c r="H115" s="5" t="str">
        <f>IF(ISNA(HLOOKUP($E$2,'HLookup Tables'!$H$13:$AL$443,82,FALSE)),"",(HLOOKUP($E$2,'HLookup Tables'!$H$13:$AL$443,82,FALSE)))</f>
        <v/>
      </c>
      <c r="I115" s="5" t="str">
        <f>IF(ISERR(G115-H115),"",(G115-H115))</f>
        <v/>
      </c>
      <c r="J115" s="164" t="str">
        <f>IF($E$7="","",IF(AND(G115=0,H115=0),"",IF(ISERR(I115/ABS(H115)),100%,I115/ABS(H115))))</f>
        <v/>
      </c>
      <c r="K115" s="310"/>
      <c r="L115" s="793"/>
      <c r="Q115" s="5"/>
    </row>
    <row r="116" spans="1:17" ht="12">
      <c r="A116" s="19"/>
      <c r="B116" s="19" t="s">
        <v>460</v>
      </c>
      <c r="C116" s="19"/>
      <c r="D116" s="19"/>
      <c r="E116" s="598" t="str">
        <f>IF(G116&lt;&gt;0,"Answer Required","N/A")</f>
        <v>N/A</v>
      </c>
      <c r="F116" s="30"/>
      <c r="G116" s="1"/>
      <c r="H116" s="5" t="str">
        <f>IF(ISNA(HLOOKUP($E$2,'HLookup Tables'!$H$13:$AL$443,83,FALSE)),"",(HLOOKUP($E$2,'HLookup Tables'!$H$13:$AL$443,83,FALSE)))</f>
        <v/>
      </c>
      <c r="I116" s="5" t="str">
        <f>IF(ISERR(G116-H116),"",(G116-H116))</f>
        <v/>
      </c>
      <c r="J116" s="164" t="str">
        <f>IF($E$7="","",IF(AND(G116=0,H116=0),"",IF(ISERR(I116/ABS(H116)),100%,I116/ABS(H116))))</f>
        <v/>
      </c>
      <c r="K116" s="310"/>
      <c r="L116" s="793"/>
      <c r="Q116" s="5"/>
    </row>
    <row r="117" spans="1:17" ht="12">
      <c r="A117" s="19"/>
      <c r="B117" s="31"/>
      <c r="C117" s="224" t="s">
        <v>426</v>
      </c>
      <c r="D117" s="19"/>
      <c r="E117" s="19"/>
      <c r="F117" s="30"/>
      <c r="G117" s="32">
        <f>SUM(G113:G116)</f>
        <v>0</v>
      </c>
      <c r="H117" s="32">
        <f>SUM(H113:H116)</f>
        <v>0</v>
      </c>
      <c r="I117" s="32">
        <f>SUM(I113:I116)</f>
        <v>0</v>
      </c>
      <c r="J117" s="165" t="str">
        <f>IF(I117=0,"0%",IF(ISERR(I117/ABS(H117)),100%,I117/ABS(H117)))</f>
        <v>0%</v>
      </c>
      <c r="K117" s="182"/>
      <c r="L117" s="793"/>
      <c r="Q117" s="5"/>
    </row>
    <row r="118" spans="1:17" ht="12">
      <c r="A118" s="19"/>
      <c r="B118" s="31"/>
      <c r="C118" s="224"/>
      <c r="D118" s="19"/>
      <c r="E118" s="19"/>
      <c r="F118" s="30"/>
      <c r="G118" s="5"/>
      <c r="H118" s="5"/>
      <c r="I118" s="5"/>
      <c r="J118" s="252"/>
      <c r="K118" s="182"/>
      <c r="L118" s="793"/>
      <c r="Q118" s="5"/>
    </row>
    <row r="119" spans="1:17">
      <c r="A119" s="19"/>
      <c r="B119" s="19" t="s">
        <v>597</v>
      </c>
      <c r="C119" s="224"/>
      <c r="D119" s="19"/>
      <c r="E119" s="19"/>
      <c r="F119" s="30" t="s">
        <v>125</v>
      </c>
      <c r="G119" s="1"/>
      <c r="H119" s="5" t="str">
        <f>IF(ISNA(HLOOKUP($E$2,'HLookup Tables'!$H$13:$AL$443,86,FALSE)),"",(HLOOKUP($E$2,'HLookup Tables'!$H$13:$AL$443,86,FALSE)))</f>
        <v/>
      </c>
      <c r="I119" s="5" t="str">
        <f>IF(ISERR(G119-H119),"",(G119-H119))</f>
        <v/>
      </c>
      <c r="J119" s="164" t="str">
        <f>IF($E$7="","",IF(AND(G119=0,H119=0),"",IF(ISERR(I119/ABS(H119)),100%,I119/ABS(H119))))</f>
        <v/>
      </c>
      <c r="K119" s="182"/>
      <c r="L119" s="793"/>
      <c r="O119" s="12"/>
      <c r="Q119" s="5"/>
    </row>
    <row r="120" spans="1:17" ht="12">
      <c r="A120" s="19"/>
      <c r="B120" s="19" t="s">
        <v>221</v>
      </c>
      <c r="C120" s="224"/>
      <c r="D120" s="19"/>
      <c r="E120" s="19"/>
      <c r="F120" s="30" t="s">
        <v>125</v>
      </c>
      <c r="G120" s="1"/>
      <c r="H120" s="5" t="str">
        <f>IF(ISNA(HLOOKUP($E$2,'HLookup Tables'!$H$13:$AL$443,87,FALSE)),"",(HLOOKUP($E$2,'HLookup Tables'!$H$13:$AL$443,87,FALSE)))</f>
        <v/>
      </c>
      <c r="I120" s="5" t="str">
        <f>IF(ISERR(G120-H120),"",(G120-H120))</f>
        <v/>
      </c>
      <c r="J120" s="164" t="str">
        <f>IF($E$7="","",IF(AND(G120=0,H120=0),"",IF(ISERR(I120/ABS(H120)),100%,I120/ABS(H120))))</f>
        <v/>
      </c>
      <c r="K120" s="182"/>
      <c r="L120" s="793"/>
      <c r="Q120" s="5"/>
    </row>
    <row r="121" spans="1:17" ht="12">
      <c r="A121" s="19"/>
      <c r="B121" s="31"/>
      <c r="C121" s="31" t="s">
        <v>914</v>
      </c>
      <c r="D121" s="19"/>
      <c r="E121" s="19"/>
      <c r="F121" s="30"/>
      <c r="G121" s="32">
        <f>SUM(G119:G120)</f>
        <v>0</v>
      </c>
      <c r="H121" s="32">
        <f>SUM(H119:H120)</f>
        <v>0</v>
      </c>
      <c r="I121" s="32">
        <f>SUM(I119:I120)</f>
        <v>0</v>
      </c>
      <c r="J121" s="165" t="str">
        <f>IF(I121=0,"0%",IF(ISERR(I121/ABS(H121)),100%,I121/ABS(H121)))</f>
        <v>0%</v>
      </c>
      <c r="K121" s="182"/>
      <c r="L121" s="793"/>
      <c r="Q121" s="5"/>
    </row>
    <row r="122" spans="1:17" ht="12">
      <c r="A122" s="19"/>
      <c r="B122" s="31"/>
      <c r="C122" s="19"/>
      <c r="D122" s="19"/>
      <c r="E122" s="19"/>
      <c r="F122" s="30"/>
      <c r="G122" s="5"/>
      <c r="H122" s="5"/>
      <c r="I122" s="5"/>
      <c r="J122" s="225"/>
      <c r="K122" s="182"/>
      <c r="L122" s="793"/>
      <c r="Q122" s="5"/>
    </row>
    <row r="123" spans="1:17" ht="12">
      <c r="A123" s="19"/>
      <c r="B123" s="31" t="s">
        <v>596</v>
      </c>
      <c r="C123" s="19"/>
      <c r="D123" s="19"/>
      <c r="E123" s="19"/>
      <c r="F123" s="22"/>
      <c r="G123" s="1"/>
      <c r="H123" s="5" t="str">
        <f>IF(ISNA(HLOOKUP($E$2,'HLookup Tables'!$H$13:$AL$443,89,FALSE)),"",(HLOOKUP($E$2,'HLookup Tables'!$H$13:$AL$443,89,FALSE)))</f>
        <v/>
      </c>
      <c r="I123" s="5" t="str">
        <f t="shared" ref="I123:I128" si="6">IF(ISERR(G123-H123),"",(G123-H123))</f>
        <v/>
      </c>
      <c r="J123" s="164" t="str">
        <f t="shared" ref="J123:J128" si="7">IF($E$7="","",IF(AND(G123=0,H123=0),"",IF(ISERR(I123/ABS(H123)),100%,I123/ABS(H123))))</f>
        <v/>
      </c>
      <c r="K123" s="310"/>
      <c r="L123" s="793"/>
      <c r="Q123" s="5"/>
    </row>
    <row r="124" spans="1:17" ht="12">
      <c r="A124" s="19"/>
      <c r="B124" s="31" t="s">
        <v>598</v>
      </c>
      <c r="C124" s="19"/>
      <c r="D124" s="19"/>
      <c r="E124" s="19"/>
      <c r="F124" s="22"/>
      <c r="G124" s="1"/>
      <c r="H124" s="5" t="str">
        <f>IF(ISNA(HLOOKUP($E$2,'HLookup Tables'!$H$13:$AL$443,90,FALSE)),"",(HLOOKUP($E$2,'HLookup Tables'!$H$13:$AL$443,90,FALSE)))</f>
        <v/>
      </c>
      <c r="I124" s="5" t="str">
        <f t="shared" si="6"/>
        <v/>
      </c>
      <c r="J124" s="164" t="str">
        <f t="shared" si="7"/>
        <v/>
      </c>
      <c r="K124" s="310"/>
      <c r="L124" s="793"/>
      <c r="Q124" s="5"/>
    </row>
    <row r="125" spans="1:17" ht="12">
      <c r="A125" s="19"/>
      <c r="B125" s="31" t="s">
        <v>302</v>
      </c>
      <c r="C125" s="19"/>
      <c r="D125" s="19"/>
      <c r="E125" s="19"/>
      <c r="F125" s="30" t="s">
        <v>125</v>
      </c>
      <c r="G125" s="1"/>
      <c r="H125" s="5" t="str">
        <f>IF(ISNA(HLOOKUP($E$2,'HLookup Tables'!$H$13:$AL$443,91,FALSE)),"",(HLOOKUP($E$2,'HLookup Tables'!$H$13:$AL$443,91,FALSE)))</f>
        <v/>
      </c>
      <c r="I125" s="5" t="str">
        <f>IF(ISERR(G125-H125),"",(G125-H125))</f>
        <v/>
      </c>
      <c r="J125" s="164" t="str">
        <f>IF($E$7="","",IF(AND(G125=0,H125=0),"",IF(ISERR(I125/ABS(H125)),100%,I125/ABS(H125))))</f>
        <v/>
      </c>
      <c r="K125" s="310"/>
      <c r="L125" s="793"/>
      <c r="Q125" s="5"/>
    </row>
    <row r="126" spans="1:17" ht="12">
      <c r="A126" s="19"/>
      <c r="B126" s="31" t="s">
        <v>186</v>
      </c>
      <c r="C126" s="19"/>
      <c r="D126" s="19"/>
      <c r="E126" s="19"/>
      <c r="F126" s="30" t="s">
        <v>3202</v>
      </c>
      <c r="G126" s="1"/>
      <c r="H126" s="5" t="str">
        <f>IF(ISNA(HLOOKUP($E$2,'HLookup Tables'!$H$13:$AL$443,92,FALSE)),"",(HLOOKUP($E$2,'HLookup Tables'!$H$13:$AL$443,92,FALSE)))</f>
        <v/>
      </c>
      <c r="I126" s="5" t="str">
        <f t="shared" si="6"/>
        <v/>
      </c>
      <c r="J126" s="164" t="str">
        <f t="shared" si="7"/>
        <v/>
      </c>
      <c r="K126" s="310"/>
      <c r="L126" s="793"/>
      <c r="Q126" s="5"/>
    </row>
    <row r="127" spans="1:17" ht="12">
      <c r="A127" s="19"/>
      <c r="B127" s="31" t="s">
        <v>745</v>
      </c>
      <c r="C127" s="19"/>
      <c r="D127" s="19"/>
      <c r="E127" s="19"/>
      <c r="F127" s="36"/>
      <c r="G127" s="1"/>
      <c r="H127" s="5" t="str">
        <f>IF(ISNA(HLOOKUP($E$2,'HLookup Tables'!$H$13:$AL$443,93,FALSE)),"",(HLOOKUP($E$2,'HLookup Tables'!$H$13:$AL$443,93,FALSE)))</f>
        <v/>
      </c>
      <c r="I127" s="5" t="str">
        <f t="shared" si="6"/>
        <v/>
      </c>
      <c r="J127" s="164" t="str">
        <f t="shared" si="7"/>
        <v/>
      </c>
      <c r="K127" s="310"/>
      <c r="L127" s="793"/>
      <c r="Q127" s="5"/>
    </row>
    <row r="128" spans="1:17" ht="12">
      <c r="A128" s="19"/>
      <c r="B128" s="31" t="s">
        <v>599</v>
      </c>
      <c r="C128" s="19"/>
      <c r="D128" s="19"/>
      <c r="E128" s="19"/>
      <c r="F128" s="22"/>
      <c r="G128" s="1"/>
      <c r="H128" s="5" t="str">
        <f>IF(ISNA(HLOOKUP($E$2,'HLookup Tables'!$H$13:$AL$443,94,FALSE)),"",(HLOOKUP($E$2,'HLookup Tables'!$H$13:$AL$443,94,FALSE)))</f>
        <v/>
      </c>
      <c r="I128" s="5" t="str">
        <f t="shared" si="6"/>
        <v/>
      </c>
      <c r="J128" s="164" t="str">
        <f t="shared" si="7"/>
        <v/>
      </c>
      <c r="K128" s="310"/>
      <c r="L128" s="793"/>
      <c r="Q128" s="5"/>
    </row>
    <row r="129" spans="1:17" ht="12">
      <c r="A129" s="19"/>
      <c r="B129" s="31" t="s">
        <v>2818</v>
      </c>
      <c r="C129" s="19"/>
      <c r="D129" s="19"/>
      <c r="E129" s="19"/>
      <c r="F129" s="22"/>
      <c r="G129" s="1"/>
      <c r="H129" s="5" t="str">
        <f>IF(ISNA(HLOOKUP($E$2,'HLookup Tables'!$H$13:$AL$443,95,FALSE)),"",(HLOOKUP($E$2,'HLookup Tables'!$H$13:$AL$443,95,FALSE)))</f>
        <v/>
      </c>
      <c r="I129" s="5" t="str">
        <f>IF(ISERR(G129-H129),"",(G129-H129))</f>
        <v/>
      </c>
      <c r="J129" s="164" t="str">
        <f>IF($E$7="","",IF(AND(G129=0,H129=0),"",IF(ISERR(I129/ABS(H129)),100%,I129/ABS(H129))))</f>
        <v/>
      </c>
      <c r="K129" s="310"/>
      <c r="L129" s="793"/>
      <c r="Q129" s="5"/>
    </row>
    <row r="130" spans="1:17" ht="12">
      <c r="A130" s="19"/>
      <c r="B130" s="31"/>
      <c r="C130" s="19"/>
      <c r="D130" s="19"/>
      <c r="E130" s="19"/>
      <c r="F130" s="22"/>
      <c r="G130" s="5"/>
      <c r="H130" s="5"/>
      <c r="I130" s="5"/>
      <c r="J130" s="164"/>
      <c r="K130" s="182"/>
      <c r="L130" s="793"/>
      <c r="Q130" s="5"/>
    </row>
    <row r="131" spans="1:17" ht="12">
      <c r="A131" s="19"/>
      <c r="B131" s="19" t="s">
        <v>600</v>
      </c>
      <c r="C131" s="19"/>
      <c r="D131" s="19"/>
      <c r="E131" s="19"/>
      <c r="F131" s="22"/>
      <c r="G131" s="1"/>
      <c r="H131" s="5" t="str">
        <f>IF(ISNA(HLOOKUP($E$2,'HLookup Tables'!$H$13:$AL$443,97,FALSE)),"",(HLOOKUP($E$2,'HLookup Tables'!$H$13:$AL$443,97,FALSE)))</f>
        <v/>
      </c>
      <c r="I131" s="5" t="str">
        <f>IF(ISERR(G131-H131),"",(G131-H131))</f>
        <v/>
      </c>
      <c r="J131" s="164" t="str">
        <f>IF($E$7="","",IF(AND(G131=0,H131=0),"",IF(ISERR(I131/ABS(H131)),100%,I131/ABS(H131))))</f>
        <v/>
      </c>
      <c r="K131" s="310"/>
      <c r="L131" s="793"/>
      <c r="Q131" s="5"/>
    </row>
    <row r="132" spans="1:17" ht="12">
      <c r="A132" s="19"/>
      <c r="B132" s="19" t="s">
        <v>461</v>
      </c>
      <c r="C132" s="19"/>
      <c r="D132" s="19"/>
      <c r="E132" s="598" t="str">
        <f>IF(G132&lt;&gt;0,"Answer Required","N/A")</f>
        <v>N/A</v>
      </c>
      <c r="F132" s="22"/>
      <c r="G132" s="1"/>
      <c r="H132" s="5" t="str">
        <f>IF(ISNA(HLOOKUP($E$2,'HLookup Tables'!$H$13:$AL$443,98,FALSE)),"",(HLOOKUP($E$2,'HLookup Tables'!$H$13:$AL$443,98,FALSE)))</f>
        <v/>
      </c>
      <c r="I132" s="5" t="str">
        <f>IF(ISERR(G132-H132),"",(G132-H132))</f>
        <v/>
      </c>
      <c r="J132" s="164" t="str">
        <f>IF($E$7="","",IF(AND(G132=0,H132=0),"",IF(ISERR(I132/ABS(H132)),100%,I132/ABS(H132))))</f>
        <v/>
      </c>
      <c r="K132" s="310"/>
      <c r="L132" s="793"/>
      <c r="Q132" s="5"/>
    </row>
    <row r="133" spans="1:17" ht="12">
      <c r="A133" s="19"/>
      <c r="B133" s="19" t="s">
        <v>744</v>
      </c>
      <c r="C133" s="19"/>
      <c r="D133" s="19"/>
      <c r="E133" s="19"/>
      <c r="F133" s="22"/>
      <c r="G133" s="16"/>
      <c r="H133" s="5" t="str">
        <f>IF(ISNA(HLOOKUP($E$2,'HLookup Tables'!$H$13:$AL$443,99,FALSE)),"",(HLOOKUP($E$2,'HLookup Tables'!$H$13:$AL$443,99,FALSE)))</f>
        <v/>
      </c>
      <c r="I133" s="5" t="str">
        <f>IF(ISERR(G133-H133),"",(G133-H133))</f>
        <v/>
      </c>
      <c r="J133" s="164" t="str">
        <f>IF($E$7="","",IF(AND(G133=0,H133=0),"",IF(ISERR(I133/ABS(H133)),100%,I133/ABS(H133))))</f>
        <v/>
      </c>
      <c r="K133" s="310"/>
      <c r="L133" s="793"/>
      <c r="Q133" s="5"/>
    </row>
    <row r="134" spans="1:17" ht="12">
      <c r="A134" s="19"/>
      <c r="B134" s="19"/>
      <c r="C134" s="31" t="s">
        <v>353</v>
      </c>
      <c r="D134" s="19"/>
      <c r="E134" s="19"/>
      <c r="F134" s="22"/>
      <c r="G134" s="32">
        <f>SUM(G131:G133)</f>
        <v>0</v>
      </c>
      <c r="H134" s="32">
        <f>SUM(H131:H133)</f>
        <v>0</v>
      </c>
      <c r="I134" s="32">
        <f>SUM(I131:I133)</f>
        <v>0</v>
      </c>
      <c r="J134" s="165" t="str">
        <f>IF(I134=0,"0%",IF(ISERR(I134/ABS(H134)),100%,I134/ABS(H134)))</f>
        <v>0%</v>
      </c>
      <c r="K134" s="182"/>
      <c r="L134" s="793"/>
      <c r="Q134" s="5"/>
    </row>
    <row r="135" spans="1:17" ht="12">
      <c r="A135" s="19"/>
      <c r="B135" s="19"/>
      <c r="C135" s="31"/>
      <c r="D135" s="19"/>
      <c r="E135" s="19"/>
      <c r="F135" s="22"/>
      <c r="G135" s="5"/>
      <c r="H135" s="5"/>
      <c r="I135" s="5"/>
      <c r="J135" s="164"/>
      <c r="K135" s="182"/>
      <c r="L135" s="793"/>
      <c r="Q135" s="5"/>
    </row>
    <row r="136" spans="1:17" ht="12">
      <c r="A136" s="19"/>
      <c r="B136" s="19" t="s">
        <v>3195</v>
      </c>
      <c r="C136" s="31"/>
      <c r="D136" s="19"/>
      <c r="E136" s="19"/>
      <c r="F136" s="30" t="s">
        <v>126</v>
      </c>
      <c r="G136" s="1"/>
      <c r="H136" s="5" t="str">
        <f>IF(ISNA(HLOOKUP($E$2,'HLookup Tables'!$H$13:$AL$443,102,FALSE)),"",(HLOOKUP($E$2,'HLookup Tables'!$H$13:$AL$443,102,FALSE)))</f>
        <v/>
      </c>
      <c r="I136" s="5" t="str">
        <f t="shared" ref="I136:I145" si="8">IF(ISERR(G136-H136),"",(G136-H136))</f>
        <v/>
      </c>
      <c r="J136" s="164" t="str">
        <f t="shared" ref="J136:J144" si="9">IF($E$7="","",IF(AND(G136=0,H136=0),"",IF(ISERR(I136/ABS(H136)),100%,I136/ABS(H136))))</f>
        <v/>
      </c>
      <c r="K136" s="310"/>
      <c r="L136" s="793"/>
      <c r="Q136" s="5"/>
    </row>
    <row r="137" spans="1:17" ht="12">
      <c r="A137" s="19"/>
      <c r="B137" s="19" t="s">
        <v>194</v>
      </c>
      <c r="C137" s="31"/>
      <c r="D137" s="19"/>
      <c r="E137" s="19"/>
      <c r="F137" s="30" t="s">
        <v>3402</v>
      </c>
      <c r="G137" s="1"/>
      <c r="H137" s="5" t="str">
        <f>IF(ISNA(HLOOKUP($E$2,'HLookup Tables'!$H$13:$AL$443,103,FALSE)),"",(HLOOKUP($E$2,'HLookup Tables'!$H$13:$AL$443,103,FALSE)))</f>
        <v/>
      </c>
      <c r="I137" s="5" t="str">
        <f t="shared" si="8"/>
        <v/>
      </c>
      <c r="J137" s="164" t="str">
        <f t="shared" si="9"/>
        <v/>
      </c>
      <c r="K137" s="310"/>
      <c r="L137" s="793"/>
      <c r="Q137" s="5"/>
    </row>
    <row r="138" spans="1:17" ht="12">
      <c r="A138" s="19"/>
      <c r="B138" s="19" t="s">
        <v>742</v>
      </c>
      <c r="C138" s="31"/>
      <c r="D138" s="19"/>
      <c r="E138" s="19"/>
      <c r="F138" s="30" t="s">
        <v>126</v>
      </c>
      <c r="G138" s="1"/>
      <c r="H138" s="5" t="str">
        <f>IF(ISNA(HLOOKUP($E$2,'HLookup Tables'!$H$13:$AL$443,104,FALSE)),"",(HLOOKUP($E$2,'HLookup Tables'!$H$13:$AL$443,104,FALSE)))</f>
        <v/>
      </c>
      <c r="I138" s="5" t="str">
        <f t="shared" si="8"/>
        <v/>
      </c>
      <c r="J138" s="164" t="str">
        <f t="shared" si="9"/>
        <v/>
      </c>
      <c r="K138" s="310"/>
      <c r="L138" s="793"/>
      <c r="Q138" s="5"/>
    </row>
    <row r="139" spans="1:17" ht="12">
      <c r="A139" s="19"/>
      <c r="B139" s="19" t="s">
        <v>3357</v>
      </c>
      <c r="C139" s="31"/>
      <c r="D139" s="19"/>
      <c r="E139" s="19"/>
      <c r="F139" s="30" t="s">
        <v>127</v>
      </c>
      <c r="G139" s="1"/>
      <c r="H139" s="5" t="str">
        <f>IF(ISNA(HLOOKUP($E$2,'HLookup Tables'!$H$13:$AL$443,105,FALSE)),"",(HLOOKUP($E$2,'HLookup Tables'!$H$13:$AL$443,105,FALSE)))</f>
        <v/>
      </c>
      <c r="I139" s="5" t="str">
        <f t="shared" si="8"/>
        <v/>
      </c>
      <c r="J139" s="164" t="str">
        <f t="shared" si="9"/>
        <v/>
      </c>
      <c r="K139" s="310"/>
      <c r="L139" s="793"/>
      <c r="Q139" s="5"/>
    </row>
    <row r="140" spans="1:17" ht="12">
      <c r="A140" s="19"/>
      <c r="B140" s="19" t="s">
        <v>3391</v>
      </c>
      <c r="C140" s="31"/>
      <c r="D140" s="19"/>
      <c r="E140" s="19"/>
      <c r="F140" s="30" t="s">
        <v>441</v>
      </c>
      <c r="G140" s="1"/>
      <c r="H140" s="5" t="str">
        <f>IF(ISNA(HLOOKUP($E$2,'HLookup Tables'!$H$13:$AL$443,106,FALSE)),"",(HLOOKUP($E$2,'HLookup Tables'!$H$13:$AL$443,106,FALSE)))</f>
        <v/>
      </c>
      <c r="I140" s="5" t="str">
        <f t="shared" si="8"/>
        <v/>
      </c>
      <c r="J140" s="164" t="str">
        <f t="shared" si="9"/>
        <v/>
      </c>
      <c r="K140" s="310"/>
      <c r="L140" s="793"/>
      <c r="Q140" s="5"/>
    </row>
    <row r="141" spans="1:17" ht="12">
      <c r="A141" s="19"/>
      <c r="B141" s="19" t="s">
        <v>747</v>
      </c>
      <c r="C141" s="31"/>
      <c r="D141" s="19"/>
      <c r="E141" s="19"/>
      <c r="F141" s="30" t="s">
        <v>128</v>
      </c>
      <c r="G141" s="1"/>
      <c r="H141" s="5" t="str">
        <f>IF(ISNA(HLOOKUP($E$2,'HLookup Tables'!$H$13:$AL$443,107,FALSE)),"",(HLOOKUP($E$2,'HLookup Tables'!$H$13:$AL$443,107,FALSE)))</f>
        <v/>
      </c>
      <c r="I141" s="5" t="str">
        <f t="shared" si="8"/>
        <v/>
      </c>
      <c r="J141" s="164" t="str">
        <f t="shared" si="9"/>
        <v/>
      </c>
      <c r="K141" s="310"/>
      <c r="L141" s="793"/>
      <c r="Q141" s="5"/>
    </row>
    <row r="142" spans="1:17">
      <c r="A142" s="19"/>
      <c r="B142" s="19" t="s">
        <v>3358</v>
      </c>
      <c r="C142" s="31"/>
      <c r="D142" s="19"/>
      <c r="E142" s="19"/>
      <c r="F142" s="30" t="s">
        <v>129</v>
      </c>
      <c r="G142" s="1"/>
      <c r="H142" s="5" t="str">
        <f>IF(ISNA(HLOOKUP($E$2,'HLookup Tables'!$H$13:$AL$443,108,FALSE)),"",(HLOOKUP($E$2,'HLookup Tables'!$H$13:$AL$443,108,FALSE)))</f>
        <v/>
      </c>
      <c r="I142" s="5" t="str">
        <f t="shared" ref="I142" si="10">IF(ISERR(G142-H142),"",(G142-H142))</f>
        <v/>
      </c>
      <c r="J142" s="164" t="str">
        <f t="shared" ref="J142" si="11">IF($E$7="","",IF(AND(G142=0,H142=0),"",IF(ISERR(I142/ABS(H142)),100%,I142/ABS(H142))))</f>
        <v/>
      </c>
      <c r="K142" s="310"/>
      <c r="L142" s="793"/>
      <c r="Q142" s="5"/>
    </row>
    <row r="143" spans="1:17" ht="12">
      <c r="A143" s="19"/>
      <c r="B143" s="19" t="s">
        <v>748</v>
      </c>
      <c r="C143" s="31"/>
      <c r="D143" s="19"/>
      <c r="E143" s="19"/>
      <c r="F143" s="30" t="s">
        <v>3350</v>
      </c>
      <c r="G143" s="1"/>
      <c r="H143" s="5" t="str">
        <f>IF(ISNA(HLOOKUP($E$2,'HLookup Tables'!$H$13:$AL$443,109,FALSE)),"",(HLOOKUP($E$2,'HLookup Tables'!$H$13:$AL$443,109,FALSE)))</f>
        <v/>
      </c>
      <c r="I143" s="5" t="str">
        <f t="shared" si="8"/>
        <v/>
      </c>
      <c r="J143" s="164" t="str">
        <f t="shared" si="9"/>
        <v/>
      </c>
      <c r="K143" s="310"/>
      <c r="L143" s="793"/>
      <c r="Q143" s="5"/>
    </row>
    <row r="144" spans="1:17" ht="12">
      <c r="A144" s="19"/>
      <c r="B144" s="19" t="s">
        <v>462</v>
      </c>
      <c r="C144" s="31"/>
      <c r="D144" s="19"/>
      <c r="E144" s="598" t="str">
        <f>IF(G144&lt;&gt;0,"Answer Required","N/A")</f>
        <v>N/A</v>
      </c>
      <c r="F144" s="30" t="s">
        <v>126</v>
      </c>
      <c r="G144" s="16"/>
      <c r="H144" s="5" t="str">
        <f>IF(ISNA(HLOOKUP($E$2,'HLookup Tables'!$H$13:$AL$443,110,FALSE)),"",(HLOOKUP($E$2,'HLookup Tables'!$H$13:$AL$443,110,FALSE)))</f>
        <v/>
      </c>
      <c r="I144" s="5" t="str">
        <f t="shared" si="8"/>
        <v/>
      </c>
      <c r="J144" s="164" t="str">
        <f t="shared" si="9"/>
        <v/>
      </c>
      <c r="K144" s="310"/>
      <c r="L144" s="793"/>
      <c r="Q144" s="5"/>
    </row>
    <row r="145" spans="1:17" ht="12">
      <c r="A145" s="19"/>
      <c r="B145" s="19" t="s">
        <v>2990</v>
      </c>
      <c r="C145" s="31"/>
      <c r="D145" s="19"/>
      <c r="E145" s="801"/>
      <c r="F145" s="30" t="s">
        <v>3762</v>
      </c>
      <c r="G145" s="16"/>
      <c r="H145" s="5" t="str">
        <f>IF(ISNA(HLOOKUP($E$2,'HLookup Tables'!$H$13:$AL$443,111,FALSE)),"",(HLOOKUP($E$2,'HLookup Tables'!$H$13:$AL$443,111,FALSE)))</f>
        <v/>
      </c>
      <c r="I145" s="5" t="str">
        <f t="shared" si="8"/>
        <v/>
      </c>
      <c r="J145" s="164" t="str">
        <f t="shared" ref="J145:J146" si="12">IF($E$7="","",IF(AND(G145=0,H145=0),"",IF(ISERR(I145/ABS(H145)),100%,I145/ABS(H145))))</f>
        <v/>
      </c>
      <c r="K145" s="310"/>
      <c r="L145" s="793"/>
      <c r="Q145" s="5"/>
    </row>
    <row r="146" spans="1:17" ht="12">
      <c r="A146" s="19"/>
      <c r="B146" s="19" t="s">
        <v>2982</v>
      </c>
      <c r="C146" s="31"/>
      <c r="D146" s="19"/>
      <c r="E146" s="19"/>
      <c r="F146" s="30" t="s">
        <v>3762</v>
      </c>
      <c r="G146" s="1"/>
      <c r="H146" s="5" t="str">
        <f>IF(ISNA(HLOOKUP($E$2,'HLookup Tables'!$H$13:$AL$443,112,FALSE)),"",(HLOOKUP($E$2,'HLookup Tables'!$H$13:$AL$443,112,FALSE)))</f>
        <v/>
      </c>
      <c r="I146" s="5" t="str">
        <f t="shared" ref="I146" si="13">IF(ISERR(G146-H146),"",(G146-H146))</f>
        <v/>
      </c>
      <c r="J146" s="164" t="str">
        <f t="shared" si="12"/>
        <v/>
      </c>
      <c r="K146" s="310"/>
      <c r="L146" s="793"/>
      <c r="Q146" s="5"/>
    </row>
    <row r="147" spans="1:17" ht="12">
      <c r="A147" s="19"/>
      <c r="B147" s="19"/>
      <c r="C147" s="31" t="s">
        <v>100</v>
      </c>
      <c r="D147" s="19"/>
      <c r="E147" s="19"/>
      <c r="F147" s="22"/>
      <c r="G147" s="32">
        <f>SUM(G136:G146)</f>
        <v>0</v>
      </c>
      <c r="H147" s="32">
        <f>SUM(H136:H146)</f>
        <v>0</v>
      </c>
      <c r="I147" s="32">
        <f>SUM(I136:I146)</f>
        <v>0</v>
      </c>
      <c r="J147" s="165" t="str">
        <f>IF(I147=0,"0%",IF(ISERR(I147/ABS(H147)),100%,I147/ABS(H147)))</f>
        <v>0%</v>
      </c>
      <c r="K147" s="182"/>
      <c r="L147" s="793"/>
      <c r="Q147" s="5"/>
    </row>
    <row r="148" spans="1:17" ht="12">
      <c r="A148" s="19"/>
      <c r="B148" s="19"/>
      <c r="C148" s="19"/>
      <c r="D148" s="19"/>
      <c r="E148" s="19"/>
      <c r="F148" s="22"/>
      <c r="G148" s="5"/>
      <c r="H148" s="5"/>
      <c r="I148" s="5"/>
      <c r="J148" s="164"/>
      <c r="K148" s="182"/>
      <c r="L148" s="793"/>
      <c r="Q148" s="5"/>
    </row>
    <row r="149" spans="1:17" ht="12">
      <c r="A149" s="19"/>
      <c r="B149" s="19"/>
      <c r="C149" s="19"/>
      <c r="D149" s="31" t="s">
        <v>749</v>
      </c>
      <c r="E149" s="19"/>
      <c r="F149" s="22"/>
      <c r="G149" s="32">
        <f>SUM(G117,G121,G123:G129,G134,G147)</f>
        <v>0</v>
      </c>
      <c r="H149" s="32">
        <f>SUM(H117,H121,H123:H129,H134,H147)</f>
        <v>0</v>
      </c>
      <c r="I149" s="32">
        <f>SUM(I117,I121,I123:I129,I134,I147)</f>
        <v>0</v>
      </c>
      <c r="J149" s="165" t="str">
        <f>IF(I149=0,"0%",IF(ISERR(I149/ABS(H149)),100%,I149/ABS(H149)))</f>
        <v>0%</v>
      </c>
      <c r="K149" s="182"/>
      <c r="L149" s="793"/>
      <c r="Q149" s="5"/>
    </row>
    <row r="150" spans="1:17" ht="12">
      <c r="A150" s="19"/>
      <c r="B150" s="19"/>
      <c r="C150" s="19"/>
      <c r="D150" s="19"/>
      <c r="E150" s="19"/>
      <c r="F150" s="22"/>
      <c r="G150" s="5"/>
      <c r="H150" s="5"/>
      <c r="I150" s="5"/>
      <c r="J150" s="164"/>
      <c r="K150" s="182"/>
      <c r="L150" s="793"/>
      <c r="Q150" s="5"/>
    </row>
    <row r="151" spans="1:17" ht="12">
      <c r="A151" s="19" t="s">
        <v>268</v>
      </c>
      <c r="B151" s="19"/>
      <c r="C151" s="19"/>
      <c r="D151" s="19"/>
      <c r="E151" s="19"/>
      <c r="F151" s="22"/>
      <c r="G151" s="5"/>
      <c r="H151" s="5"/>
      <c r="I151" s="5"/>
      <c r="J151" s="164"/>
      <c r="K151" s="182"/>
      <c r="L151" s="793"/>
      <c r="Q151" s="5"/>
    </row>
    <row r="152" spans="1:17" ht="12">
      <c r="A152" s="19"/>
      <c r="B152" s="31" t="s">
        <v>598</v>
      </c>
      <c r="C152" s="19"/>
      <c r="D152" s="19"/>
      <c r="E152" s="19"/>
      <c r="F152" s="22"/>
      <c r="G152" s="1"/>
      <c r="H152" s="5" t="str">
        <f>IF(ISNA(HLOOKUP($E$2,'HLookup Tables'!$H$13:$AL$443,118,FALSE)),"",(HLOOKUP($E$2,'HLookup Tables'!$H$13:$AL$443,118,FALSE)))</f>
        <v/>
      </c>
      <c r="I152" s="5" t="str">
        <f>IF(ISERR(G152-H152),"",(G152-H152))</f>
        <v/>
      </c>
      <c r="J152" s="164" t="str">
        <f>IF($E$7="","",IF(AND(G152=0,H152=0),"",IF(ISERR(I152/ABS(H152)),100%,I152/ABS(H152))))</f>
        <v/>
      </c>
      <c r="K152" s="310"/>
      <c r="L152" s="793"/>
      <c r="Q152" s="5"/>
    </row>
    <row r="153" spans="1:17">
      <c r="A153" s="19"/>
      <c r="B153" s="31" t="s">
        <v>745</v>
      </c>
      <c r="C153" s="19"/>
      <c r="D153" s="19"/>
      <c r="E153" s="19"/>
      <c r="F153" s="36"/>
      <c r="G153" s="1"/>
      <c r="H153" s="5" t="str">
        <f>IF(ISNA(HLOOKUP($E$2,'HLookup Tables'!$H$13:$AL$443,119,FALSE)),"",(HLOOKUP($E$2,'HLookup Tables'!$H$13:$AL$443,119,FALSE)))</f>
        <v/>
      </c>
      <c r="I153" s="5" t="str">
        <f>IF(ISERR(G153-H153),"",(G153-H153))</f>
        <v/>
      </c>
      <c r="J153" s="164" t="str">
        <f>IF($E$7="","",IF(AND(G153=0,H153=0),"",IF(ISERR(I153/ABS(H153)),100%,I153/ABS(H153))))</f>
        <v/>
      </c>
      <c r="K153" s="310"/>
      <c r="L153" s="651"/>
      <c r="Q153" s="5"/>
    </row>
    <row r="154" spans="1:17" ht="12">
      <c r="A154" s="19"/>
      <c r="B154" s="31" t="s">
        <v>597</v>
      </c>
      <c r="C154" s="19"/>
      <c r="D154" s="19"/>
      <c r="E154" s="19"/>
      <c r="F154" s="30" t="s">
        <v>125</v>
      </c>
      <c r="G154" s="1"/>
      <c r="H154" s="5" t="str">
        <f>IF(ISNA(HLOOKUP($E$2,'HLookup Tables'!$H$13:$AL$443,120,FALSE)),"",(HLOOKUP($E$2,'HLookup Tables'!$H$13:$AL$443,120,FALSE)))</f>
        <v/>
      </c>
      <c r="I154" s="5" t="str">
        <f>IF(ISERR(G154-H154),"",(G154-H154))</f>
        <v/>
      </c>
      <c r="J154" s="164" t="str">
        <f>IF($E$7="","",IF(AND(G154=0,H154=0),"",IF(ISERR(I154/ABS(H154)),100%,I154/ABS(H154))))</f>
        <v/>
      </c>
      <c r="K154" s="310"/>
      <c r="L154" s="793"/>
      <c r="Q154" s="5"/>
    </row>
    <row r="155" spans="1:17" ht="12">
      <c r="A155" s="19"/>
      <c r="B155" s="31" t="s">
        <v>2818</v>
      </c>
      <c r="C155" s="19"/>
      <c r="D155" s="19"/>
      <c r="E155" s="19"/>
      <c r="F155" s="22"/>
      <c r="G155" s="1"/>
      <c r="H155" s="5" t="str">
        <f>IF(ISNA(HLOOKUP($E$2,'HLookup Tables'!$H$13:$AL$443,121,FALSE)),"",(HLOOKUP($E$2,'HLookup Tables'!$H$13:$AL$443,121,FALSE)))</f>
        <v/>
      </c>
      <c r="I155" s="5" t="str">
        <f>IF(ISERR(G155-H155),"",(G155-H155))</f>
        <v/>
      </c>
      <c r="J155" s="164" t="str">
        <f>IF($E$7="","",IF(AND(G155=0,H155=0),"",IF(ISERR(I155/ABS(H155)),100%,I155/ABS(H155))))</f>
        <v/>
      </c>
      <c r="K155" s="310"/>
      <c r="L155" s="793"/>
      <c r="M155" s="275"/>
      <c r="N155" s="275"/>
      <c r="Q155" s="5"/>
    </row>
    <row r="156" spans="1:17">
      <c r="A156" s="19"/>
      <c r="B156" s="31"/>
      <c r="C156" s="19"/>
      <c r="D156" s="19"/>
      <c r="E156" s="19"/>
      <c r="F156" s="30"/>
      <c r="G156" s="5"/>
      <c r="H156" s="5"/>
      <c r="I156" s="5"/>
      <c r="J156" s="253"/>
      <c r="K156" s="182"/>
      <c r="L156" s="793"/>
      <c r="Q156" s="12"/>
    </row>
    <row r="157" spans="1:17" ht="12">
      <c r="A157" s="19"/>
      <c r="B157" s="19" t="s">
        <v>600</v>
      </c>
      <c r="C157" s="19"/>
      <c r="D157" s="19"/>
      <c r="E157" s="19"/>
      <c r="F157" s="22"/>
      <c r="G157" s="1"/>
      <c r="H157" s="5" t="str">
        <f>IF(ISNA(HLOOKUP($E$2,'HLookup Tables'!$H$13:$AL$443,123,FALSE)),"",(HLOOKUP($E$2,'HLookup Tables'!$H$13:$AL$443,123,FALSE)))</f>
        <v/>
      </c>
      <c r="I157" s="5" t="str">
        <f>IF(ISERR(G157-H157),"",(G157-H157))</f>
        <v/>
      </c>
      <c r="J157" s="164" t="str">
        <f>IF($E$7="","",IF(AND(G157=0,H157=0),"",IF(ISERR(I157/ABS(H157)),100%,I157/ABS(H157))))</f>
        <v/>
      </c>
      <c r="K157" s="310"/>
      <c r="L157" s="793"/>
      <c r="M157" s="275"/>
      <c r="N157" s="275"/>
      <c r="Q157" s="5"/>
    </row>
    <row r="158" spans="1:17" ht="12">
      <c r="A158" s="19"/>
      <c r="B158" s="19" t="s">
        <v>461</v>
      </c>
      <c r="C158" s="19"/>
      <c r="D158" s="19"/>
      <c r="E158" s="598" t="str">
        <f>IF(G158&lt;&gt;0,"Answer Required","N/A")</f>
        <v>N/A</v>
      </c>
      <c r="F158" s="22"/>
      <c r="G158" s="1"/>
      <c r="H158" s="5" t="str">
        <f>IF(ISNA(HLOOKUP($E$2,'HLookup Tables'!$H$13:$AL$443,124,FALSE)),"",(HLOOKUP($E$2,'HLookup Tables'!$H$13:$AL$443,124,FALSE)))</f>
        <v/>
      </c>
      <c r="I158" s="5" t="str">
        <f>IF(ISERR(G158-H158),"",(G158-H158))</f>
        <v/>
      </c>
      <c r="J158" s="164" t="str">
        <f>IF($E$7="","",IF(AND(G158=0,H158=0),"",IF(ISERR(I158/ABS(H158)),100%,I158/ABS(H158))))</f>
        <v/>
      </c>
      <c r="K158" s="310"/>
      <c r="L158" s="793"/>
      <c r="M158" s="275"/>
      <c r="N158" s="275"/>
      <c r="Q158" s="5"/>
    </row>
    <row r="159" spans="1:17" ht="12">
      <c r="A159" s="19"/>
      <c r="B159" s="19" t="s">
        <v>744</v>
      </c>
      <c r="C159" s="19"/>
      <c r="D159" s="19"/>
      <c r="E159" s="19"/>
      <c r="F159" s="22"/>
      <c r="G159" s="16"/>
      <c r="H159" s="5" t="str">
        <f>IF(ISNA(HLOOKUP($E$2,'HLookup Tables'!$H$13:$AL$443,125,FALSE)),"",(HLOOKUP($E$2,'HLookup Tables'!$H$13:$AL$443,125,FALSE)))</f>
        <v/>
      </c>
      <c r="I159" s="5" t="str">
        <f>IF(ISERR(G159-H159),"",(G159-H159))</f>
        <v/>
      </c>
      <c r="J159" s="164" t="str">
        <f>IF($E$7="","",IF(AND(G159=0,H159=0),"",IF(ISERR(I159/ABS(H159)),100%,I159/ABS(H159))))</f>
        <v/>
      </c>
      <c r="K159" s="310"/>
      <c r="L159" s="793"/>
      <c r="M159" s="275"/>
      <c r="N159" s="275"/>
      <c r="Q159" s="5"/>
    </row>
    <row r="160" spans="1:17" ht="12">
      <c r="A160" s="31"/>
      <c r="B160" s="19"/>
      <c r="C160" s="31" t="s">
        <v>487</v>
      </c>
      <c r="D160" s="19"/>
      <c r="E160" s="19"/>
      <c r="F160" s="22"/>
      <c r="G160" s="32">
        <f>SUM(G157:G159)</f>
        <v>0</v>
      </c>
      <c r="H160" s="32">
        <f>SUM(H157:H159)</f>
        <v>0</v>
      </c>
      <c r="I160" s="32">
        <f>SUM(I157:I159)</f>
        <v>0</v>
      </c>
      <c r="J160" s="165" t="str">
        <f>IF(I160=0,"0%",IF(ISERR(I160/ABS(H160)),100%,I160/ABS(H160)))</f>
        <v>0%</v>
      </c>
      <c r="K160" s="182"/>
      <c r="L160" s="793"/>
      <c r="Q160" s="5"/>
    </row>
    <row r="161" spans="1:17" ht="12">
      <c r="A161" s="31"/>
      <c r="B161" s="19"/>
      <c r="C161" s="31"/>
      <c r="D161" s="19"/>
      <c r="E161" s="19"/>
      <c r="F161" s="22"/>
      <c r="G161" s="32"/>
      <c r="H161" s="5"/>
      <c r="I161" s="5"/>
      <c r="J161" s="252"/>
      <c r="K161" s="182"/>
      <c r="L161" s="793"/>
      <c r="Q161" s="5"/>
    </row>
    <row r="162" spans="1:17" ht="12">
      <c r="A162" s="19"/>
      <c r="B162" s="19" t="s">
        <v>3193</v>
      </c>
      <c r="C162" s="19"/>
      <c r="D162" s="19"/>
      <c r="E162" s="19"/>
      <c r="F162" s="30" t="s">
        <v>126</v>
      </c>
      <c r="G162" s="1"/>
      <c r="H162" s="5" t="str">
        <f>IF(ISNA(HLOOKUP($E$2,'HLookup Tables'!$H$13:$AL$443,128,FALSE)),"",(HLOOKUP($E$2,'HLookup Tables'!$H$13:$AL$443,128,FALSE)))</f>
        <v/>
      </c>
      <c r="I162" s="5" t="str">
        <f t="shared" ref="I162:I173" si="14">IF(ISERR(G162-H162),"",(G162-H162))</f>
        <v/>
      </c>
      <c r="J162" s="164" t="str">
        <f t="shared" ref="J162:J173" si="15">IF($E$7="","",IF(AND(G162=0,H162=0),"",IF(ISERR(I162/ABS(H162)),100%,I162/ABS(H162))))</f>
        <v/>
      </c>
      <c r="K162" s="310"/>
      <c r="L162" s="793"/>
      <c r="Q162" s="5"/>
    </row>
    <row r="163" spans="1:17" ht="12">
      <c r="A163" s="19"/>
      <c r="B163" s="19" t="s">
        <v>194</v>
      </c>
      <c r="C163" s="19"/>
      <c r="D163" s="19"/>
      <c r="E163" s="19"/>
      <c r="F163" s="30" t="s">
        <v>3402</v>
      </c>
      <c r="G163" s="1"/>
      <c r="H163" s="5" t="str">
        <f>IF(ISNA(HLOOKUP($E$2,'HLookup Tables'!$H$13:$AL$443,129,FALSE)),"",(HLOOKUP($E$2,'HLookup Tables'!$H$13:$AL$443,129,FALSE)))</f>
        <v/>
      </c>
      <c r="I163" s="5" t="str">
        <f t="shared" si="14"/>
        <v/>
      </c>
      <c r="J163" s="164" t="str">
        <f t="shared" si="15"/>
        <v/>
      </c>
      <c r="K163" s="310"/>
      <c r="L163" s="793"/>
      <c r="Q163" s="5"/>
    </row>
    <row r="164" spans="1:17" ht="12">
      <c r="A164" s="19"/>
      <c r="B164" s="19" t="s">
        <v>742</v>
      </c>
      <c r="C164" s="19"/>
      <c r="D164" s="19"/>
      <c r="E164" s="19"/>
      <c r="F164" s="30" t="s">
        <v>126</v>
      </c>
      <c r="G164" s="1"/>
      <c r="H164" s="5" t="str">
        <f>IF(ISNA(HLOOKUP($E$2,'HLookup Tables'!$H$13:$AL$443,130,FALSE)),"",(HLOOKUP($E$2,'HLookup Tables'!$H$13:$AL$443,130,FALSE)))</f>
        <v/>
      </c>
      <c r="I164" s="5" t="str">
        <f t="shared" si="14"/>
        <v/>
      </c>
      <c r="J164" s="164" t="str">
        <f t="shared" si="15"/>
        <v/>
      </c>
      <c r="K164" s="310"/>
      <c r="L164" s="793"/>
      <c r="Q164" s="5"/>
    </row>
    <row r="165" spans="1:17" ht="12">
      <c r="A165" s="19"/>
      <c r="B165" s="19" t="s">
        <v>3357</v>
      </c>
      <c r="C165" s="19"/>
      <c r="D165" s="19"/>
      <c r="E165" s="19"/>
      <c r="F165" s="30" t="s">
        <v>127</v>
      </c>
      <c r="G165" s="1"/>
      <c r="H165" s="5" t="str">
        <f>IF(ISNA(HLOOKUP($E$2,'HLookup Tables'!$H$13:$AL$443,131,FALSE)),"",(HLOOKUP($E$2,'HLookup Tables'!$H$13:$AL$443,131,FALSE)))</f>
        <v/>
      </c>
      <c r="I165" s="5" t="str">
        <f t="shared" si="14"/>
        <v/>
      </c>
      <c r="J165" s="164" t="str">
        <f t="shared" si="15"/>
        <v/>
      </c>
      <c r="K165" s="310"/>
      <c r="L165" s="793"/>
      <c r="Q165" s="5"/>
    </row>
    <row r="166" spans="1:17" ht="12">
      <c r="A166" s="19"/>
      <c r="B166" s="19" t="s">
        <v>3391</v>
      </c>
      <c r="C166" s="19"/>
      <c r="D166" s="19"/>
      <c r="E166" s="19"/>
      <c r="F166" s="30" t="s">
        <v>441</v>
      </c>
      <c r="G166" s="1"/>
      <c r="H166" s="5" t="str">
        <f>IF(ISNA(HLOOKUP($E$2,'HLookup Tables'!$H$13:$AL$443,132,FALSE)),"",(HLOOKUP($E$2,'HLookup Tables'!$H$13:$AL$443,132,FALSE)))</f>
        <v/>
      </c>
      <c r="I166" s="5" t="str">
        <f t="shared" si="14"/>
        <v/>
      </c>
      <c r="J166" s="164" t="str">
        <f t="shared" si="15"/>
        <v/>
      </c>
      <c r="K166" s="310"/>
      <c r="L166" s="793"/>
      <c r="Q166" s="5"/>
    </row>
    <row r="167" spans="1:17" ht="12">
      <c r="A167" s="19"/>
      <c r="B167" s="19" t="s">
        <v>747</v>
      </c>
      <c r="C167" s="19"/>
      <c r="D167" s="19"/>
      <c r="E167" s="19"/>
      <c r="F167" s="30" t="s">
        <v>128</v>
      </c>
      <c r="G167" s="1"/>
      <c r="H167" s="5" t="str">
        <f>IF(ISNA(HLOOKUP($E$2,'HLookup Tables'!$H$13:$AL$443,133,FALSE)),"",(HLOOKUP($E$2,'HLookup Tables'!$H$13:$AL$443,133,FALSE)))</f>
        <v/>
      </c>
      <c r="I167" s="5" t="str">
        <f t="shared" si="14"/>
        <v/>
      </c>
      <c r="J167" s="164" t="str">
        <f t="shared" si="15"/>
        <v/>
      </c>
      <c r="K167" s="310"/>
      <c r="L167" s="793"/>
      <c r="Q167" s="5"/>
    </row>
    <row r="168" spans="1:17" ht="12">
      <c r="A168" s="19"/>
      <c r="B168" s="19" t="s">
        <v>3373</v>
      </c>
      <c r="C168" s="19"/>
      <c r="D168" s="19"/>
      <c r="E168" s="19"/>
      <c r="F168" s="30" t="s">
        <v>129</v>
      </c>
      <c r="G168" s="1"/>
      <c r="H168" s="5" t="str">
        <f>IF(ISNA(HLOOKUP($E$2,'HLookup Tables'!$H$13:$AL$443,134,FALSE)),"",(HLOOKUP($E$2,'HLookup Tables'!$H$13:$AL$443,134,FALSE)))</f>
        <v/>
      </c>
      <c r="I168" s="5" t="str">
        <f t="shared" ref="I168" si="16">IF(ISERR(G168-H168),"",(G168-H168))</f>
        <v/>
      </c>
      <c r="J168" s="164" t="str">
        <f t="shared" ref="J168" si="17">IF($E$7="","",IF(AND(G168=0,H168=0),"",IF(ISERR(I168/ABS(H168)),100%,I168/ABS(H168))))</f>
        <v/>
      </c>
      <c r="K168" s="310"/>
      <c r="L168" s="793"/>
      <c r="Q168" s="5"/>
    </row>
    <row r="169" spans="1:17" ht="12">
      <c r="A169" s="19"/>
      <c r="B169" s="19" t="s">
        <v>748</v>
      </c>
      <c r="C169" s="19"/>
      <c r="D169" s="19"/>
      <c r="E169" s="19"/>
      <c r="F169" s="30" t="s">
        <v>3350</v>
      </c>
      <c r="G169" s="1"/>
      <c r="H169" s="5" t="str">
        <f>IF(ISNA(HLOOKUP($E$2,'HLookup Tables'!$H$13:$AL$443,135,FALSE)),"",(HLOOKUP($E$2,'HLookup Tables'!$H$13:$AL$443,135,FALSE)))</f>
        <v/>
      </c>
      <c r="I169" s="5" t="str">
        <f t="shared" si="14"/>
        <v/>
      </c>
      <c r="J169" s="164" t="str">
        <f t="shared" si="15"/>
        <v/>
      </c>
      <c r="K169" s="310"/>
      <c r="L169" s="793"/>
      <c r="Q169" s="5"/>
    </row>
    <row r="170" spans="1:17" ht="12">
      <c r="A170" s="19"/>
      <c r="B170" s="19" t="s">
        <v>462</v>
      </c>
      <c r="C170" s="19"/>
      <c r="D170" s="19"/>
      <c r="E170" s="598" t="str">
        <f>IF(G170&lt;&gt;0,"Answer Required","N/A")</f>
        <v>N/A</v>
      </c>
      <c r="F170" s="30" t="s">
        <v>126</v>
      </c>
      <c r="G170" s="1"/>
      <c r="H170" s="5" t="str">
        <f>IF(ISNA(HLOOKUP($E$2,'HLookup Tables'!$H$13:$AL$443,136,FALSE)),"",(HLOOKUP($E$2,'HLookup Tables'!$H$13:$AL$443,136,FALSE)))</f>
        <v/>
      </c>
      <c r="I170" s="5" t="str">
        <f t="shared" si="14"/>
        <v/>
      </c>
      <c r="J170" s="164" t="str">
        <f t="shared" si="15"/>
        <v/>
      </c>
      <c r="K170" s="310"/>
      <c r="L170" s="793"/>
      <c r="Q170" s="5"/>
    </row>
    <row r="171" spans="1:17" ht="12">
      <c r="A171" s="19"/>
      <c r="B171" s="19" t="s">
        <v>955</v>
      </c>
      <c r="C171" s="19"/>
      <c r="D171" s="19"/>
      <c r="E171" s="19"/>
      <c r="F171" s="30" t="s">
        <v>3763</v>
      </c>
      <c r="G171" s="559"/>
      <c r="H171" s="5" t="str">
        <f>IF(ISNA(HLOOKUP($E$2,'HLookup Tables'!$H$13:$AL$443,137,FALSE)),"",(HLOOKUP($E$2,'HLookup Tables'!$H$13:$AL$443,137,FALSE)))</f>
        <v/>
      </c>
      <c r="I171" s="5" t="str">
        <f t="shared" si="14"/>
        <v/>
      </c>
      <c r="J171" s="164" t="str">
        <f t="shared" si="15"/>
        <v/>
      </c>
      <c r="K171" s="310"/>
      <c r="L171" s="793"/>
      <c r="Q171" s="5"/>
    </row>
    <row r="172" spans="1:17" ht="12">
      <c r="A172" s="19"/>
      <c r="B172" s="19" t="s">
        <v>2990</v>
      </c>
      <c r="C172" s="19"/>
      <c r="D172" s="19"/>
      <c r="E172" s="19"/>
      <c r="F172" s="30" t="s">
        <v>3762</v>
      </c>
      <c r="G172" s="559"/>
      <c r="H172" s="5" t="str">
        <f>IF(ISNA(HLOOKUP($E$2,'HLookup Tables'!$H$13:$AL$443,138,FALSE)),"",(HLOOKUP($E$2,'HLookup Tables'!$H$13:$AL$443,138,FALSE)))</f>
        <v/>
      </c>
      <c r="I172" s="5" t="str">
        <f t="shared" si="14"/>
        <v/>
      </c>
      <c r="J172" s="164" t="str">
        <f t="shared" si="15"/>
        <v/>
      </c>
      <c r="K172" s="310"/>
      <c r="L172" s="793"/>
      <c r="Q172" s="5"/>
    </row>
    <row r="173" spans="1:17" ht="12">
      <c r="A173" s="19"/>
      <c r="B173" s="19" t="s">
        <v>2982</v>
      </c>
      <c r="C173" s="19"/>
      <c r="D173" s="19"/>
      <c r="E173" s="19"/>
      <c r="F173" s="30" t="s">
        <v>3762</v>
      </c>
      <c r="G173" s="559"/>
      <c r="H173" s="5" t="str">
        <f>IF(ISNA(HLOOKUP($E$2,'HLookup Tables'!$H$13:$AL$443,139,FALSE)),"",(HLOOKUP($E$2,'HLookup Tables'!$H$13:$AL$443,139,FALSE)))</f>
        <v/>
      </c>
      <c r="I173" s="5" t="str">
        <f t="shared" si="14"/>
        <v/>
      </c>
      <c r="J173" s="164" t="str">
        <f t="shared" si="15"/>
        <v/>
      </c>
      <c r="K173" s="310"/>
      <c r="L173" s="793"/>
      <c r="Q173" s="5"/>
    </row>
    <row r="174" spans="1:17" ht="12">
      <c r="A174" s="19"/>
      <c r="B174" s="19"/>
      <c r="C174" s="31" t="s">
        <v>102</v>
      </c>
      <c r="D174" s="19"/>
      <c r="E174" s="19"/>
      <c r="F174" s="22"/>
      <c r="G174" s="32">
        <f>SUM(G162:G173)</f>
        <v>0</v>
      </c>
      <c r="H174" s="32">
        <f>SUM(H162:H173)</f>
        <v>0</v>
      </c>
      <c r="I174" s="32">
        <f>SUM(I162:I173)</f>
        <v>0</v>
      </c>
      <c r="J174" s="165" t="str">
        <f>IF(I174=0,"0%",IF(ISERR(I174/ABS(H174)),100%,I174/ABS(H174)))</f>
        <v>0%</v>
      </c>
      <c r="K174" s="182"/>
      <c r="L174" s="793"/>
      <c r="Q174" s="5"/>
    </row>
    <row r="175" spans="1:17" ht="12">
      <c r="A175" s="19"/>
      <c r="B175" s="19"/>
      <c r="C175" s="19"/>
      <c r="D175" s="19"/>
      <c r="E175" s="19"/>
      <c r="F175" s="22"/>
      <c r="G175" s="5"/>
      <c r="H175" s="5"/>
      <c r="I175" s="5"/>
      <c r="J175" s="164"/>
      <c r="K175" s="182"/>
      <c r="L175" s="793"/>
      <c r="Q175" s="5"/>
    </row>
    <row r="176" spans="1:17" ht="12">
      <c r="A176" s="19"/>
      <c r="B176" s="19"/>
      <c r="C176" s="19"/>
      <c r="D176" s="31" t="s">
        <v>232</v>
      </c>
      <c r="E176" s="19"/>
      <c r="F176" s="22"/>
      <c r="G176" s="32">
        <f>SUM(G152:G155,G160,G174)</f>
        <v>0</v>
      </c>
      <c r="H176" s="32">
        <f>SUM(H152:H155,H160,H174)</f>
        <v>0</v>
      </c>
      <c r="I176" s="32">
        <f>SUM(I152:I155,I160,I174)</f>
        <v>0</v>
      </c>
      <c r="J176" s="165" t="str">
        <f>IF(I176=0,"0%",IF(ISERR(I176/ABS(H176)),100%,I176/ABS(H176)))</f>
        <v>0%</v>
      </c>
      <c r="K176" s="182"/>
      <c r="L176" s="793"/>
      <c r="Q176" s="5"/>
    </row>
    <row r="177" spans="1:17" ht="12">
      <c r="A177" s="19"/>
      <c r="B177" s="19"/>
      <c r="C177" s="19"/>
      <c r="D177" s="31"/>
      <c r="E177" s="19"/>
      <c r="F177" s="22"/>
      <c r="G177" s="5"/>
      <c r="H177" s="5"/>
      <c r="I177" s="5"/>
      <c r="J177" s="164"/>
      <c r="K177" s="182"/>
      <c r="L177" s="793"/>
      <c r="Q177" s="5"/>
    </row>
    <row r="178" spans="1:17" ht="12">
      <c r="A178" s="19"/>
      <c r="B178" s="19"/>
      <c r="C178" s="19"/>
      <c r="D178" s="19"/>
      <c r="E178" s="31" t="s">
        <v>750</v>
      </c>
      <c r="F178" s="22"/>
      <c r="G178" s="32">
        <f>+G149+G176</f>
        <v>0</v>
      </c>
      <c r="H178" s="32">
        <f>+H149+H176</f>
        <v>0</v>
      </c>
      <c r="I178" s="32">
        <f>+I149+I176</f>
        <v>0</v>
      </c>
      <c r="J178" s="165" t="str">
        <f>IF(I178=0,"0%",IF(ISERR(I178/ABS(H178)),100%,I178/ABS(H178)))</f>
        <v>0%</v>
      </c>
      <c r="K178" s="182"/>
      <c r="L178" s="793"/>
      <c r="Q178" s="5"/>
    </row>
    <row r="179" spans="1:17" ht="12">
      <c r="A179" s="19"/>
      <c r="B179" s="19"/>
      <c r="C179" s="19"/>
      <c r="D179" s="19"/>
      <c r="E179" s="31"/>
      <c r="F179" s="22"/>
      <c r="G179" s="5"/>
      <c r="H179" s="5"/>
      <c r="I179" s="5"/>
      <c r="J179" s="252"/>
      <c r="K179" s="182"/>
      <c r="L179" s="793"/>
      <c r="Q179" s="5"/>
    </row>
    <row r="180" spans="1:17" ht="12">
      <c r="A180" s="34" t="s">
        <v>770</v>
      </c>
      <c r="B180" s="19"/>
      <c r="C180" s="19"/>
      <c r="D180" s="19"/>
      <c r="E180" s="33"/>
      <c r="F180" s="30" t="s">
        <v>123</v>
      </c>
      <c r="G180" s="1"/>
      <c r="H180" s="5" t="str">
        <f>IF(ISNA(HLOOKUP($E$2,'HLookup Tables'!$H$13:$AL$443,146,FALSE)),"",(HLOOKUP($E$2,'HLookup Tables'!$H$13:$AL$443,146,FALSE)))</f>
        <v/>
      </c>
      <c r="I180" s="5" t="str">
        <f>IF(ISERR(G180-H180),"",(G180-H180))</f>
        <v/>
      </c>
      <c r="J180" s="164" t="str">
        <f>IF($E$7="","",IF(AND(G180=0,H180=0),"",IF(ISERR(I180/ABS(H180)),100%,I180/ABS(H180))))</f>
        <v/>
      </c>
      <c r="K180" s="310"/>
      <c r="L180" s="793"/>
      <c r="Q180" s="5"/>
    </row>
    <row r="181" spans="1:17" ht="12">
      <c r="A181" s="34"/>
      <c r="B181" s="19"/>
      <c r="C181" s="19"/>
      <c r="D181" s="19"/>
      <c r="E181" s="33"/>
      <c r="F181" s="22"/>
      <c r="G181" s="5"/>
      <c r="H181" s="5"/>
      <c r="I181" s="5"/>
      <c r="J181" s="225"/>
      <c r="K181" s="182"/>
      <c r="L181" s="793"/>
      <c r="Q181" s="5"/>
    </row>
    <row r="182" spans="1:17" ht="12">
      <c r="A182" s="34"/>
      <c r="B182" s="19"/>
      <c r="C182" s="19"/>
      <c r="D182" s="19"/>
      <c r="E182" s="33" t="s">
        <v>771</v>
      </c>
      <c r="F182" s="22"/>
      <c r="G182" s="32">
        <f>SUM(G178,G180)</f>
        <v>0</v>
      </c>
      <c r="H182" s="32">
        <f>SUM(H178,H180)</f>
        <v>0</v>
      </c>
      <c r="I182" s="32">
        <f>SUM(I178,I180)</f>
        <v>0</v>
      </c>
      <c r="J182" s="165" t="str">
        <f>IF(I182=0,"0%",IF(ISERR(I182/ABS(H182)),100%,I182/ABS(H182)))</f>
        <v>0%</v>
      </c>
      <c r="K182" s="182"/>
      <c r="L182" s="793"/>
      <c r="Q182" s="5"/>
    </row>
    <row r="183" spans="1:17" ht="12">
      <c r="A183" s="19"/>
      <c r="B183" s="19"/>
      <c r="C183" s="19"/>
      <c r="D183" s="19"/>
      <c r="E183" s="19"/>
      <c r="F183" s="22"/>
      <c r="G183" s="5"/>
      <c r="H183" s="5"/>
      <c r="I183" s="5"/>
      <c r="J183" s="5"/>
      <c r="K183" s="182"/>
      <c r="L183" s="793"/>
      <c r="Q183" s="5"/>
    </row>
    <row r="184" spans="1:17" ht="12">
      <c r="A184" s="34" t="s">
        <v>773</v>
      </c>
      <c r="B184" s="19"/>
      <c r="C184" s="19"/>
      <c r="D184" s="19"/>
      <c r="E184" s="19"/>
      <c r="F184" s="22"/>
      <c r="G184" s="5"/>
      <c r="H184" s="5"/>
      <c r="I184" s="5"/>
      <c r="J184" s="5"/>
      <c r="K184" s="182"/>
      <c r="L184" s="793"/>
      <c r="Q184" s="5"/>
    </row>
    <row r="185" spans="1:17" ht="12">
      <c r="A185" s="31" t="s">
        <v>777</v>
      </c>
      <c r="B185" s="31"/>
      <c r="C185" s="19"/>
      <c r="D185" s="19"/>
      <c r="E185" s="19"/>
      <c r="F185" s="30" t="s">
        <v>739</v>
      </c>
      <c r="G185" s="1"/>
      <c r="H185" s="5" t="str">
        <f>IF(ISNA(HLOOKUP($E$2,'HLookup Tables'!$H$13:$AL$443,150,FALSE)),"",(HLOOKUP($E$2,'HLookup Tables'!$H$13:$AL$443,150,FALSE)))</f>
        <v/>
      </c>
      <c r="I185" s="5" t="str">
        <f t="shared" ref="I185:I191" si="18">IF(ISERR(G185-H185),"",(G185-H185))</f>
        <v/>
      </c>
      <c r="J185" s="164" t="str">
        <f t="shared" ref="J185:J191" si="19">IF($E$7="","",IF(AND(G185=0,H185=0),"",IF(ISERR(I185/ABS(H185)),100%,I185/ABS(H185))))</f>
        <v/>
      </c>
      <c r="K185" s="310"/>
      <c r="L185" s="793"/>
      <c r="Q185" s="5"/>
    </row>
    <row r="186" spans="1:17" ht="12">
      <c r="A186" s="31" t="s">
        <v>196</v>
      </c>
      <c r="B186" s="19"/>
      <c r="C186" s="19"/>
      <c r="D186" s="19"/>
      <c r="E186" s="19"/>
      <c r="F186" s="22"/>
      <c r="G186" s="1"/>
      <c r="H186" s="5" t="str">
        <f>IF(ISNA(HLOOKUP($E$2,'HLookup Tables'!$H$13:$AL$443,151,FALSE)),"",(HLOOKUP($E$2,'HLookup Tables'!$H$13:$AL$443,151,FALSE)))</f>
        <v/>
      </c>
      <c r="I186" s="5" t="str">
        <f t="shared" si="18"/>
        <v/>
      </c>
      <c r="J186" s="164" t="str">
        <f t="shared" si="19"/>
        <v/>
      </c>
      <c r="K186" s="310"/>
      <c r="L186" s="793"/>
      <c r="Q186" s="5"/>
    </row>
    <row r="187" spans="1:17" ht="12">
      <c r="A187" s="31" t="s">
        <v>197</v>
      </c>
      <c r="B187" s="19"/>
      <c r="C187" s="19"/>
      <c r="D187" s="19"/>
      <c r="E187" s="19"/>
      <c r="F187" s="22"/>
      <c r="G187" s="1"/>
      <c r="H187" s="5" t="str">
        <f>IF(ISNA(HLOOKUP($E$2,'HLookup Tables'!$H$13:$AL$443,152,FALSE)),"",(HLOOKUP($E$2,'HLookup Tables'!$H$13:$AL$443,152,FALSE)))</f>
        <v/>
      </c>
      <c r="I187" s="5" t="str">
        <f t="shared" si="18"/>
        <v/>
      </c>
      <c r="J187" s="164" t="str">
        <f t="shared" si="19"/>
        <v/>
      </c>
      <c r="K187" s="310"/>
      <c r="L187" s="793"/>
      <c r="Q187" s="5"/>
    </row>
    <row r="188" spans="1:17" ht="12">
      <c r="A188" s="31" t="s">
        <v>198</v>
      </c>
      <c r="B188" s="19"/>
      <c r="C188" s="19"/>
      <c r="D188" s="19"/>
      <c r="E188" s="19"/>
      <c r="F188" s="22"/>
      <c r="G188" s="1"/>
      <c r="H188" s="5" t="str">
        <f>IF(ISNA(HLOOKUP($E$2,'HLookup Tables'!$H$13:$AL$443,153,FALSE)),"",(HLOOKUP($E$2,'HLookup Tables'!$H$13:$AL$443,153,FALSE)))</f>
        <v/>
      </c>
      <c r="I188" s="5" t="str">
        <f t="shared" si="18"/>
        <v/>
      </c>
      <c r="J188" s="164" t="str">
        <f t="shared" si="19"/>
        <v/>
      </c>
      <c r="K188" s="310"/>
      <c r="L188" s="793"/>
      <c r="Q188" s="5"/>
    </row>
    <row r="189" spans="1:17" ht="12">
      <c r="A189" s="31" t="s">
        <v>2958</v>
      </c>
      <c r="B189" s="19"/>
      <c r="C189" s="19"/>
      <c r="D189" s="19"/>
      <c r="E189" s="19"/>
      <c r="F189" s="22"/>
      <c r="G189" s="1"/>
      <c r="H189" s="5" t="str">
        <f>IF(ISNA(HLOOKUP($E$2,'HLookup Tables'!$H$13:$AL$443,154,FALSE)),"",(HLOOKUP($E$2,'HLookup Tables'!$H$13:$AL$443,154,FALSE)))</f>
        <v/>
      </c>
      <c r="I189" s="5" t="str">
        <f t="shared" si="18"/>
        <v/>
      </c>
      <c r="J189" s="164" t="str">
        <f t="shared" si="19"/>
        <v/>
      </c>
      <c r="K189" s="310"/>
      <c r="L189" s="793"/>
      <c r="Q189" s="5"/>
    </row>
    <row r="190" spans="1:17" ht="12">
      <c r="A190" s="31" t="s">
        <v>215</v>
      </c>
      <c r="B190" s="19"/>
      <c r="C190" s="19"/>
      <c r="D190" s="19"/>
      <c r="E190" s="598" t="str">
        <f>IF(G190&lt;&gt;0,"Answer Required","N/A")</f>
        <v>N/A</v>
      </c>
      <c r="F190" s="22"/>
      <c r="G190" s="1"/>
      <c r="H190" s="5" t="str">
        <f>IF(ISNA(HLOOKUP($E$2,'HLookup Tables'!$H$13:$AL$443,155,FALSE)),"",(HLOOKUP($E$2,'HLookup Tables'!$H$13:$AL$443,155,FALSE)))</f>
        <v/>
      </c>
      <c r="I190" s="5" t="str">
        <f t="shared" si="18"/>
        <v/>
      </c>
      <c r="J190" s="164" t="str">
        <f t="shared" si="19"/>
        <v/>
      </c>
      <c r="K190" s="310"/>
      <c r="L190" s="793"/>
      <c r="Q190" s="5"/>
    </row>
    <row r="191" spans="1:17" ht="12">
      <c r="A191" s="31" t="s">
        <v>1</v>
      </c>
      <c r="B191" s="19"/>
      <c r="C191" s="19"/>
      <c r="D191" s="19"/>
      <c r="E191" s="19"/>
      <c r="F191" s="22"/>
      <c r="G191" s="16"/>
      <c r="H191" s="5" t="str">
        <f>IF(ISNA(HLOOKUP($E$2,'HLookup Tables'!$H$13:$AL$443,156,FALSE)),"",(HLOOKUP($E$2,'HLookup Tables'!$H$13:$AL$443,156,FALSE)))</f>
        <v/>
      </c>
      <c r="I191" s="5" t="str">
        <f t="shared" si="18"/>
        <v/>
      </c>
      <c r="J191" s="164" t="str">
        <f t="shared" si="19"/>
        <v/>
      </c>
      <c r="K191" s="310"/>
      <c r="L191" s="793"/>
      <c r="Q191" s="5"/>
    </row>
    <row r="192" spans="1:17" thickBot="1">
      <c r="A192" s="19"/>
      <c r="B192" s="19"/>
      <c r="C192" s="19"/>
      <c r="D192" s="19"/>
      <c r="E192" s="31" t="s">
        <v>772</v>
      </c>
      <c r="F192" s="30"/>
      <c r="G192" s="37">
        <f>IF(SUM(G185:G191)+G182=G103,SUM(G185:G191),"ERROR")</f>
        <v>0</v>
      </c>
      <c r="H192" s="37">
        <f>IF(SUM(H185:H191)+H182=H103,SUM(H185:H191),"ERROR")</f>
        <v>0</v>
      </c>
      <c r="I192" s="37">
        <f>IF(SUM(I185:I191)+I182=I103,SUM(I185:I191),"ERROR")</f>
        <v>0</v>
      </c>
      <c r="J192" s="165" t="str">
        <f>IF(I192=0,"0%",IF(ISERR(I192/ABS(H192)),100%,I192/ABS(H192)))</f>
        <v>0%</v>
      </c>
      <c r="K192" s="182"/>
      <c r="L192" s="796">
        <f>SUM(G185:G191)+G182-G103</f>
        <v>0</v>
      </c>
      <c r="Q192" s="5"/>
    </row>
    <row r="193" spans="1:19" thickTop="1">
      <c r="A193" s="19"/>
      <c r="B193" s="19"/>
      <c r="C193" s="19"/>
      <c r="D193" s="19"/>
      <c r="E193" s="31"/>
      <c r="F193" s="289" t="s">
        <v>440</v>
      </c>
      <c r="G193" s="296">
        <f>SUM(G185:G191)+G182-G103</f>
        <v>0</v>
      </c>
      <c r="H193" s="296"/>
      <c r="K193" s="182"/>
      <c r="Q193" s="5"/>
    </row>
    <row r="194" spans="1:19" ht="12">
      <c r="A194" s="19"/>
      <c r="B194" s="19"/>
      <c r="C194" s="19"/>
      <c r="D194" s="19"/>
      <c r="E194" s="31"/>
      <c r="F194" s="22"/>
      <c r="G194" s="5"/>
      <c r="K194" s="182"/>
      <c r="Q194" s="5"/>
    </row>
    <row r="195" spans="1:19" ht="12.75" customHeight="1">
      <c r="A195" s="1022" t="str">
        <f>A7</f>
        <v>Fund Name:</v>
      </c>
      <c r="B195" s="1022"/>
      <c r="C195" s="1022"/>
      <c r="D195" s="1022"/>
      <c r="E195" s="20" t="str">
        <f>E7</f>
        <v/>
      </c>
      <c r="F195" s="22"/>
      <c r="K195" s="182"/>
      <c r="Q195" s="5"/>
    </row>
    <row r="196" spans="1:19" ht="12">
      <c r="A196" s="34"/>
      <c r="B196" s="19"/>
      <c r="C196" s="19"/>
      <c r="D196" s="19"/>
      <c r="E196" s="19"/>
      <c r="F196" s="22"/>
      <c r="K196" s="182"/>
    </row>
    <row r="197" spans="1:19" ht="15" customHeight="1">
      <c r="A197" s="13" t="s">
        <v>910</v>
      </c>
      <c r="B197" s="13"/>
      <c r="C197" s="13"/>
      <c r="D197" s="34"/>
      <c r="F197" s="22"/>
      <c r="J197" s="27"/>
      <c r="K197" s="182"/>
      <c r="L197" s="795"/>
    </row>
    <row r="198" spans="1:19" ht="12" customHeight="1">
      <c r="A198" s="28" t="str">
        <f>A108</f>
        <v>For the Year Ended June 30, 2024</v>
      </c>
      <c r="B198" s="38"/>
      <c r="C198" s="28"/>
      <c r="D198" s="28"/>
      <c r="E198" s="34"/>
      <c r="F198" s="1017" t="s">
        <v>602</v>
      </c>
      <c r="G198" s="27"/>
      <c r="K198" s="182"/>
      <c r="O198" s="26"/>
    </row>
    <row r="199" spans="1:19" ht="12" customHeight="1">
      <c r="A199" s="34"/>
      <c r="B199" s="19"/>
      <c r="C199" s="19"/>
      <c r="D199" s="19"/>
      <c r="E199" s="29" t="s">
        <v>360</v>
      </c>
      <c r="F199" s="1033"/>
      <c r="G199" s="29" t="str">
        <f>G29</f>
        <v>Template</v>
      </c>
      <c r="H199" s="29" t="s">
        <v>261</v>
      </c>
      <c r="I199" s="29" t="str">
        <f>I29</f>
        <v>$</v>
      </c>
      <c r="J199" s="29" t="str">
        <f>J29</f>
        <v>%</v>
      </c>
      <c r="K199" s="28" t="s">
        <v>146</v>
      </c>
      <c r="L199" s="792" t="s">
        <v>536</v>
      </c>
    </row>
    <row r="200" spans="1:19">
      <c r="A200" s="20" t="s">
        <v>2</v>
      </c>
      <c r="B200" s="19"/>
      <c r="C200" s="19"/>
      <c r="D200" s="19"/>
      <c r="Q200" s="27"/>
    </row>
    <row r="201" spans="1:19" ht="12">
      <c r="A201" s="20"/>
      <c r="B201" s="19"/>
      <c r="C201" s="19"/>
      <c r="D201" s="19"/>
      <c r="E201" s="19"/>
      <c r="F201" s="22"/>
      <c r="G201" s="34"/>
      <c r="J201" s="5"/>
      <c r="K201" s="182"/>
      <c r="L201" s="793"/>
      <c r="Q201" s="259"/>
      <c r="S201" s="26"/>
    </row>
    <row r="202" spans="1:19" ht="12">
      <c r="A202" s="19"/>
      <c r="B202" s="33" t="s">
        <v>3</v>
      </c>
      <c r="C202" s="19"/>
      <c r="D202" s="19"/>
      <c r="E202" s="19"/>
      <c r="F202" s="22"/>
      <c r="G202" s="1"/>
      <c r="H202" s="5" t="str">
        <f>IF(ISNA(HLOOKUP($E$2,'HLookup Tables'!$H$13:$AL$443,167,FALSE)),"",(HLOOKUP($E$2,'HLookup Tables'!$H$13:$AL$443,167,FALSE)))</f>
        <v/>
      </c>
      <c r="I202" s="5" t="str">
        <f>IF(ISERR(G202-H202),"",(G202-H202))</f>
        <v/>
      </c>
      <c r="J202" s="164" t="str">
        <f>IF($E$7="","",IF(AND(G202=0,H202=0),"",IF(ISERR(I202/ABS(H202)),100%,I202/ABS(H202))))</f>
        <v/>
      </c>
      <c r="K202" s="310"/>
      <c r="L202" s="793"/>
      <c r="O202" s="5"/>
    </row>
    <row r="203" spans="1:19" ht="12">
      <c r="A203" s="19"/>
      <c r="B203" s="33" t="s">
        <v>4</v>
      </c>
      <c r="C203" s="19"/>
      <c r="D203" s="19"/>
      <c r="E203" s="19"/>
      <c r="F203" s="22"/>
      <c r="G203" s="1"/>
      <c r="H203" s="5" t="str">
        <f>IF(ISNA(HLOOKUP($E$2,'HLookup Tables'!$H$13:$AL$443,168,FALSE)),"",(HLOOKUP($E$2,'HLookup Tables'!$H$13:$AL$443,168,FALSE)))</f>
        <v/>
      </c>
      <c r="I203" s="5" t="str">
        <f>IF(ISERR(G203-H203),"",(G203-H203))</f>
        <v/>
      </c>
      <c r="J203" s="164" t="str">
        <f>IF($E$7="","",IF(AND(G203=0,H203=0),"",IF(ISERR(I203/ABS(H203)),100%,I203/ABS(H203))))</f>
        <v/>
      </c>
      <c r="K203" s="310"/>
      <c r="L203" s="793"/>
      <c r="O203" s="5"/>
      <c r="Q203" s="5"/>
    </row>
    <row r="204" spans="1:19" ht="12">
      <c r="A204" s="19"/>
      <c r="B204" s="39"/>
      <c r="C204" s="19"/>
      <c r="D204" s="19"/>
      <c r="E204" s="19"/>
      <c r="F204" s="22"/>
      <c r="G204" s="5"/>
      <c r="H204" s="5"/>
      <c r="I204" s="5"/>
      <c r="J204" s="164"/>
      <c r="K204" s="182"/>
      <c r="L204" s="793"/>
      <c r="O204" s="5"/>
      <c r="Q204" s="5"/>
    </row>
    <row r="205" spans="1:19" ht="12">
      <c r="A205" s="19"/>
      <c r="B205" s="19" t="s">
        <v>199</v>
      </c>
      <c r="C205" s="19"/>
      <c r="D205" s="19"/>
      <c r="E205" s="19"/>
      <c r="F205" s="22"/>
      <c r="G205" s="1"/>
      <c r="H205" s="5" t="str">
        <f>IF(ISNA(HLOOKUP($E$2,'HLookup Tables'!$H$13:$AL$443,170,FALSE)),"",(HLOOKUP($E$2,'HLookup Tables'!$H$13:$AL$443,170,FALSE)))</f>
        <v/>
      </c>
      <c r="I205" s="5" t="str">
        <f>IF(ISERR(G205-H205),"",(G205-H205))</f>
        <v/>
      </c>
      <c r="J205" s="164" t="str">
        <f>IF($E$7="","",IF(AND(G205=0,H205=0),"",IF(ISERR(I205/ABS(H205)),100%,I205/ABS(H205))))</f>
        <v/>
      </c>
      <c r="K205" s="310"/>
      <c r="L205" s="793"/>
      <c r="O205" s="5"/>
      <c r="Q205" s="5"/>
    </row>
    <row r="206" spans="1:19" ht="12">
      <c r="A206" s="19"/>
      <c r="B206" s="39" t="s">
        <v>5</v>
      </c>
      <c r="C206" s="19"/>
      <c r="D206" s="19"/>
      <c r="E206" s="19"/>
      <c r="F206" s="22"/>
      <c r="G206" s="1"/>
      <c r="H206" s="5" t="str">
        <f>IF(ISNA(HLOOKUP($E$2,'HLookup Tables'!$H$13:$AL$443,171,FALSE)),"",(HLOOKUP($E$2,'HLookup Tables'!$H$13:$AL$443,171,FALSE)))</f>
        <v/>
      </c>
      <c r="I206" s="5" t="str">
        <f>IF(ISERR(G206-H206),"",(G206-H206))</f>
        <v/>
      </c>
      <c r="J206" s="164" t="str">
        <f>IF($E$7="","",IF(AND(G206=0,H206=0),"",IF(ISERR(I206/ABS(H206)),100%,I206/ABS(H206))))</f>
        <v/>
      </c>
      <c r="K206" s="310"/>
      <c r="L206" s="793"/>
      <c r="O206" s="5"/>
      <c r="Q206" s="5"/>
    </row>
    <row r="207" spans="1:19" ht="12">
      <c r="A207" s="19"/>
      <c r="B207" s="39" t="s">
        <v>200</v>
      </c>
      <c r="C207" s="19"/>
      <c r="D207" s="19"/>
      <c r="E207" s="19"/>
      <c r="F207" s="22"/>
      <c r="G207" s="1"/>
      <c r="H207" s="5" t="str">
        <f>IF(ISNA(HLOOKUP($E$2,'HLookup Tables'!$H$13:$AL$443,172,FALSE)),"",(HLOOKUP($E$2,'HLookup Tables'!$H$13:$AL$443,172,FALSE)))</f>
        <v/>
      </c>
      <c r="I207" s="5" t="str">
        <f>IF(ISERR(G207-H207),"",(G207-H207))</f>
        <v/>
      </c>
      <c r="J207" s="164" t="str">
        <f>IF($E$7="","",IF(AND(G207=0,H207=0),"",IF(ISERR(I207/ABS(H207)),100%,I207/ABS(H207))))</f>
        <v/>
      </c>
      <c r="K207" s="310"/>
      <c r="L207" s="793"/>
      <c r="O207" s="5"/>
      <c r="Q207" s="5"/>
    </row>
    <row r="208" spans="1:19" ht="12">
      <c r="A208" s="19"/>
      <c r="B208" s="39" t="s">
        <v>324</v>
      </c>
      <c r="C208" s="19"/>
      <c r="D208" s="19"/>
      <c r="E208" s="598" t="str">
        <f>IF(G208&lt;&gt;0,"Answer Required","N/A")</f>
        <v>N/A</v>
      </c>
      <c r="F208" s="22"/>
      <c r="G208" s="16"/>
      <c r="H208" s="5" t="str">
        <f>IF(ISNA(HLOOKUP($E$2,'HLookup Tables'!$H$13:$AL$443,173,FALSE)),"",(HLOOKUP($E$2,'HLookup Tables'!$H$13:$AL$443,173,FALSE)))</f>
        <v/>
      </c>
      <c r="I208" s="5" t="str">
        <f>IF(ISERR(G208-H208),"",(G208-H208))</f>
        <v/>
      </c>
      <c r="J208" s="164" t="str">
        <f>IF($E$7="","",IF(AND(G208=0,H208=0),"",IF(ISERR(I208/ABS(H208)),100%,I208/ABS(H208))))</f>
        <v/>
      </c>
      <c r="K208" s="310"/>
      <c r="L208" s="793"/>
      <c r="O208" s="5"/>
      <c r="Q208" s="5"/>
    </row>
    <row r="209" spans="1:17" ht="12">
      <c r="A209" s="19"/>
      <c r="B209" s="39"/>
      <c r="C209" s="31" t="s">
        <v>7</v>
      </c>
      <c r="D209" s="19"/>
      <c r="E209" s="19"/>
      <c r="F209" s="22"/>
      <c r="G209" s="32">
        <f>SUM(G205:G208)</f>
        <v>0</v>
      </c>
      <c r="H209" s="32">
        <f>SUM(H205:H208)</f>
        <v>0</v>
      </c>
      <c r="I209" s="32">
        <f>SUM(I205:I208)</f>
        <v>0</v>
      </c>
      <c r="J209" s="165" t="str">
        <f>IF(I209=0,"0%",IF(ISERR(I209/ABS(H209)),100%,I209/ABS(H209)))</f>
        <v>0%</v>
      </c>
      <c r="K209" s="182"/>
      <c r="L209" s="793"/>
      <c r="O209" s="5"/>
      <c r="Q209" s="5"/>
    </row>
    <row r="210" spans="1:17" ht="12">
      <c r="A210" s="19"/>
      <c r="B210" s="39"/>
      <c r="C210" s="19"/>
      <c r="D210" s="19"/>
      <c r="E210" s="19"/>
      <c r="F210" s="22"/>
      <c r="G210" s="5"/>
      <c r="H210" s="5"/>
      <c r="I210" s="5"/>
      <c r="J210" s="164"/>
      <c r="K210" s="182"/>
      <c r="L210" s="793"/>
      <c r="O210" s="5"/>
      <c r="Q210" s="5"/>
    </row>
    <row r="211" spans="1:17" ht="12">
      <c r="A211" s="19"/>
      <c r="B211" s="19"/>
      <c r="C211" s="33" t="s">
        <v>8</v>
      </c>
      <c r="D211" s="19"/>
      <c r="E211" s="19"/>
      <c r="F211" s="22"/>
      <c r="G211" s="255">
        <f>SUM(G202,G203,G209)</f>
        <v>0</v>
      </c>
      <c r="H211" s="32">
        <f>SUM(H202,H203,H209)</f>
        <v>0</v>
      </c>
      <c r="I211" s="32">
        <f>SUM(I202,I203,I209)</f>
        <v>0</v>
      </c>
      <c r="J211" s="165" t="str">
        <f>IF(I211=0,"0%",IF(ISERR(I211/ABS(H211)),100%,I211/ABS(H211)))</f>
        <v>0%</v>
      </c>
      <c r="K211" s="182"/>
      <c r="L211" s="793"/>
      <c r="O211" s="5"/>
      <c r="Q211" s="5"/>
    </row>
    <row r="212" spans="1:17" ht="12">
      <c r="A212" s="19"/>
      <c r="B212" s="19"/>
      <c r="C212" s="19"/>
      <c r="D212" s="19"/>
      <c r="E212" s="19"/>
      <c r="F212" s="22"/>
      <c r="G212" s="5"/>
      <c r="H212" s="5"/>
      <c r="I212" s="5"/>
      <c r="J212" s="164"/>
      <c r="K212" s="182"/>
      <c r="L212" s="793"/>
      <c r="O212" s="5"/>
      <c r="Q212" s="5"/>
    </row>
    <row r="213" spans="1:17" ht="12">
      <c r="A213" s="20" t="s">
        <v>9</v>
      </c>
      <c r="B213" s="19"/>
      <c r="C213" s="19"/>
      <c r="D213" s="19"/>
      <c r="E213" s="19"/>
      <c r="F213" s="22"/>
      <c r="G213" s="5"/>
      <c r="H213" s="5"/>
      <c r="I213" s="5"/>
      <c r="J213" s="164"/>
      <c r="K213" s="182"/>
      <c r="L213" s="793"/>
      <c r="O213" s="5"/>
      <c r="Q213" s="5"/>
    </row>
    <row r="214" spans="1:17" ht="12">
      <c r="A214" s="19"/>
      <c r="B214" s="33" t="s">
        <v>11</v>
      </c>
      <c r="C214" s="19"/>
      <c r="D214" s="19"/>
      <c r="E214" s="19"/>
      <c r="F214" s="22"/>
      <c r="G214" s="1"/>
      <c r="H214" s="5" t="str">
        <f>IF(ISNA(HLOOKUP($E$2,'HLookup Tables'!$H$13:$AL$443,179,FALSE)),"",(HLOOKUP($E$2,'HLookup Tables'!$H$13:$AL$443,179,FALSE)))</f>
        <v/>
      </c>
      <c r="I214" s="5" t="str">
        <f>IF(ISERR(G214-H214),"",(G214-H214))</f>
        <v/>
      </c>
      <c r="J214" s="164" t="str">
        <f>IF($E$7="","",IF(AND(G214=0,H214=0),"",IF(ISERR(I214/ABS(H214)),100%,I214/ABS(H214))))</f>
        <v/>
      </c>
      <c r="K214" s="310"/>
      <c r="L214" s="793"/>
      <c r="O214" s="5"/>
      <c r="Q214" s="5"/>
    </row>
    <row r="215" spans="1:17" ht="12">
      <c r="A215" s="19"/>
      <c r="B215" s="39"/>
      <c r="C215" s="19"/>
      <c r="D215" s="19"/>
      <c r="E215" s="19"/>
      <c r="F215" s="22"/>
      <c r="G215" s="5"/>
      <c r="H215" s="5"/>
      <c r="I215" s="5"/>
      <c r="J215" s="164"/>
      <c r="K215" s="182"/>
      <c r="L215" s="793"/>
      <c r="O215" s="5"/>
      <c r="Q215" s="5"/>
    </row>
    <row r="216" spans="1:17" ht="12">
      <c r="A216" s="19"/>
      <c r="B216" s="39" t="s">
        <v>12</v>
      </c>
      <c r="C216" s="19"/>
      <c r="D216" s="19"/>
      <c r="E216" s="19"/>
      <c r="F216" s="22"/>
      <c r="G216" s="1"/>
      <c r="H216" s="5" t="str">
        <f>IF(ISNA(HLOOKUP($E$2,'HLookup Tables'!$H$13:$AL$443,181,FALSE)),"",(HLOOKUP($E$2,'HLookup Tables'!$H$13:$AL$443,181,FALSE)))</f>
        <v/>
      </c>
      <c r="I216" s="5" t="str">
        <f>IF(ISERR(G216-H216),"",(G216-H216))</f>
        <v/>
      </c>
      <c r="J216" s="164" t="str">
        <f>IF($E$7="","",IF(AND(G216=0,H216=0),"",IF(ISERR(I216/ABS(H216)),100%,I216/ABS(H216))))</f>
        <v/>
      </c>
      <c r="K216" s="310"/>
      <c r="L216" s="793"/>
      <c r="O216" s="5"/>
      <c r="Q216" s="5"/>
    </row>
    <row r="217" spans="1:17" ht="12">
      <c r="A217" s="19"/>
      <c r="B217" s="39" t="s">
        <v>13</v>
      </c>
      <c r="C217" s="19"/>
      <c r="D217" s="19"/>
      <c r="E217" s="19"/>
      <c r="F217" s="22"/>
      <c r="G217" s="16"/>
      <c r="H217" s="5" t="str">
        <f>IF(ISNA(HLOOKUP($E$2,'HLookup Tables'!$H$13:$AL$443,182,FALSE)),"",(HLOOKUP($E$2,'HLookup Tables'!$H$13:$AL$443,182,FALSE)))</f>
        <v/>
      </c>
      <c r="I217" s="5" t="str">
        <f>IF(ISERR(G217-H217),"",(G217-H217))</f>
        <v/>
      </c>
      <c r="J217" s="164" t="str">
        <f>IF($E$7="","",IF(AND(G217=0,H217=0),"",IF(ISERR(I217/ABS(H217)),100%,I217/ABS(H217))))</f>
        <v/>
      </c>
      <c r="K217" s="310"/>
      <c r="L217" s="793"/>
      <c r="O217" s="5"/>
      <c r="Q217" s="5"/>
    </row>
    <row r="218" spans="1:17" ht="12">
      <c r="A218" s="19"/>
      <c r="B218" s="39"/>
      <c r="C218" s="31" t="s">
        <v>235</v>
      </c>
      <c r="D218" s="19"/>
      <c r="E218" s="19"/>
      <c r="F218" s="22"/>
      <c r="G218" s="32">
        <f>SUM(G216:G217)</f>
        <v>0</v>
      </c>
      <c r="H218" s="32">
        <f>SUM(H216:H217)</f>
        <v>0</v>
      </c>
      <c r="I218" s="32">
        <f>SUM(I216:I217)</f>
        <v>0</v>
      </c>
      <c r="J218" s="165" t="str">
        <f>IF(I218=0,"0%",IF(ISERR(I218/ABS(H218)),100%,I218/ABS(H218)))</f>
        <v>0%</v>
      </c>
      <c r="K218" s="182"/>
      <c r="L218" s="793"/>
      <c r="O218" s="5"/>
      <c r="Q218" s="5"/>
    </row>
    <row r="219" spans="1:17" ht="12">
      <c r="A219" s="19"/>
      <c r="B219" s="39"/>
      <c r="C219" s="19"/>
      <c r="D219" s="19"/>
      <c r="E219" s="19"/>
      <c r="F219" s="22"/>
      <c r="G219" s="5"/>
      <c r="H219" s="5"/>
      <c r="I219" s="5"/>
      <c r="J219" s="164"/>
      <c r="K219" s="182"/>
      <c r="L219" s="793"/>
      <c r="O219" s="5"/>
      <c r="Q219" s="5"/>
    </row>
    <row r="220" spans="1:17" ht="12">
      <c r="A220" s="19"/>
      <c r="B220" s="33" t="s">
        <v>3764</v>
      </c>
      <c r="C220" s="19"/>
      <c r="D220" s="19"/>
      <c r="E220" s="19"/>
      <c r="F220" s="22"/>
      <c r="G220" s="1"/>
      <c r="H220" s="5" t="str">
        <f>IF(ISNA(HLOOKUP($E$2,'HLookup Tables'!$H$13:$AL$443,185,FALSE)),"",(HLOOKUP($E$2,'HLookup Tables'!$H$13:$AL$443,185,FALSE)))</f>
        <v/>
      </c>
      <c r="I220" s="5" t="str">
        <f>IF(ISERR(G220-H220),"",(G220-H220))</f>
        <v/>
      </c>
      <c r="J220" s="164" t="str">
        <f>IF($E$7="","",IF(AND(G220=0,H220=0),"",IF(ISERR(I220/ABS(H220)),100%,I220/ABS(H220))))</f>
        <v/>
      </c>
      <c r="K220" s="310"/>
      <c r="L220" s="793"/>
      <c r="O220" s="5"/>
      <c r="Q220" s="5"/>
    </row>
    <row r="221" spans="1:17" ht="12">
      <c r="A221" s="19"/>
      <c r="B221" s="33" t="s">
        <v>14</v>
      </c>
      <c r="C221" s="19"/>
      <c r="D221" s="19"/>
      <c r="E221" s="19"/>
      <c r="F221" s="22"/>
      <c r="G221" s="1"/>
      <c r="H221" s="5" t="str">
        <f>IF(ISNA(HLOOKUP($E$2,'HLookup Tables'!$H$13:$AL$443,186,FALSE)),"",(HLOOKUP($E$2,'HLookup Tables'!$H$13:$AL$443,186,FALSE)))</f>
        <v/>
      </c>
      <c r="I221" s="5" t="str">
        <f>IF(ISERR(G221-H221),"",(G221-H221))</f>
        <v/>
      </c>
      <c r="J221" s="164" t="str">
        <f>IF($E$7="","",IF(AND(G221=0,H221=0),"",IF(ISERR(I221/ABS(H221)),100%,I221/ABS(H221))))</f>
        <v/>
      </c>
      <c r="K221" s="310"/>
      <c r="L221" s="793"/>
      <c r="O221" s="5"/>
      <c r="Q221" s="5"/>
    </row>
    <row r="222" spans="1:17" ht="12">
      <c r="A222" s="19"/>
      <c r="B222" s="33" t="s">
        <v>15</v>
      </c>
      <c r="C222" s="19"/>
      <c r="D222" s="19"/>
      <c r="E222" s="19"/>
      <c r="F222" s="22"/>
      <c r="G222" s="1"/>
      <c r="H222" s="5" t="str">
        <f>IF(ISNA(HLOOKUP($E$2,'HLookup Tables'!$H$13:$AL$443,187,FALSE)),"",(HLOOKUP($E$2,'HLookup Tables'!$H$13:$AL$443,187,FALSE)))</f>
        <v/>
      </c>
      <c r="I222" s="5" t="str">
        <f>IF(ISERR(G222-H222),"",(G222-H222))</f>
        <v/>
      </c>
      <c r="J222" s="164" t="str">
        <f>IF($E$7="","",IF(AND(G222=0,H222=0),"",IF(ISERR(I222/ABS(H222)),100%,I222/ABS(H222))))</f>
        <v/>
      </c>
      <c r="K222" s="310"/>
      <c r="L222" s="793"/>
      <c r="O222" s="5"/>
      <c r="Q222" s="5"/>
    </row>
    <row r="223" spans="1:17" ht="12">
      <c r="A223" s="19"/>
      <c r="B223" s="33" t="s">
        <v>16</v>
      </c>
      <c r="C223" s="19"/>
      <c r="D223" s="19"/>
      <c r="E223" s="202"/>
      <c r="F223" s="22"/>
      <c r="G223" s="1"/>
      <c r="H223" s="5" t="str">
        <f>IF(ISNA(HLOOKUP($E$2,'HLookup Tables'!$H$13:$AL$443,188,FALSE)),"",(HLOOKUP($E$2,'HLookup Tables'!$H$13:$AL$443,188,FALSE)))</f>
        <v/>
      </c>
      <c r="I223" s="5" t="str">
        <f>IF(ISERR(G223-H223),"",(G223-H223))</f>
        <v/>
      </c>
      <c r="J223" s="164" t="str">
        <f>IF($E$7="","",IF(AND(G223=0,H223=0),"",IF(ISERR(I223/ABS(H223)),100%,I223/ABS(H223))))</f>
        <v/>
      </c>
      <c r="K223" s="310"/>
      <c r="L223" s="793"/>
      <c r="O223" s="5"/>
      <c r="Q223" s="5"/>
    </row>
    <row r="224" spans="1:17" ht="12">
      <c r="A224" s="19"/>
      <c r="B224" s="33"/>
      <c r="C224" s="19"/>
      <c r="D224" s="19"/>
      <c r="E224" s="19"/>
      <c r="F224" s="22"/>
      <c r="G224" s="5"/>
      <c r="H224" s="5"/>
      <c r="I224" s="5"/>
      <c r="J224" s="164"/>
      <c r="K224" s="182"/>
      <c r="L224" s="793"/>
      <c r="O224" s="5"/>
      <c r="Q224" s="5"/>
    </row>
    <row r="225" spans="1:17" ht="12">
      <c r="A225" s="19"/>
      <c r="B225" s="39" t="s">
        <v>17</v>
      </c>
      <c r="C225" s="19"/>
      <c r="D225" s="19"/>
      <c r="E225" s="19"/>
      <c r="F225" s="30" t="s">
        <v>124</v>
      </c>
      <c r="G225" s="1"/>
      <c r="H225" s="5" t="str">
        <f>IF(ISNA(HLOOKUP($E$2,'HLookup Tables'!$H$13:$AL$443,190,FALSE)),"",(HLOOKUP($E$2,'HLookup Tables'!$H$13:$AL$443,190,FALSE)))</f>
        <v/>
      </c>
      <c r="I225" s="5" t="str">
        <f>IF(ISERR(G225-H225),"",(G225-H225))</f>
        <v/>
      </c>
      <c r="J225" s="164" t="str">
        <f>IF($E$7="","",IF(AND(G225=0,H225=0),"",IF(ISERR(I225/ABS(H225)),100%,I225/ABS(H225))))</f>
        <v/>
      </c>
      <c r="K225" s="310"/>
      <c r="L225" s="793"/>
      <c r="O225" s="5"/>
      <c r="Q225" s="5"/>
    </row>
    <row r="226" spans="1:17" ht="12">
      <c r="A226" s="19"/>
      <c r="B226" s="39" t="s">
        <v>3601</v>
      </c>
      <c r="C226" s="19"/>
      <c r="D226" s="19"/>
      <c r="E226" s="19"/>
      <c r="F226" s="30" t="s">
        <v>124</v>
      </c>
      <c r="G226" s="16"/>
      <c r="H226" s="5" t="str">
        <f>IF(ISNA(HLOOKUP($E$2,'HLookup Tables'!$H$13:$AL$443,191,FALSE)),"",(HLOOKUP($E$2,'HLookup Tables'!$H$13:$AL$443,191,FALSE)))</f>
        <v/>
      </c>
      <c r="I226" s="5" t="str">
        <f>IF(ISERR(G226-H226),"",(G226-H226))</f>
        <v/>
      </c>
      <c r="J226" s="164" t="str">
        <f>IF($E$7="","",IF(AND(G226=0,H226=0),"",IF(ISERR(I226/ABS(H226)),100%,I226/ABS(H226))))</f>
        <v/>
      </c>
      <c r="K226" s="310"/>
      <c r="L226" s="793"/>
      <c r="O226" s="5"/>
      <c r="Q226" s="5"/>
    </row>
    <row r="227" spans="1:17" ht="12">
      <c r="A227" s="19"/>
      <c r="B227" s="39"/>
      <c r="C227" s="31" t="s">
        <v>236</v>
      </c>
      <c r="D227" s="19"/>
      <c r="E227" s="19"/>
      <c r="F227" s="22"/>
      <c r="G227" s="32">
        <f>SUM(G225:G226)</f>
        <v>0</v>
      </c>
      <c r="H227" s="32">
        <f>SUM(H225:H226)</f>
        <v>0</v>
      </c>
      <c r="I227" s="32">
        <f>SUM(I225:I226)</f>
        <v>0</v>
      </c>
      <c r="J227" s="165" t="str">
        <f>IF(I227=0,"0%",IF(ISERR(I227/ABS(H227)),100%,I227/ABS(H227)))</f>
        <v>0%</v>
      </c>
      <c r="K227" s="182"/>
      <c r="L227" s="793"/>
      <c r="O227" s="5"/>
      <c r="Q227" s="5"/>
    </row>
    <row r="228" spans="1:17" ht="12">
      <c r="A228" s="19"/>
      <c r="B228" s="39"/>
      <c r="C228" s="31"/>
      <c r="D228" s="19"/>
      <c r="E228" s="19"/>
      <c r="F228" s="22"/>
      <c r="G228" s="5"/>
      <c r="H228" s="5"/>
      <c r="I228" s="5"/>
      <c r="J228" s="164"/>
      <c r="K228" s="182"/>
      <c r="L228" s="793"/>
      <c r="O228" s="5"/>
      <c r="Q228" s="5"/>
    </row>
    <row r="229" spans="1:17" ht="12">
      <c r="A229" s="19"/>
      <c r="B229" s="33" t="s">
        <v>19</v>
      </c>
      <c r="C229" s="19"/>
      <c r="D229" s="19"/>
      <c r="E229" s="19"/>
      <c r="F229" s="22"/>
      <c r="G229" s="1"/>
      <c r="H229" s="5" t="str">
        <f>IF(ISNA(HLOOKUP($E$2,'HLookup Tables'!$H$13:$AL$443,194,FALSE)),"",(HLOOKUP($E$2,'HLookup Tables'!$H$13:$AL$443,194,FALSE)))</f>
        <v/>
      </c>
      <c r="I229" s="5" t="str">
        <f>IF(ISERR(G229-H229),"",(G229-H229))</f>
        <v/>
      </c>
      <c r="J229" s="164" t="str">
        <f>IF($E$7="","",IF(AND(G229=0,H229=0),"",IF(ISERR(I229/ABS(H229)),100%,I229/ABS(H229))))</f>
        <v/>
      </c>
      <c r="K229" s="310"/>
      <c r="L229" s="793"/>
      <c r="O229" s="5"/>
      <c r="Q229" s="5"/>
    </row>
    <row r="230" spans="1:17" ht="12">
      <c r="A230" s="19"/>
      <c r="B230" s="33" t="s">
        <v>10</v>
      </c>
      <c r="C230" s="19"/>
      <c r="D230" s="19"/>
      <c r="E230" s="19"/>
      <c r="F230" s="22"/>
      <c r="G230" s="1"/>
      <c r="H230" s="5" t="str">
        <f>IF(ISNA(HLOOKUP($E$2,'HLookup Tables'!$H$13:$AL$443,195,FALSE)),"",(HLOOKUP($E$2,'HLookup Tables'!$H$13:$AL$443,195,FALSE)))</f>
        <v/>
      </c>
      <c r="I230" s="5" t="str">
        <f>IF(ISERR(G230-H230),"",(G230-H230))</f>
        <v/>
      </c>
      <c r="J230" s="164" t="str">
        <f>IF($E$7="","",IF(AND(G230=0,H230=0),"",IF(ISERR(I230/ABS(H230)),100%,I230/ABS(H230))))</f>
        <v/>
      </c>
      <c r="K230" s="310"/>
      <c r="O230" s="5"/>
      <c r="Q230" s="5"/>
    </row>
    <row r="231" spans="1:17" ht="14.25" customHeight="1">
      <c r="A231" s="19"/>
      <c r="B231" s="33" t="s">
        <v>557</v>
      </c>
      <c r="C231" s="19"/>
      <c r="D231" s="19"/>
      <c r="E231" s="202"/>
      <c r="F231" s="22"/>
      <c r="G231" s="1"/>
      <c r="H231" s="5" t="str">
        <f>IF(ISNA(HLOOKUP($E$2,'HLookup Tables'!$H$13:$AL$443,196,FALSE)),"",(HLOOKUP($E$2,'HLookup Tables'!$H$13:$AL$443,196,FALSE)))</f>
        <v/>
      </c>
      <c r="I231" s="5" t="str">
        <f>IF(ISERR(G231-H231),"",(G231-H231))</f>
        <v/>
      </c>
      <c r="J231" s="164" t="str">
        <f>IF($E$7="","",IF(AND(G231=0,H231=0),"",IF(ISERR(I231/ABS(H231)),100%,I231/ABS(H231))))</f>
        <v/>
      </c>
      <c r="K231" s="310"/>
      <c r="L231" s="793"/>
      <c r="O231" s="5"/>
      <c r="Q231" s="5"/>
    </row>
    <row r="232" spans="1:17" ht="12">
      <c r="A232" s="19"/>
      <c r="B232" s="19"/>
      <c r="C232" s="19"/>
      <c r="D232" s="19"/>
      <c r="E232" s="19"/>
      <c r="F232" s="22"/>
      <c r="H232" s="5"/>
      <c r="I232" s="5"/>
      <c r="J232" s="164"/>
      <c r="K232" s="182"/>
      <c r="L232" s="793"/>
      <c r="O232" s="5"/>
      <c r="Q232" s="5"/>
    </row>
    <row r="233" spans="1:17" ht="12">
      <c r="A233" s="19"/>
      <c r="B233" s="39" t="s">
        <v>201</v>
      </c>
      <c r="C233" s="19"/>
      <c r="D233" s="19"/>
      <c r="E233" s="19"/>
      <c r="F233" s="22"/>
      <c r="G233" s="1"/>
      <c r="H233" s="5" t="str">
        <f>IF(ISNA(HLOOKUP($E$2,'HLookup Tables'!$H$13:$AL$443,198,FALSE)),"",(HLOOKUP($E$2,'HLookup Tables'!$H$13:$AL$443,198,FALSE)))</f>
        <v/>
      </c>
      <c r="I233" s="5" t="str">
        <f>IF(ISERR(G233-H233),"",(G233-H233))</f>
        <v/>
      </c>
      <c r="J233" s="164" t="str">
        <f>IF($E$7="","",IF(AND(G233=0,H233=0),"",IF(ISERR(I233/ABS(H233)),100%,I233/ABS(H233))))</f>
        <v/>
      </c>
      <c r="K233" s="310"/>
      <c r="L233" s="793"/>
      <c r="O233" s="5"/>
    </row>
    <row r="234" spans="1:17" ht="12">
      <c r="A234" s="19"/>
      <c r="B234" s="39" t="s">
        <v>626</v>
      </c>
      <c r="C234" s="19"/>
      <c r="D234" s="19"/>
      <c r="E234" s="19"/>
      <c r="F234" s="22"/>
      <c r="G234" s="1"/>
      <c r="H234" s="5" t="str">
        <f>IF(ISNA(HLOOKUP($E$2,'HLookup Tables'!$H$13:$AL$443,199,FALSE)),"",(HLOOKUP($E$2,'HLookup Tables'!$H$13:$AL$443,199,FALSE)))</f>
        <v/>
      </c>
      <c r="I234" s="5" t="str">
        <f>IF(ISERR(G234-H234),"",(G234-H234))</f>
        <v/>
      </c>
      <c r="J234" s="164" t="str">
        <f>IF($E$7="","",IF(AND(G234=0,H234=0),"",IF(ISERR(I234/ABS(H234)),100%,I234/ABS(H234))))</f>
        <v/>
      </c>
      <c r="K234" s="310"/>
      <c r="L234" s="793"/>
      <c r="O234" s="5"/>
      <c r="Q234" s="5"/>
    </row>
    <row r="235" spans="1:17" ht="12">
      <c r="A235" s="19"/>
      <c r="B235" s="39" t="s">
        <v>324</v>
      </c>
      <c r="C235" s="19"/>
      <c r="D235" s="19"/>
      <c r="E235" s="598" t="str">
        <f>IF(G235&lt;&gt;0,"Answer Required","N/A")</f>
        <v>N/A</v>
      </c>
      <c r="F235" s="22"/>
      <c r="G235" s="16"/>
      <c r="H235" s="5" t="str">
        <f>IF(ISNA(HLOOKUP($E$2,'HLookup Tables'!$H$13:$AL$443,200,FALSE)),"",(HLOOKUP($E$2,'HLookup Tables'!$H$13:$AL$443,200,FALSE)))</f>
        <v/>
      </c>
      <c r="I235" s="5" t="str">
        <f>IF(ISERR(G235-H235),"",(G235-H235))</f>
        <v/>
      </c>
      <c r="J235" s="164" t="str">
        <f>IF($E$7="","",IF(AND(G235=0,H235=0),"",IF(ISERR(I235/ABS(H235)),100%,I235/ABS(H235))))</f>
        <v/>
      </c>
      <c r="K235" s="310"/>
      <c r="L235" s="793"/>
      <c r="O235" s="5"/>
      <c r="Q235" s="5"/>
    </row>
    <row r="236" spans="1:17" ht="12">
      <c r="A236" s="19"/>
      <c r="B236" s="39"/>
      <c r="C236" s="31" t="s">
        <v>237</v>
      </c>
      <c r="D236" s="19"/>
      <c r="E236" s="19"/>
      <c r="F236" s="22"/>
      <c r="G236" s="32">
        <f>SUM(G233:G235)</f>
        <v>0</v>
      </c>
      <c r="H236" s="32">
        <f>SUM(H233:H235)</f>
        <v>0</v>
      </c>
      <c r="I236" s="32">
        <f>SUM(I233:I235)</f>
        <v>0</v>
      </c>
      <c r="J236" s="165" t="str">
        <f>IF(I236=0,"0%",IF(ISERR(I236/ABS(H236)),100%,I236/ABS(H236)))</f>
        <v>0%</v>
      </c>
      <c r="K236" s="182"/>
      <c r="L236" s="793"/>
      <c r="O236" s="5"/>
      <c r="Q236" s="5"/>
    </row>
    <row r="237" spans="1:17" ht="12">
      <c r="A237" s="19"/>
      <c r="B237" s="39"/>
      <c r="C237" s="19"/>
      <c r="D237" s="19"/>
      <c r="E237" s="19"/>
      <c r="F237" s="22"/>
      <c r="G237" s="5"/>
      <c r="H237" s="5"/>
      <c r="I237" s="5"/>
      <c r="J237" s="164"/>
      <c r="K237" s="182"/>
      <c r="L237" s="793"/>
      <c r="O237" s="5"/>
      <c r="Q237" s="5"/>
    </row>
    <row r="238" spans="1:17" ht="12">
      <c r="A238" s="19"/>
      <c r="B238" s="19"/>
      <c r="C238" s="33" t="s">
        <v>21</v>
      </c>
      <c r="D238" s="19"/>
      <c r="E238" s="19"/>
      <c r="F238" s="22"/>
      <c r="G238" s="32">
        <f>SUM(G214,G218,G220:G223,G227,G229,G230,G231,G236)</f>
        <v>0</v>
      </c>
      <c r="H238" s="32">
        <f>SUM(H214,H218,H220:H223,H227,H229,H230,H231,H236)</f>
        <v>0</v>
      </c>
      <c r="I238" s="32">
        <f>SUM(I214,I218,I220:I223,I227,I229,I230,I231,I236)</f>
        <v>0</v>
      </c>
      <c r="J238" s="165" t="str">
        <f>IF(I238=0,"0%",IF(ISERR(I238/ABS(H238)),100%,I238/ABS(H238)))</f>
        <v>0%</v>
      </c>
      <c r="K238" s="182"/>
      <c r="L238" s="793"/>
      <c r="O238" s="5"/>
      <c r="Q238" s="5"/>
    </row>
    <row r="239" spans="1:17" ht="12">
      <c r="A239" s="19"/>
      <c r="B239" s="19"/>
      <c r="C239" s="33"/>
      <c r="D239" s="19"/>
      <c r="E239" s="19"/>
      <c r="F239" s="22"/>
      <c r="G239" s="5"/>
      <c r="H239" s="5"/>
      <c r="I239" s="5"/>
      <c r="J239" s="164"/>
      <c r="K239" s="182"/>
      <c r="L239" s="793"/>
      <c r="O239" s="5"/>
      <c r="Q239" s="5"/>
    </row>
    <row r="240" spans="1:17" ht="12">
      <c r="A240" s="19"/>
      <c r="B240" s="19"/>
      <c r="C240" s="19"/>
      <c r="D240" s="33" t="s">
        <v>22</v>
      </c>
      <c r="E240" s="19"/>
      <c r="F240" s="22"/>
      <c r="G240" s="32">
        <f>+G211-G238</f>
        <v>0</v>
      </c>
      <c r="H240" s="32">
        <f>+H211-H238</f>
        <v>0</v>
      </c>
      <c r="I240" s="32">
        <f>+I211-I238</f>
        <v>0</v>
      </c>
      <c r="J240" s="165" t="str">
        <f>IF(I240=0,"0%",IF(ISERR(I240/ABS(H240)),100%,I240/ABS(H240)))</f>
        <v>0%</v>
      </c>
      <c r="K240" s="182"/>
      <c r="L240" s="793"/>
      <c r="O240" s="5"/>
      <c r="Q240" s="5"/>
    </row>
    <row r="241" spans="1:17" ht="12">
      <c r="A241" s="19"/>
      <c r="B241" s="19"/>
      <c r="C241" s="19"/>
      <c r="D241" s="19"/>
      <c r="E241" s="19"/>
      <c r="F241" s="22"/>
      <c r="G241" s="5"/>
      <c r="H241" s="5"/>
      <c r="I241" s="5"/>
      <c r="J241" s="164"/>
      <c r="K241" s="182"/>
      <c r="L241" s="793"/>
      <c r="O241" s="5"/>
      <c r="Q241" s="5"/>
    </row>
    <row r="242" spans="1:17" ht="12">
      <c r="A242" s="20" t="s">
        <v>23</v>
      </c>
      <c r="B242" s="19"/>
      <c r="C242" s="19"/>
      <c r="D242" s="19"/>
      <c r="E242" s="19"/>
      <c r="F242" s="22"/>
      <c r="G242" s="5"/>
      <c r="H242" s="5"/>
      <c r="I242" s="5"/>
      <c r="J242" s="164"/>
      <c r="K242" s="182"/>
      <c r="L242" s="793"/>
      <c r="O242" s="5"/>
      <c r="Q242" s="5"/>
    </row>
    <row r="243" spans="1:17" ht="12">
      <c r="A243" s="19"/>
      <c r="B243" s="39" t="s">
        <v>28</v>
      </c>
      <c r="C243" s="19"/>
      <c r="D243" s="19"/>
      <c r="E243" s="19"/>
      <c r="F243" s="22"/>
      <c r="G243" s="1"/>
      <c r="H243" s="5" t="str">
        <f>IF(ISNA(HLOOKUP($E$2,'HLookup Tables'!$H$13:$AL$443,208,FALSE)),"",(HLOOKUP($E$2,'HLookup Tables'!$H$13:$AL$443,208,FALSE)))</f>
        <v/>
      </c>
      <c r="I243" s="5" t="str">
        <f>IF(ISERR(G243-H243),"",(G243-H243))</f>
        <v/>
      </c>
      <c r="J243" s="164" t="str">
        <f>IF($E$7="","",IF(AND(G243=0,H243=0),"",IF(ISERR(I243/ABS(H243)),100%,I243/ABS(H243))))</f>
        <v/>
      </c>
      <c r="K243" s="310"/>
      <c r="L243" s="793"/>
      <c r="O243" s="5"/>
      <c r="Q243" s="5"/>
    </row>
    <row r="244" spans="1:17" ht="12">
      <c r="A244" s="19"/>
      <c r="B244" s="39" t="s">
        <v>821</v>
      </c>
      <c r="C244" s="19"/>
      <c r="D244" s="19"/>
      <c r="E244" s="19"/>
      <c r="F244" s="22"/>
      <c r="G244" s="1"/>
      <c r="H244" s="5" t="str">
        <f>IF(ISNA(HLOOKUP($E$2,'HLookup Tables'!$H$13:$AL$443,209,FALSE)),"",(HLOOKUP($E$2,'HLookup Tables'!$H$13:$AL$443,209,FALSE)))</f>
        <v/>
      </c>
      <c r="I244" s="5" t="str">
        <f>IF(ISERR(G244-H244),"",(G244-H244))</f>
        <v/>
      </c>
      <c r="J244" s="164" t="str">
        <f>IF($E$7="","",IF(AND(G244=0,H244=0),"",IF(ISERR(I244/ABS(H244)),100%,I244/ABS(H244))))</f>
        <v/>
      </c>
      <c r="K244" s="310"/>
      <c r="L244" s="793"/>
      <c r="O244" s="5"/>
      <c r="Q244" s="5"/>
    </row>
    <row r="245" spans="1:17" ht="14.25" customHeight="1">
      <c r="A245" s="19"/>
      <c r="B245" s="39" t="s">
        <v>29</v>
      </c>
      <c r="C245" s="19"/>
      <c r="D245" s="19"/>
      <c r="E245" s="308"/>
      <c r="F245" s="311"/>
      <c r="G245" s="16"/>
      <c r="H245" s="5" t="str">
        <f>IF(ISNA(HLOOKUP($E$2,'HLookup Tables'!$H$13:$AL$443,210,FALSE)),"",(HLOOKUP($E$2,'HLookup Tables'!$H$13:$AL$443,210,FALSE)))</f>
        <v/>
      </c>
      <c r="I245" s="5" t="str">
        <f>IF(ISERR(G245-H245),"",(G245-H245))</f>
        <v/>
      </c>
      <c r="J245" s="164" t="str">
        <f>IF($E$7="","",IF(AND(G245=0,H245=0),"",IF(ISERR(I245/ABS(H245)),100%,I245/ABS(H245))))</f>
        <v/>
      </c>
      <c r="K245" s="310"/>
      <c r="L245" s="793"/>
      <c r="O245" s="5"/>
      <c r="Q245" s="5"/>
    </row>
    <row r="246" spans="1:17" ht="12">
      <c r="A246" s="19"/>
      <c r="B246" s="33"/>
      <c r="C246" s="31" t="s">
        <v>238</v>
      </c>
      <c r="D246" s="31"/>
      <c r="E246" s="19"/>
      <c r="F246" s="22"/>
      <c r="G246" s="32">
        <f>SUM(G243:G245)</f>
        <v>0</v>
      </c>
      <c r="H246" s="32">
        <f>SUM(H243:H245)</f>
        <v>0</v>
      </c>
      <c r="I246" s="32">
        <f>SUM(I243:I245)</f>
        <v>0</v>
      </c>
      <c r="J246" s="165" t="str">
        <f>IF(I246=0,"0%",IF(ISERR(I246/ABS(H246)),100%,I246/ABS(H246)))</f>
        <v>0%</v>
      </c>
      <c r="K246" s="182"/>
      <c r="L246" s="793"/>
      <c r="O246" s="5"/>
      <c r="Q246" s="5"/>
    </row>
    <row r="247" spans="1:17" ht="12">
      <c r="A247" s="19"/>
      <c r="B247" s="39"/>
      <c r="C247" s="19"/>
      <c r="D247" s="19"/>
      <c r="E247" s="19"/>
      <c r="F247" s="22"/>
      <c r="G247" s="5"/>
      <c r="H247" s="5"/>
      <c r="I247" s="5"/>
      <c r="J247" s="164"/>
      <c r="K247" s="182"/>
      <c r="L247" s="793"/>
      <c r="O247" s="5"/>
      <c r="Q247" s="5"/>
    </row>
    <row r="248" spans="1:17" ht="12">
      <c r="A248" s="19"/>
      <c r="B248" s="39" t="s">
        <v>65</v>
      </c>
      <c r="C248" s="19"/>
      <c r="D248" s="19"/>
      <c r="E248" s="19"/>
      <c r="F248" s="22"/>
      <c r="G248" s="1"/>
      <c r="H248" s="5" t="str">
        <f>IF(ISNA(HLOOKUP($E$2,'HLookup Tables'!$H$13:$AL$443,213,FALSE)),"",(HLOOKUP($E$2,'HLookup Tables'!$H$13:$AL$443,213,FALSE)))</f>
        <v/>
      </c>
      <c r="I248" s="5" t="str">
        <f t="shared" ref="I248:I255" si="20">IF(ISERR(G248-H248),"",(G248-H248))</f>
        <v/>
      </c>
      <c r="J248" s="164" t="str">
        <f t="shared" ref="J248:J255" si="21">IF($E$7="","",IF(AND(G248=0,H248=0),"",IF(ISERR(I248/ABS(H248)),100%,I248/ABS(H248))))</f>
        <v/>
      </c>
      <c r="K248" s="310"/>
      <c r="L248" s="793"/>
      <c r="O248" s="5"/>
      <c r="Q248" s="5"/>
    </row>
    <row r="249" spans="1:17" ht="12">
      <c r="A249" s="19"/>
      <c r="B249" s="39" t="s">
        <v>308</v>
      </c>
      <c r="C249" s="19"/>
      <c r="D249" s="19"/>
      <c r="E249" s="19"/>
      <c r="F249" s="22"/>
      <c r="G249" s="1"/>
      <c r="H249" s="5" t="str">
        <f>IF(ISNA(HLOOKUP($E$2,'HLookup Tables'!$H$13:$AL$443,214,FALSE)),"",(HLOOKUP($E$2,'HLookup Tables'!$H$13:$AL$443,214,FALSE)))</f>
        <v/>
      </c>
      <c r="I249" s="5" t="str">
        <f t="shared" si="20"/>
        <v/>
      </c>
      <c r="J249" s="164" t="str">
        <f t="shared" si="21"/>
        <v/>
      </c>
      <c r="K249" s="310"/>
      <c r="L249" s="793"/>
      <c r="O249" s="5"/>
      <c r="Q249" s="5"/>
    </row>
    <row r="250" spans="1:17" ht="12" hidden="1">
      <c r="A250" s="19"/>
      <c r="B250" s="39"/>
      <c r="C250" s="19"/>
      <c r="D250" s="19"/>
      <c r="E250" s="19"/>
      <c r="F250" s="22"/>
      <c r="G250" s="1"/>
      <c r="H250" s="5" t="str">
        <f>IF(ISNA(HLOOKUP($E$2,'HLookup Tables'!$H$13:$AL$443,215,FALSE)),"",(HLOOKUP($E$2,'HLookup Tables'!$H$13:$AL$443,215,FALSE)))</f>
        <v/>
      </c>
      <c r="I250" s="5" t="str">
        <f t="shared" si="20"/>
        <v/>
      </c>
      <c r="J250" s="164" t="str">
        <f t="shared" si="21"/>
        <v/>
      </c>
      <c r="K250" s="310"/>
      <c r="L250" s="793"/>
      <c r="O250" s="5"/>
      <c r="Q250" s="5"/>
    </row>
    <row r="251" spans="1:17" ht="12" hidden="1">
      <c r="A251" s="19"/>
      <c r="B251" s="710" t="s">
        <v>3374</v>
      </c>
      <c r="C251" s="19"/>
      <c r="D251" s="19"/>
      <c r="E251" s="19"/>
      <c r="F251" s="22"/>
      <c r="G251" s="1"/>
      <c r="H251" s="5" t="str">
        <f>IF(ISNA(HLOOKUP($E$2,'HLookup Tables'!$H$13:$AL$443,216,FALSE)),"",(HLOOKUP($E$2,'HLookup Tables'!$H$13:$AL$443,216,FALSE)))</f>
        <v/>
      </c>
      <c r="I251" s="5" t="str">
        <f t="shared" si="20"/>
        <v/>
      </c>
      <c r="J251" s="164" t="str">
        <f t="shared" si="21"/>
        <v/>
      </c>
      <c r="K251" s="310"/>
      <c r="L251" s="793"/>
      <c r="O251" s="5"/>
      <c r="Q251" s="5"/>
    </row>
    <row r="252" spans="1:17" ht="12.75" customHeight="1">
      <c r="A252" s="19"/>
      <c r="B252" s="39" t="s">
        <v>30</v>
      </c>
      <c r="C252" s="19"/>
      <c r="D252" s="19"/>
      <c r="E252" s="1015"/>
      <c r="F252" s="1016"/>
      <c r="G252" s="1"/>
      <c r="H252" s="5" t="str">
        <f>IF(ISNA(HLOOKUP($E$2,'HLookup Tables'!$H$13:$AL$443,217,FALSE)),"",(HLOOKUP($E$2,'HLookup Tables'!$H$13:$AL$443,217,FALSE)))</f>
        <v/>
      </c>
      <c r="I252" s="5" t="str">
        <f t="shared" si="20"/>
        <v/>
      </c>
      <c r="J252" s="164" t="str">
        <f t="shared" si="21"/>
        <v/>
      </c>
      <c r="K252" s="310"/>
      <c r="L252" s="793"/>
      <c r="O252" s="5"/>
      <c r="Q252" s="5"/>
    </row>
    <row r="253" spans="1:17" ht="12.75" customHeight="1">
      <c r="A253" s="19"/>
      <c r="B253" s="39" t="s">
        <v>10</v>
      </c>
      <c r="C253" s="19"/>
      <c r="D253" s="19"/>
      <c r="E253" s="21"/>
      <c r="F253" s="21"/>
      <c r="G253" s="16"/>
      <c r="H253" s="5" t="str">
        <f>IF(ISNA(HLOOKUP($E$2,'HLookup Tables'!$H$13:$AL$443,218,FALSE)),"",(HLOOKUP($E$2,'HLookup Tables'!$H$13:$AL$443,218,FALSE)))</f>
        <v/>
      </c>
      <c r="I253" s="5" t="str">
        <f t="shared" si="20"/>
        <v/>
      </c>
      <c r="J253" s="164" t="str">
        <f t="shared" si="21"/>
        <v/>
      </c>
      <c r="K253" s="310"/>
      <c r="L253" s="793"/>
      <c r="O253" s="5"/>
      <c r="Q253" s="5"/>
    </row>
    <row r="254" spans="1:17" ht="12.75" hidden="1" customHeight="1">
      <c r="A254" s="19"/>
      <c r="B254" s="634" t="s">
        <v>796</v>
      </c>
      <c r="C254" s="19"/>
      <c r="D254" s="19"/>
      <c r="E254" s="21"/>
      <c r="F254" s="21"/>
      <c r="G254" s="16"/>
      <c r="H254" s="5">
        <v>0</v>
      </c>
      <c r="I254" s="5">
        <f t="shared" si="20"/>
        <v>0</v>
      </c>
      <c r="J254" s="164" t="str">
        <f t="shared" si="21"/>
        <v/>
      </c>
      <c r="K254" s="310"/>
      <c r="L254" s="793"/>
      <c r="O254" s="5"/>
      <c r="Q254" s="5"/>
    </row>
    <row r="255" spans="1:17" ht="12">
      <c r="A255" s="19"/>
      <c r="B255" s="39" t="s">
        <v>324</v>
      </c>
      <c r="C255" s="19"/>
      <c r="D255" s="19"/>
      <c r="E255" s="598" t="str">
        <f>IF(G255&lt;&gt;0,"Answer Required","N/A")</f>
        <v>N/A</v>
      </c>
      <c r="F255" s="22"/>
      <c r="G255" s="16"/>
      <c r="H255" s="5" t="str">
        <f>IF(ISNA(HLOOKUP($E$2,'HLookup Tables'!$H$13:$AL$443,220,FALSE)),"",(HLOOKUP($E$2,'HLookup Tables'!$H$13:$AL$443,220,FALSE)))</f>
        <v/>
      </c>
      <c r="I255" s="5" t="str">
        <f t="shared" si="20"/>
        <v/>
      </c>
      <c r="J255" s="164" t="str">
        <f t="shared" si="21"/>
        <v/>
      </c>
      <c r="K255" s="310"/>
      <c r="L255" s="793"/>
      <c r="O255" s="5"/>
      <c r="Q255" s="5"/>
    </row>
    <row r="256" spans="1:17" ht="12">
      <c r="A256" s="19"/>
      <c r="B256" s="39"/>
      <c r="C256" s="31" t="s">
        <v>150</v>
      </c>
      <c r="D256" s="19"/>
      <c r="E256" s="19"/>
      <c r="F256" s="22"/>
      <c r="G256" s="32">
        <f>SUM(G248:G255)</f>
        <v>0</v>
      </c>
      <c r="H256" s="32">
        <f>SUM(H248:H255)</f>
        <v>0</v>
      </c>
      <c r="I256" s="32">
        <f>SUM(I248:I255)</f>
        <v>0</v>
      </c>
      <c r="J256" s="165" t="str">
        <f>IF(I256=0,"0%",IF(ISERR(I256/ABS(H256)),100%,I256/ABS(H256)))</f>
        <v>0%</v>
      </c>
      <c r="K256" s="182"/>
      <c r="L256" s="793"/>
      <c r="O256" s="5"/>
      <c r="Q256" s="5"/>
    </row>
    <row r="257" spans="1:17" ht="12">
      <c r="A257" s="19"/>
      <c r="B257" s="39"/>
      <c r="C257" s="19"/>
      <c r="D257" s="19"/>
      <c r="E257" s="19"/>
      <c r="F257" s="22"/>
      <c r="G257" s="5"/>
      <c r="H257" s="5"/>
      <c r="I257" s="5"/>
      <c r="J257" s="164"/>
      <c r="K257" s="182"/>
      <c r="L257" s="793"/>
      <c r="O257" s="5"/>
      <c r="Q257" s="5"/>
    </row>
    <row r="258" spans="1:17" ht="12">
      <c r="A258" s="19"/>
      <c r="B258" s="19"/>
      <c r="C258" s="33" t="s">
        <v>31</v>
      </c>
      <c r="D258" s="19"/>
      <c r="E258" s="19"/>
      <c r="F258" s="22"/>
      <c r="G258" s="32">
        <f>SUM(G246,G256)</f>
        <v>0</v>
      </c>
      <c r="H258" s="32">
        <f>SUM(H246,H256)</f>
        <v>0</v>
      </c>
      <c r="I258" s="32">
        <f>SUM(I246,I256)</f>
        <v>0</v>
      </c>
      <c r="J258" s="165" t="str">
        <f>IF(I258=0,"0%",IF(ISERR(I258/ABS(H258)),100%,I258/ABS(H258)))</f>
        <v>0%</v>
      </c>
      <c r="K258" s="182"/>
      <c r="L258" s="793"/>
      <c r="O258" s="5"/>
      <c r="Q258" s="5"/>
    </row>
    <row r="259" spans="1:17" ht="10.5" customHeight="1">
      <c r="A259" s="39"/>
      <c r="B259" s="19"/>
      <c r="C259" s="19"/>
      <c r="D259" s="19"/>
      <c r="E259" s="19"/>
      <c r="F259" s="22"/>
      <c r="G259" s="5"/>
      <c r="H259" s="5"/>
      <c r="I259" s="5"/>
      <c r="J259" s="164"/>
      <c r="K259" s="182"/>
      <c r="L259" s="797"/>
      <c r="O259" s="5"/>
      <c r="Q259" s="5"/>
    </row>
    <row r="260" spans="1:17" ht="12">
      <c r="A260" s="19"/>
      <c r="B260" s="19"/>
      <c r="C260" s="19"/>
      <c r="D260" s="33" t="s">
        <v>32</v>
      </c>
      <c r="E260" s="19"/>
      <c r="F260" s="22"/>
      <c r="G260" s="32">
        <f>+G240+G258</f>
        <v>0</v>
      </c>
      <c r="H260" s="32">
        <f>+H240+H258</f>
        <v>0</v>
      </c>
      <c r="I260" s="32">
        <f>+I240+I258</f>
        <v>0</v>
      </c>
      <c r="J260" s="165" t="str">
        <f>IF(I260=0,"0%",IF(ISERR(I260/ABS(H260)),100%,I260/ABS(H260)))</f>
        <v>0%</v>
      </c>
      <c r="K260" s="182"/>
      <c r="L260" s="793"/>
      <c r="O260" s="5"/>
      <c r="Q260" s="5"/>
    </row>
    <row r="261" spans="1:17" ht="12">
      <c r="A261" s="19"/>
      <c r="B261" s="19"/>
      <c r="C261" s="19"/>
      <c r="D261" s="33"/>
      <c r="E261" s="19"/>
      <c r="F261" s="22"/>
      <c r="G261" s="40"/>
      <c r="H261" s="5"/>
      <c r="I261" s="5"/>
      <c r="J261" s="164"/>
      <c r="K261" s="182"/>
      <c r="L261" s="793"/>
      <c r="O261" s="5"/>
      <c r="Q261" s="5"/>
    </row>
    <row r="262" spans="1:17" ht="12">
      <c r="A262" s="33" t="s">
        <v>33</v>
      </c>
      <c r="B262" s="19"/>
      <c r="C262" s="19"/>
      <c r="D262" s="19"/>
      <c r="E262" s="19"/>
      <c r="F262" s="22"/>
      <c r="G262" s="1"/>
      <c r="H262" s="5" t="str">
        <f>IF(ISNA(HLOOKUP($E$2,'HLookup Tables'!$H$13:$AL$443,227,FALSE)),"",(HLOOKUP($E$2,'HLookup Tables'!$H$13:$AL$443,227,FALSE)))</f>
        <v/>
      </c>
      <c r="I262" s="5" t="str">
        <f t="shared" ref="I262:I268" si="22">IF(ISERR(G262-H262),"",(G262-H262))</f>
        <v/>
      </c>
      <c r="J262" s="164" t="str">
        <f>IF($E$7="","",IF(AND(G262=0,H262=0),"",IF(ISERR(I262/ABS(H262)),100%,I262/ABS(H262))))</f>
        <v/>
      </c>
      <c r="K262" s="310"/>
      <c r="L262" s="793"/>
      <c r="O262" s="5"/>
      <c r="Q262" s="40"/>
    </row>
    <row r="263" spans="1:17" ht="12">
      <c r="A263" s="33" t="s">
        <v>204</v>
      </c>
      <c r="B263" s="19"/>
      <c r="C263" s="19"/>
      <c r="D263" s="19"/>
      <c r="E263" s="598" t="str">
        <f>IF(G263&lt;&gt;0,"Answer Required","N/A")</f>
        <v>N/A</v>
      </c>
      <c r="F263" s="30"/>
      <c r="G263" s="1"/>
      <c r="H263" s="5" t="str">
        <f>IF(ISNA(HLOOKUP($E$2,'HLookup Tables'!$H$13:$AL$443,228,FALSE)),"",(HLOOKUP($E$2,'HLookup Tables'!$H$13:$AL$443,228,FALSE)))</f>
        <v/>
      </c>
      <c r="I263" s="5" t="str">
        <f t="shared" si="22"/>
        <v/>
      </c>
      <c r="J263" s="164" t="str">
        <f>IF($E$7="","",IF(AND(G263=0,H263=0),"",IF(ISERR(I263/ABS(H263)),100%,I263/ABS(H263))))</f>
        <v/>
      </c>
      <c r="K263" s="310"/>
      <c r="L263" s="793"/>
      <c r="O263" s="5"/>
      <c r="Q263" s="5"/>
    </row>
    <row r="264" spans="1:17" ht="12">
      <c r="A264" s="33" t="s">
        <v>205</v>
      </c>
      <c r="B264" s="19"/>
      <c r="C264" s="19"/>
      <c r="D264" s="19"/>
      <c r="E264" s="598" t="str">
        <f>IF(G264&lt;&gt;0,"Answer Required","N/A")</f>
        <v>N/A</v>
      </c>
      <c r="F264" s="30"/>
      <c r="G264" s="1"/>
      <c r="H264" s="5" t="str">
        <f>IF(ISNA(HLOOKUP($E$2,'HLookup Tables'!$H$13:$AL$443,229,FALSE)),"",(HLOOKUP($E$2,'HLookup Tables'!$H$13:$AL$443,229,FALSE)))</f>
        <v/>
      </c>
      <c r="I264" s="5" t="str">
        <f t="shared" si="22"/>
        <v/>
      </c>
      <c r="J264" s="164" t="str">
        <f>IF($E$7="","",IF(AND(G264=0,H264=0),"",IF(ISERR(I264/ABS(H264)),100%,I264/ABS(H264))))</f>
        <v/>
      </c>
      <c r="K264" s="310"/>
      <c r="L264" s="793"/>
      <c r="O264" s="5"/>
      <c r="Q264" s="5"/>
    </row>
    <row r="265" spans="1:17" ht="12">
      <c r="A265" s="33" t="s">
        <v>559</v>
      </c>
      <c r="B265" s="19"/>
      <c r="C265" s="19"/>
      <c r="D265" s="19"/>
      <c r="E265" s="19"/>
      <c r="F265" s="30" t="s">
        <v>442</v>
      </c>
      <c r="G265" s="1"/>
      <c r="H265" s="5" t="str">
        <f>IF(ISNA(HLOOKUP($E$2,'HLookup Tables'!$H$13:$AL$443,230,FALSE)),"",(HLOOKUP($E$2,'HLookup Tables'!$H$13:$AL$443,230,FALSE)))</f>
        <v/>
      </c>
      <c r="I265" s="5" t="str">
        <f t="shared" si="22"/>
        <v/>
      </c>
      <c r="J265" s="164" t="str">
        <f>IF($E$7="","",IF(AND(G265=0,H265=0),"",IF(ISERR(I265/ABS(H265)),100%,I265/ABS(H265))))</f>
        <v/>
      </c>
      <c r="K265" s="310"/>
      <c r="L265" s="793"/>
      <c r="O265" s="5"/>
      <c r="Q265" s="5"/>
    </row>
    <row r="266" spans="1:17" ht="12">
      <c r="A266" s="33" t="s">
        <v>560</v>
      </c>
      <c r="B266" s="19"/>
      <c r="C266" s="19"/>
      <c r="D266" s="19"/>
      <c r="E266" s="19"/>
      <c r="F266" s="30" t="s">
        <v>442</v>
      </c>
      <c r="G266" s="16"/>
      <c r="H266" s="959" t="str">
        <f>IF(ISNA(HLOOKUP($E$2,'HLookup Tables'!$H$13:$AL$443,231,FALSE)),"",(HLOOKUP($E$2,'HLookup Tables'!$H$13:$AL$443,231,FALSE)))</f>
        <v/>
      </c>
      <c r="I266" s="197" t="str">
        <f t="shared" si="22"/>
        <v/>
      </c>
      <c r="J266" s="164" t="str">
        <f>IF($E$7="","",IF(AND(G266=0,H266=0),"",IF(ISERR(I266/ABS(H266)),-100%,I266/ABS(H266))))</f>
        <v/>
      </c>
      <c r="K266" s="310"/>
      <c r="L266" s="793"/>
      <c r="O266" s="5"/>
      <c r="Q266" s="5"/>
    </row>
    <row r="267" spans="1:17" ht="12">
      <c r="A267" s="19"/>
      <c r="B267" s="19"/>
      <c r="C267" s="19"/>
      <c r="D267" s="33" t="s">
        <v>780</v>
      </c>
      <c r="E267" s="19"/>
      <c r="F267" s="22"/>
      <c r="G267" s="32">
        <f>SUM(G260,G262:G266)</f>
        <v>0</v>
      </c>
      <c r="H267" s="32" t="str">
        <f>IF(ISNA(HLOOKUP($E$2,'HLookup Tables'!$H$13:$AL$443,232,FALSE)),"",(HLOOKUP($E$2,'HLookup Tables'!$H$13:$AL$443,232,FALSE)))</f>
        <v/>
      </c>
      <c r="I267" s="32" t="str">
        <f t="shared" si="22"/>
        <v/>
      </c>
      <c r="J267" s="165">
        <f>IF(I267=0,"0%",IF(ISERR(I267/ABS(H267)),100%,I267/ABS(H267)))</f>
        <v>1</v>
      </c>
      <c r="K267" s="182"/>
      <c r="L267" s="793"/>
      <c r="O267" s="5"/>
      <c r="Q267" s="5"/>
    </row>
    <row r="268" spans="1:17" ht="12">
      <c r="A268" s="33" t="s">
        <v>775</v>
      </c>
      <c r="B268" s="19"/>
      <c r="C268" s="19"/>
      <c r="D268" s="19"/>
      <c r="E268" s="5"/>
      <c r="F268" s="30" t="s">
        <v>325</v>
      </c>
      <c r="G268" s="17"/>
      <c r="H268" s="5" t="str">
        <f>IF(ISNA(HLOOKUP($E$2,'HLookup Tables'!$H$13:$AL$443,233,FALSE)),"",(HLOOKUP($E$2,'HLookup Tables'!$H$13:$AL$443,233,FALSE)))</f>
        <v/>
      </c>
      <c r="I268" s="5" t="str">
        <f t="shared" si="22"/>
        <v/>
      </c>
      <c r="J268" s="164" t="str">
        <f>IF($E$7="","",IF(AND(G268=0,H268=0),"",IF(ISERR(I268/ABS(H268)),100%,I268/ABS(H268))))</f>
        <v/>
      </c>
      <c r="K268" s="182"/>
      <c r="L268" s="793"/>
      <c r="O268" s="5"/>
      <c r="Q268" s="5"/>
    </row>
    <row r="269" spans="1:17" ht="57" customHeight="1" thickBot="1">
      <c r="A269" s="33" t="s">
        <v>774</v>
      </c>
      <c r="B269" s="19"/>
      <c r="C269" s="19"/>
      <c r="D269" s="19"/>
      <c r="E269" s="19"/>
      <c r="F269" s="30" t="s">
        <v>328</v>
      </c>
      <c r="G269" s="388">
        <f>IF(SUM(G267:G268)=G192,SUM(G267:G268),"MUST EQUAL STMT. OF NET POSITION - CORRECT ENTRY")</f>
        <v>0</v>
      </c>
      <c r="H269" s="37">
        <f>SUM(H267:H268)</f>
        <v>0</v>
      </c>
      <c r="I269" s="37">
        <f>SUM(I267:I268)</f>
        <v>0</v>
      </c>
      <c r="J269" s="165" t="str">
        <f>IF(I269=0,"0%",IF(ISERR(I269/ABS(H269)),100%,I269/ABS(H269)))</f>
        <v>0%</v>
      </c>
      <c r="K269" s="182"/>
      <c r="L269" s="796">
        <f>SUM(G267:G268)-G192</f>
        <v>0</v>
      </c>
      <c r="O269" s="5"/>
      <c r="Q269" s="5"/>
    </row>
    <row r="270" spans="1:17" thickTop="1">
      <c r="A270" s="33"/>
      <c r="B270" s="19"/>
      <c r="C270" s="19"/>
      <c r="D270" s="19"/>
      <c r="E270" s="19"/>
      <c r="F270" s="289" t="s">
        <v>440</v>
      </c>
      <c r="G270" s="296">
        <f>SUM(G267:G268)-G192</f>
        <v>0</v>
      </c>
      <c r="H270" s="296"/>
      <c r="K270" s="182"/>
      <c r="O270" s="296"/>
      <c r="Q270" s="5"/>
    </row>
    <row r="271" spans="1:17" ht="12.75" customHeight="1">
      <c r="A271" s="1022" t="str">
        <f>A7</f>
        <v>Fund Name:</v>
      </c>
      <c r="B271" s="1022"/>
      <c r="C271" s="1022"/>
      <c r="D271" s="1022"/>
      <c r="E271" s="20" t="str">
        <f>E7</f>
        <v/>
      </c>
      <c r="F271" s="22"/>
      <c r="K271" s="182"/>
      <c r="O271" s="5"/>
      <c r="Q271" s="5"/>
    </row>
    <row r="272" spans="1:17" ht="12">
      <c r="A272" s="20"/>
      <c r="B272" s="34"/>
      <c r="C272" s="34"/>
      <c r="D272" s="34"/>
      <c r="E272" s="19"/>
      <c r="F272" s="22"/>
      <c r="K272" s="182"/>
      <c r="O272" s="5"/>
    </row>
    <row r="273" spans="1:25" s="41" customFormat="1" ht="12.75" customHeight="1">
      <c r="A273" s="24" t="s">
        <v>284</v>
      </c>
      <c r="B273" s="34"/>
      <c r="C273" s="34"/>
      <c r="D273" s="34"/>
      <c r="E273" s="19"/>
      <c r="F273" s="22"/>
      <c r="G273" s="19"/>
      <c r="J273" s="42"/>
      <c r="K273" s="183"/>
      <c r="L273" s="798"/>
      <c r="O273" s="202"/>
      <c r="Q273" s="19"/>
      <c r="R273" s="39"/>
      <c r="S273" s="19"/>
      <c r="Y273" s="254"/>
    </row>
    <row r="274" spans="1:25" ht="14.25" customHeight="1">
      <c r="A274" s="28" t="str">
        <f>A27</f>
        <v>For the Year Ended June 30, 2024</v>
      </c>
      <c r="B274" s="38"/>
      <c r="C274" s="28"/>
      <c r="D274" s="28"/>
      <c r="E274" s="34"/>
      <c r="F274" s="1017" t="s">
        <v>602</v>
      </c>
      <c r="G274" s="42"/>
      <c r="K274" s="182"/>
      <c r="O274" s="5"/>
    </row>
    <row r="275" spans="1:25" ht="12.75" customHeight="1">
      <c r="A275" s="801"/>
      <c r="B275" s="41"/>
      <c r="C275" s="41"/>
      <c r="D275" s="41"/>
      <c r="E275" s="29" t="s">
        <v>360</v>
      </c>
      <c r="F275" s="1033"/>
      <c r="G275" s="29" t="str">
        <f>G29</f>
        <v>Template</v>
      </c>
      <c r="H275" s="29" t="s">
        <v>261</v>
      </c>
      <c r="I275" s="29" t="str">
        <f>I29</f>
        <v>$</v>
      </c>
      <c r="J275" s="29" t="str">
        <f>J29</f>
        <v>%</v>
      </c>
      <c r="K275" s="28" t="s">
        <v>146</v>
      </c>
      <c r="L275" s="792" t="s">
        <v>536</v>
      </c>
      <c r="O275" s="5"/>
    </row>
    <row r="276" spans="1:25">
      <c r="A276" s="20" t="s">
        <v>35</v>
      </c>
      <c r="B276" s="19"/>
      <c r="C276" s="19"/>
      <c r="D276" s="19"/>
      <c r="O276" s="43"/>
      <c r="Q276" s="42"/>
      <c r="R276" s="21"/>
      <c r="S276" s="41"/>
    </row>
    <row r="277" spans="1:25" ht="12">
      <c r="A277" s="20"/>
      <c r="B277" s="19"/>
      <c r="C277" s="19"/>
      <c r="D277" s="19"/>
      <c r="E277" s="19"/>
      <c r="F277" s="22"/>
      <c r="J277" s="5"/>
      <c r="K277" s="182"/>
      <c r="L277" s="793"/>
      <c r="O277" s="5"/>
      <c r="Q277" s="258"/>
      <c r="S277" s="25"/>
    </row>
    <row r="278" spans="1:25" ht="12">
      <c r="A278" s="33" t="s">
        <v>36</v>
      </c>
      <c r="B278" s="19"/>
      <c r="C278" s="19"/>
      <c r="D278" s="19"/>
      <c r="E278" s="19"/>
      <c r="F278" s="22"/>
      <c r="G278" s="1"/>
      <c r="H278" s="5" t="str">
        <f>IF(ISNA(HLOOKUP($E$2,'HLookup Tables'!$H$13:$AL$443,243,FALSE)),"",(HLOOKUP($E$2,'HLookup Tables'!$H$13:$AL$443,243,FALSE)))</f>
        <v/>
      </c>
      <c r="I278" s="5" t="str">
        <f t="shared" ref="I278:I283" si="23">IF(ISERR(G278-H278),"",(G278-H278))</f>
        <v/>
      </c>
      <c r="J278" s="164" t="str">
        <f t="shared" ref="J278:J283" si="24">IF($E$7="","",IF(AND(G278=0,H278=0),"",IF(ISERR(I278/ABS(H278)),100%,I278/ABS(H278))))</f>
        <v/>
      </c>
      <c r="K278" s="310"/>
      <c r="L278" s="793"/>
      <c r="O278" s="5"/>
    </row>
    <row r="279" spans="1:25" ht="12">
      <c r="A279" s="33" t="s">
        <v>206</v>
      </c>
      <c r="B279" s="19"/>
      <c r="C279" s="19"/>
      <c r="D279" s="19"/>
      <c r="E279" s="19"/>
      <c r="F279" s="22"/>
      <c r="G279" s="1"/>
      <c r="H279" s="5" t="str">
        <f>IF(ISNA(HLOOKUP($E$2,'HLookup Tables'!$H$13:$AL$443,244,FALSE)),"",(HLOOKUP($E$2,'HLookup Tables'!$H$13:$AL$443,244,FALSE)))</f>
        <v/>
      </c>
      <c r="I279" s="5" t="str">
        <f t="shared" si="23"/>
        <v/>
      </c>
      <c r="J279" s="164" t="str">
        <f t="shared" si="24"/>
        <v/>
      </c>
      <c r="K279" s="310"/>
      <c r="L279" s="793"/>
      <c r="O279" s="5"/>
      <c r="Q279" s="5"/>
    </row>
    <row r="280" spans="1:25" ht="12">
      <c r="A280" s="33" t="s">
        <v>37</v>
      </c>
      <c r="B280" s="19"/>
      <c r="C280" s="19"/>
      <c r="D280" s="19"/>
      <c r="E280" s="19"/>
      <c r="F280" s="30"/>
      <c r="G280" s="1"/>
      <c r="H280" s="5" t="str">
        <f>IF(ISNA(HLOOKUP($E$2,'HLookup Tables'!$H$13:$AL$443,245,FALSE)),"",(HLOOKUP($E$2,'HLookup Tables'!$H$13:$AL$443,245,FALSE)))</f>
        <v/>
      </c>
      <c r="I280" s="5" t="str">
        <f t="shared" si="23"/>
        <v/>
      </c>
      <c r="J280" s="164" t="str">
        <f t="shared" si="24"/>
        <v/>
      </c>
      <c r="K280" s="310"/>
      <c r="L280" s="793"/>
      <c r="O280" s="5"/>
      <c r="Q280" s="5"/>
    </row>
    <row r="281" spans="1:25" ht="12">
      <c r="A281" s="33" t="s">
        <v>38</v>
      </c>
      <c r="B281" s="19"/>
      <c r="C281" s="19"/>
      <c r="D281" s="19"/>
      <c r="E281" s="19"/>
      <c r="F281" s="30"/>
      <c r="G281" s="1"/>
      <c r="H281" s="5" t="str">
        <f>IF(ISNA(HLOOKUP($E$2,'HLookup Tables'!$H$13:$AL$443,246,FALSE)),"",(HLOOKUP($E$2,'HLookup Tables'!$H$13:$AL$443,246,FALSE)))</f>
        <v/>
      </c>
      <c r="I281" s="5" t="str">
        <f t="shared" si="23"/>
        <v/>
      </c>
      <c r="J281" s="164" t="str">
        <f t="shared" si="24"/>
        <v/>
      </c>
      <c r="K281" s="310"/>
      <c r="O281" s="5"/>
      <c r="Q281" s="5"/>
    </row>
    <row r="282" spans="1:25" ht="12">
      <c r="A282" s="33" t="s">
        <v>39</v>
      </c>
      <c r="B282" s="19"/>
      <c r="C282" s="19"/>
      <c r="D282" s="19"/>
      <c r="E282" s="19"/>
      <c r="F282" s="22"/>
      <c r="G282" s="1"/>
      <c r="H282" s="5" t="str">
        <f>IF(ISNA(HLOOKUP($E$2,'HLookup Tables'!$H$13:$AL$443,247,FALSE)),"",(HLOOKUP($E$2,'HLookup Tables'!$H$13:$AL$443,247,FALSE)))</f>
        <v/>
      </c>
      <c r="I282" s="5" t="str">
        <f t="shared" si="23"/>
        <v/>
      </c>
      <c r="J282" s="164" t="str">
        <f t="shared" si="24"/>
        <v/>
      </c>
      <c r="K282" s="310"/>
      <c r="L282" s="793"/>
      <c r="O282" s="5"/>
      <c r="Q282" s="5"/>
    </row>
    <row r="283" spans="1:25" ht="12">
      <c r="A283" s="33" t="s">
        <v>209</v>
      </c>
      <c r="B283" s="19"/>
      <c r="C283" s="19"/>
      <c r="D283" s="19"/>
      <c r="E283" s="19"/>
      <c r="F283" s="22"/>
      <c r="G283" s="1"/>
      <c r="H283" s="5" t="str">
        <f>IF(ISNA(HLOOKUP($E$2,'HLookup Tables'!$H$13:$AL$443,248,FALSE)),"",(HLOOKUP($E$2,'HLookup Tables'!$H$13:$AL$443,248,FALSE)))</f>
        <v/>
      </c>
      <c r="I283" s="5" t="str">
        <f t="shared" si="23"/>
        <v/>
      </c>
      <c r="J283" s="164" t="str">
        <f t="shared" si="24"/>
        <v/>
      </c>
      <c r="K283" s="310"/>
      <c r="L283" s="793"/>
      <c r="O283" s="5"/>
      <c r="Q283" s="5"/>
    </row>
    <row r="284" spans="1:25" ht="12">
      <c r="A284" s="33"/>
      <c r="B284" s="19"/>
      <c r="C284" s="19"/>
      <c r="D284" s="19"/>
      <c r="E284" s="19"/>
      <c r="F284" s="22"/>
      <c r="G284" s="5"/>
      <c r="H284" s="5"/>
      <c r="I284" s="5"/>
      <c r="J284" s="164"/>
      <c r="K284" s="182"/>
      <c r="L284" s="793"/>
      <c r="O284" s="5"/>
    </row>
    <row r="285" spans="1:25" ht="12">
      <c r="A285" s="39" t="s">
        <v>41</v>
      </c>
      <c r="B285" s="19"/>
      <c r="C285" s="19"/>
      <c r="D285" s="19"/>
      <c r="E285" s="19"/>
      <c r="F285" s="22"/>
      <c r="G285" s="1"/>
      <c r="H285" s="5" t="str">
        <f>IF(ISNA(HLOOKUP($E$2,'HLookup Tables'!$H$13:$AL$443,250,FALSE)),"",(HLOOKUP($E$2,'HLookup Tables'!$H$13:$AL$443,250,FALSE)))</f>
        <v/>
      </c>
      <c r="I285" s="5" t="str">
        <f>IF(ISERR(G285-H285),"",(G285-H285))</f>
        <v/>
      </c>
      <c r="J285" s="164" t="str">
        <f>IF($E$7="","",IF(AND(G285=0,H285=0),"",IF(ISERR(I285/ABS(H285)),100%,I285/ABS(H285))))</f>
        <v/>
      </c>
      <c r="K285" s="310"/>
      <c r="L285" s="793"/>
      <c r="O285" s="5"/>
      <c r="Q285" s="5"/>
    </row>
    <row r="286" spans="1:25" ht="12">
      <c r="A286" s="39" t="s">
        <v>61</v>
      </c>
      <c r="B286" s="19"/>
      <c r="C286" s="19"/>
      <c r="D286" s="19"/>
      <c r="E286" s="19"/>
      <c r="F286" s="22"/>
      <c r="G286" s="16"/>
      <c r="H286" s="5" t="str">
        <f>IF(ISNA(HLOOKUP($E$2,'HLookup Tables'!$H$13:$AL$443,251,FALSE)),"",(HLOOKUP($E$2,'HLookup Tables'!$H$13:$AL$443,251,FALSE)))</f>
        <v/>
      </c>
      <c r="I286" s="5" t="str">
        <f>IF(ISERR(G286-H286),"",(G286-H286))</f>
        <v/>
      </c>
      <c r="J286" s="164" t="str">
        <f>IF($E$7="","",IF(AND(G286=0,H286=0),"",IF(ISERR(I286/ABS(H286)),100%,I286/ABS(H286))))</f>
        <v/>
      </c>
      <c r="K286" s="310"/>
      <c r="L286" s="793"/>
      <c r="O286" s="5"/>
      <c r="Q286" s="5"/>
    </row>
    <row r="287" spans="1:25" ht="12">
      <c r="A287" s="33"/>
      <c r="B287" s="31" t="s">
        <v>62</v>
      </c>
      <c r="C287" s="19"/>
      <c r="D287" s="19"/>
      <c r="E287" s="19"/>
      <c r="F287" s="22"/>
      <c r="G287" s="32">
        <f>SUM(G285:G286)</f>
        <v>0</v>
      </c>
      <c r="H287" s="32">
        <f>SUM(H285:H286)</f>
        <v>0</v>
      </c>
      <c r="I287" s="32">
        <f>SUM(I285:I286)</f>
        <v>0</v>
      </c>
      <c r="J287" s="165" t="str">
        <f>IF(I287=0,"0%",IF(ISERR(I287/ABS(H287)),100%,I287/ABS(H287)))</f>
        <v>0%</v>
      </c>
      <c r="K287" s="182"/>
      <c r="L287" s="793"/>
      <c r="O287" s="5"/>
      <c r="Q287" s="5"/>
    </row>
    <row r="288" spans="1:25" ht="12">
      <c r="A288" s="33" t="s">
        <v>3765</v>
      </c>
      <c r="B288" s="33"/>
      <c r="C288" s="19"/>
      <c r="D288" s="19"/>
      <c r="E288" s="19"/>
      <c r="F288" s="22"/>
      <c r="G288" s="17"/>
      <c r="H288" s="5" t="str">
        <f>IF(ISNA(HLOOKUP($E$2,'HLookup Tables'!$H$13:$AL$443,253,FALSE)),"",(HLOOKUP($E$2,'HLookup Tables'!$H$13:$AL$443,253,FALSE)))</f>
        <v/>
      </c>
      <c r="I288" s="5" t="str">
        <f>IF(ISERR(G288-H288),"",(G288-H288))</f>
        <v/>
      </c>
      <c r="J288" s="164" t="str">
        <f>IF($E$7="","",IF(AND(G288=0,H288=0),"",IF(ISERR(I288/ABS(H288)),100%,I288/ABS(H288))))</f>
        <v/>
      </c>
      <c r="K288" s="310"/>
      <c r="L288" s="793"/>
      <c r="O288" s="5"/>
      <c r="Q288" s="5"/>
    </row>
    <row r="289" spans="1:17" ht="12">
      <c r="A289" s="33" t="s">
        <v>40</v>
      </c>
      <c r="B289" s="19"/>
      <c r="C289" s="19"/>
      <c r="D289" s="19"/>
      <c r="E289" s="19"/>
      <c r="F289" s="22"/>
      <c r="G289" s="1"/>
      <c r="H289" s="5" t="str">
        <f>IF(ISNA(HLOOKUP($E$2,'HLookup Tables'!$H$13:$AL$443,254,FALSE)),"",(HLOOKUP($E$2,'HLookup Tables'!$H$13:$AL$443,254,FALSE)))</f>
        <v/>
      </c>
      <c r="I289" s="5" t="str">
        <f>IF(ISERR(G289-H289),"",(G289-H289))</f>
        <v/>
      </c>
      <c r="J289" s="164" t="str">
        <f>IF($E$7="","",IF(AND(G289=0,H289=0),"",IF(ISERR(I289/ABS(H289)),100%,I289/ABS(H289))))</f>
        <v/>
      </c>
      <c r="K289" s="310"/>
      <c r="L289" s="793"/>
      <c r="O289" s="5"/>
      <c r="Q289" s="5"/>
    </row>
    <row r="290" spans="1:17" ht="12">
      <c r="A290" s="33" t="s">
        <v>207</v>
      </c>
      <c r="B290" s="19"/>
      <c r="C290" s="19"/>
      <c r="D290" s="19"/>
      <c r="E290" s="202"/>
      <c r="F290" s="22"/>
      <c r="G290" s="1"/>
      <c r="H290" s="5" t="str">
        <f>IF(ISNA(HLOOKUP($E$2,'HLookup Tables'!$H$13:$AL$443,255,FALSE)),"",(HLOOKUP($E$2,'HLookup Tables'!$H$13:$AL$443,255,FALSE)))</f>
        <v/>
      </c>
      <c r="I290" s="5" t="str">
        <f>IF(ISERR(G290-H290),"",(G290-H290))</f>
        <v/>
      </c>
      <c r="J290" s="164" t="str">
        <f>IF($E$7="","",IF(AND(G290=0,H290=0),"",IF(ISERR(I290/ABS(H290)),100%,I290/ABS(H290))))</f>
        <v/>
      </c>
      <c r="K290" s="310"/>
      <c r="L290" s="793"/>
      <c r="O290" s="5"/>
      <c r="Q290" s="5"/>
    </row>
    <row r="291" spans="1:17" ht="12">
      <c r="A291" s="33" t="s">
        <v>208</v>
      </c>
      <c r="B291" s="19"/>
      <c r="C291" s="19"/>
      <c r="D291" s="19"/>
      <c r="E291" s="19"/>
      <c r="F291" s="22"/>
      <c r="G291" s="1"/>
      <c r="H291" s="5" t="str">
        <f>IF(ISNA(HLOOKUP($E$2,'HLookup Tables'!$H$13:$AL$443,256,FALSE)),"",(HLOOKUP($E$2,'HLookup Tables'!$H$13:$AL$443,256,FALSE)))</f>
        <v/>
      </c>
      <c r="I291" s="5" t="str">
        <f>IF(ISERR(G291-H291),"",(G291-H291))</f>
        <v/>
      </c>
      <c r="J291" s="164" t="str">
        <f>IF($E$7="","",IF(AND(G291=0,H291=0),"",IF(ISERR(I291/ABS(H291)),100%,I291/ABS(H291))))</f>
        <v/>
      </c>
      <c r="K291" s="310"/>
      <c r="L291" s="793"/>
      <c r="O291" s="5"/>
      <c r="Q291" s="5"/>
    </row>
    <row r="292" spans="1:17" ht="12">
      <c r="A292" s="33"/>
      <c r="B292" s="19"/>
      <c r="C292" s="19"/>
      <c r="D292" s="19"/>
      <c r="E292" s="19"/>
      <c r="F292" s="22"/>
      <c r="G292" s="5"/>
      <c r="H292" s="5"/>
      <c r="I292" s="5"/>
      <c r="J292" s="164"/>
      <c r="K292" s="182"/>
      <c r="L292" s="793"/>
      <c r="O292" s="5"/>
      <c r="Q292" s="5"/>
    </row>
    <row r="293" spans="1:17" ht="12">
      <c r="A293" s="39" t="s">
        <v>223</v>
      </c>
      <c r="B293" s="19"/>
      <c r="C293" s="19"/>
      <c r="D293" s="19"/>
      <c r="E293" s="598" t="str">
        <f>IF(G293&lt;&gt;0,"Answer Required","N/A")</f>
        <v>N/A</v>
      </c>
      <c r="F293" s="22"/>
      <c r="G293" s="1"/>
      <c r="H293" s="5" t="str">
        <f>IF(ISNA(HLOOKUP($E$2,'HLookup Tables'!$H$13:$AL$443,258,FALSE)),"",(HLOOKUP($E$2,'HLookup Tables'!$H$13:$AL$443,258,FALSE)))</f>
        <v/>
      </c>
      <c r="I293" s="5" t="str">
        <f>IF(ISERR(G293-H293),"",(G293-H293))</f>
        <v/>
      </c>
      <c r="J293" s="164" t="str">
        <f>IF($E$7="","",IF(AND(G293=0,H293=0),"",IF(ISERR(I293/ABS(H293)),100%,I293/ABS(H293))))</f>
        <v/>
      </c>
      <c r="K293" s="310"/>
      <c r="L293" s="793"/>
      <c r="O293" s="5"/>
      <c r="Q293" s="5"/>
    </row>
    <row r="294" spans="1:17" ht="12">
      <c r="A294" s="39" t="s">
        <v>223</v>
      </c>
      <c r="B294" s="19"/>
      <c r="C294" s="19"/>
      <c r="D294" s="19"/>
      <c r="E294" s="598" t="str">
        <f>IF(G294&lt;&gt;0,"Answer Required","N/A")</f>
        <v>N/A</v>
      </c>
      <c r="F294" s="22"/>
      <c r="G294" s="16"/>
      <c r="H294" s="5" t="str">
        <f>IF(ISNA(HLOOKUP($E$2,'HLookup Tables'!$H$13:$AL$443,259,FALSE)),"",(HLOOKUP($E$2,'HLookup Tables'!$H$13:$AL$443,259,FALSE)))</f>
        <v/>
      </c>
      <c r="I294" s="5" t="str">
        <f>IF(ISERR(G294-H294),"",(G294-H294))</f>
        <v/>
      </c>
      <c r="J294" s="164" t="str">
        <f>IF($E$7="","",IF(AND(G294=0,H294=0),"",IF(ISERR(I294/ABS(H294)),100%,I294/ABS(H294))))</f>
        <v/>
      </c>
      <c r="K294" s="310"/>
      <c r="L294" s="793"/>
      <c r="O294" s="5"/>
      <c r="Q294" s="5"/>
    </row>
    <row r="295" spans="1:17" ht="12">
      <c r="A295" s="39"/>
      <c r="B295" s="31" t="s">
        <v>63</v>
      </c>
      <c r="C295" s="19"/>
      <c r="D295" s="19"/>
      <c r="E295" s="19"/>
      <c r="F295" s="22"/>
      <c r="G295" s="32">
        <f>SUM(G293:G294)</f>
        <v>0</v>
      </c>
      <c r="H295" s="32">
        <f>SUM(H293:H294)</f>
        <v>0</v>
      </c>
      <c r="I295" s="32">
        <f>SUM(I293:I294)</f>
        <v>0</v>
      </c>
      <c r="J295" s="165" t="str">
        <f>IF(I295=0,"0%",IF(ISERR(I295/ABS(H295)),100%,I295/ABS(H295)))</f>
        <v>0%</v>
      </c>
      <c r="K295" s="182"/>
      <c r="L295" s="793"/>
      <c r="O295" s="5"/>
      <c r="Q295" s="5"/>
    </row>
    <row r="296" spans="1:17" ht="12">
      <c r="A296" s="39"/>
      <c r="B296" s="19"/>
      <c r="C296" s="19"/>
      <c r="D296" s="19"/>
      <c r="E296" s="19"/>
      <c r="F296" s="22"/>
      <c r="G296" s="5"/>
      <c r="H296" s="5"/>
      <c r="I296" s="5"/>
      <c r="J296" s="164"/>
      <c r="K296" s="182"/>
      <c r="L296" s="793"/>
      <c r="O296" s="5"/>
      <c r="Q296" s="5"/>
    </row>
    <row r="297" spans="1:17" ht="12">
      <c r="A297" s="39" t="s">
        <v>222</v>
      </c>
      <c r="B297" s="19"/>
      <c r="C297" s="19"/>
      <c r="D297" s="19"/>
      <c r="E297" s="598" t="str">
        <f>IF(G297&lt;&gt;0,"Answer Required","N/A")</f>
        <v>N/A</v>
      </c>
      <c r="F297" s="22"/>
      <c r="G297" s="1"/>
      <c r="H297" s="5" t="str">
        <f>IF(ISNA(HLOOKUP($E$2,'HLookup Tables'!$H$13:$AL$443,262,FALSE)),"",(HLOOKUP($E$2,'HLookup Tables'!$H$13:$AL$443,262,FALSE)))</f>
        <v/>
      </c>
      <c r="I297" s="5" t="str">
        <f>IF(ISERR(G297-H297),"",(G297-H297))</f>
        <v/>
      </c>
      <c r="J297" s="164" t="str">
        <f>IF($E$7="","",IF(AND(G297=0,H297=0),"",IF(ISERR(I297/ABS(H297)),100%,I297/ABS(H297))))</f>
        <v/>
      </c>
      <c r="K297" s="310"/>
      <c r="L297" s="793"/>
      <c r="O297" s="5"/>
      <c r="Q297" s="5"/>
    </row>
    <row r="298" spans="1:17" ht="12">
      <c r="A298" s="39" t="s">
        <v>222</v>
      </c>
      <c r="B298" s="19"/>
      <c r="C298" s="19"/>
      <c r="D298" s="19"/>
      <c r="E298" s="598" t="str">
        <f>IF(G298&lt;&gt;0,"Answer Required","N/A")</f>
        <v>N/A</v>
      </c>
      <c r="F298" s="22"/>
      <c r="G298" s="16"/>
      <c r="H298" s="5" t="str">
        <f>IF(ISNA(HLOOKUP($E$2,'HLookup Tables'!$H$13:$AL$443,263,FALSE)),"",(HLOOKUP($E$2,'HLookup Tables'!$H$13:$AL$443,263,FALSE)))</f>
        <v/>
      </c>
      <c r="I298" s="5" t="str">
        <f>IF(ISERR(G298-H298),"",(G298-H298))</f>
        <v/>
      </c>
      <c r="J298" s="164" t="str">
        <f>IF($E$7="","",IF(AND(G298=0,H298=0),"",IF(ISERR(I298/ABS(H298)),100%,I298/ABS(H298))))</f>
        <v/>
      </c>
      <c r="K298" s="310"/>
      <c r="L298" s="793"/>
      <c r="O298" s="5"/>
      <c r="Q298" s="5"/>
    </row>
    <row r="299" spans="1:17" ht="12">
      <c r="A299" s="19"/>
      <c r="B299" s="31" t="s">
        <v>66</v>
      </c>
      <c r="C299" s="19"/>
      <c r="D299" s="19"/>
      <c r="E299" s="19"/>
      <c r="F299" s="22"/>
      <c r="G299" s="32">
        <f>SUM(G297:G298)</f>
        <v>0</v>
      </c>
      <c r="H299" s="32">
        <f>SUM(H297:H298)</f>
        <v>0</v>
      </c>
      <c r="I299" s="32">
        <f>SUM(I297:I298)</f>
        <v>0</v>
      </c>
      <c r="J299" s="165" t="str">
        <f>IF(I299=0,"0%",IF(ISERR(I299/ABS(H299)),100%,I299/ABS(H299)))</f>
        <v>0%</v>
      </c>
      <c r="K299" s="182"/>
      <c r="L299" s="793"/>
      <c r="O299" s="5"/>
      <c r="Q299" s="5"/>
    </row>
    <row r="300" spans="1:17" ht="12">
      <c r="A300" s="39"/>
      <c r="B300" s="19"/>
      <c r="C300" s="19"/>
      <c r="D300" s="19"/>
      <c r="E300" s="19"/>
      <c r="F300" s="22"/>
      <c r="G300" s="5"/>
      <c r="H300" s="5"/>
      <c r="I300" s="5"/>
      <c r="J300" s="164"/>
      <c r="K300" s="182"/>
      <c r="L300" s="793"/>
      <c r="O300" s="5"/>
      <c r="Q300" s="5"/>
    </row>
    <row r="301" spans="1:17" ht="12">
      <c r="A301" s="19"/>
      <c r="B301" s="33" t="s">
        <v>67</v>
      </c>
      <c r="C301" s="19"/>
      <c r="D301" s="19"/>
      <c r="E301" s="19"/>
      <c r="F301" s="22"/>
      <c r="G301" s="32">
        <f>SUM(G278:G283,G287,G288:G291,G295,G299)</f>
        <v>0</v>
      </c>
      <c r="H301" s="32">
        <f>SUM(H278:H283,H287,H288:H291,H295,H299)</f>
        <v>0</v>
      </c>
      <c r="I301" s="32">
        <f>SUM(I278:I283,I287,I288:I291,I295,I299)</f>
        <v>0</v>
      </c>
      <c r="J301" s="165" t="str">
        <f>IF(I301=0,"0%",IF(ISERR(I301/ABS(H301)),100%,I301/ABS(H301)))</f>
        <v>0%</v>
      </c>
      <c r="K301" s="182"/>
      <c r="L301" s="793"/>
      <c r="O301" s="5"/>
      <c r="Q301" s="5"/>
    </row>
    <row r="302" spans="1:17" ht="12">
      <c r="A302" s="39"/>
      <c r="B302" s="19"/>
      <c r="C302" s="19"/>
      <c r="D302" s="19"/>
      <c r="E302" s="19"/>
      <c r="F302" s="22"/>
      <c r="G302" s="5"/>
      <c r="H302" s="5"/>
      <c r="I302" s="5"/>
      <c r="J302" s="164"/>
      <c r="K302" s="182"/>
      <c r="L302" s="793"/>
      <c r="O302" s="5"/>
      <c r="Q302" s="5"/>
    </row>
    <row r="303" spans="1:17" ht="12">
      <c r="A303" s="20" t="s">
        <v>151</v>
      </c>
      <c r="B303" s="19"/>
      <c r="C303" s="19"/>
      <c r="D303" s="19"/>
      <c r="E303" s="19"/>
      <c r="F303" s="22"/>
      <c r="G303" s="5"/>
      <c r="H303" s="5"/>
      <c r="I303" s="5"/>
      <c r="J303" s="164"/>
      <c r="K303" s="182"/>
      <c r="L303" s="793"/>
      <c r="O303" s="5"/>
      <c r="Q303" s="5"/>
    </row>
    <row r="304" spans="1:17" ht="12">
      <c r="A304" s="33" t="s">
        <v>69</v>
      </c>
      <c r="B304" s="19"/>
      <c r="C304" s="19"/>
      <c r="D304" s="19"/>
      <c r="E304" s="19"/>
      <c r="F304" s="22"/>
      <c r="G304" s="1"/>
      <c r="H304" s="5" t="str">
        <f>IF(ISNA(HLOOKUP($E$2,'HLookup Tables'!$H$13:$AL$443,269,FALSE)),"",(HLOOKUP($E$2,'HLookup Tables'!$H$13:$AL$443,269,FALSE)))</f>
        <v/>
      </c>
      <c r="I304" s="5" t="str">
        <f>IF(ISERR(G304-H304),"",(G304-H304))</f>
        <v/>
      </c>
      <c r="J304" s="164" t="str">
        <f>IF($E$7="","",IF(AND(G304=0,H304=0),"",IF(ISERR(I304/ABS(H304)),100%,I304/ABS(H304))))</f>
        <v/>
      </c>
      <c r="K304" s="310"/>
      <c r="L304" s="793"/>
      <c r="O304" s="5"/>
      <c r="Q304" s="5"/>
    </row>
    <row r="305" spans="1:17" ht="12">
      <c r="A305" s="33" t="s">
        <v>70</v>
      </c>
      <c r="B305" s="19"/>
      <c r="C305" s="19"/>
      <c r="D305" s="19"/>
      <c r="E305" s="19"/>
      <c r="F305" s="22"/>
      <c r="G305" s="1"/>
      <c r="H305" s="5" t="str">
        <f>IF(ISNA(HLOOKUP($E$2,'HLookup Tables'!$H$13:$AL$443,270,FALSE)),"",(HLOOKUP($E$2,'HLookup Tables'!$H$13:$AL$443,270,FALSE)))</f>
        <v/>
      </c>
      <c r="I305" s="5" t="str">
        <f>IF(ISERR(G305-H305),"",(G305-H305))</f>
        <v/>
      </c>
      <c r="J305" s="164" t="str">
        <f>IF($E$7="","",IF(AND(G305=0,H305=0),"",IF(ISERR(I305/ABS(H305)),-100%,I305/ABS(H305))))</f>
        <v/>
      </c>
      <c r="K305" s="310"/>
      <c r="L305" s="793"/>
      <c r="O305" s="5"/>
      <c r="Q305" s="5"/>
    </row>
    <row r="306" spans="1:17" ht="12">
      <c r="A306" s="33"/>
      <c r="B306" s="19"/>
      <c r="C306" s="19"/>
      <c r="D306" s="19"/>
      <c r="E306" s="19"/>
      <c r="F306" s="22"/>
      <c r="G306" s="5"/>
      <c r="H306" s="5"/>
      <c r="I306" s="5"/>
      <c r="J306" s="164"/>
      <c r="L306" s="793"/>
      <c r="O306" s="5"/>
      <c r="Q306" s="5"/>
    </row>
    <row r="307" spans="1:17" ht="12">
      <c r="A307" s="39" t="s">
        <v>627</v>
      </c>
      <c r="B307" s="19"/>
      <c r="C307" s="19"/>
      <c r="D307" s="19"/>
      <c r="E307" s="19"/>
      <c r="F307" s="22"/>
      <c r="G307" s="1"/>
      <c r="H307" s="5" t="str">
        <f>IF(ISNA(HLOOKUP($E$2,'HLookup Tables'!$H$13:$AL$443,272,FALSE)),"",(HLOOKUP($E$2,'HLookup Tables'!$H$13:$AL$443,272,FALSE)))</f>
        <v/>
      </c>
      <c r="I307" s="5" t="str">
        <f t="shared" ref="I307:I312" si="25">IF(ISERR(G307-H307),"",(G307-H307))</f>
        <v/>
      </c>
      <c r="J307" s="164" t="str">
        <f t="shared" ref="J307:J312" si="26">IF($E$7="","",IF(AND(G307=0,H307=0),"",IF(ISERR(I307/ABS(H307)),100%,I307/ABS(H307))))</f>
        <v/>
      </c>
      <c r="K307" s="310"/>
      <c r="L307" s="793"/>
      <c r="O307" s="5"/>
      <c r="Q307" s="5"/>
    </row>
    <row r="308" spans="1:17" ht="12" hidden="1">
      <c r="A308" s="39"/>
      <c r="B308" s="19"/>
      <c r="C308" s="19"/>
      <c r="D308" s="19"/>
      <c r="E308" s="19"/>
      <c r="F308" s="22"/>
      <c r="G308" s="1"/>
      <c r="H308" s="5" t="str">
        <f>IF(ISNA(HLOOKUP($E$2,'HLookup Tables'!$H$13:$AL$443,273,FALSE)),"",(HLOOKUP($E$2,'HLookup Tables'!$H$13:$AL$443,273,FALSE)))</f>
        <v/>
      </c>
      <c r="I308" s="5" t="str">
        <f t="shared" si="25"/>
        <v/>
      </c>
      <c r="J308" s="164" t="str">
        <f t="shared" si="26"/>
        <v/>
      </c>
      <c r="K308" s="310"/>
      <c r="L308" s="793"/>
      <c r="O308" s="5"/>
      <c r="Q308" s="5"/>
    </row>
    <row r="309" spans="1:17" ht="12" hidden="1">
      <c r="A309" s="710" t="s">
        <v>3374</v>
      </c>
      <c r="B309" s="19"/>
      <c r="C309" s="19"/>
      <c r="D309" s="19"/>
      <c r="E309" s="19"/>
      <c r="F309" s="22"/>
      <c r="G309" s="1"/>
      <c r="H309" s="5" t="str">
        <f>IF(ISNA(HLOOKUP($E$2,'HLookup Tables'!$H$13:$AL$443,274,FALSE)),"",(HLOOKUP($E$2,'HLookup Tables'!$H$13:$AL$443,274,FALSE)))</f>
        <v/>
      </c>
      <c r="I309" s="5" t="str">
        <f t="shared" si="25"/>
        <v/>
      </c>
      <c r="J309" s="164" t="str">
        <f t="shared" si="26"/>
        <v/>
      </c>
      <c r="K309" s="310"/>
      <c r="L309" s="793"/>
      <c r="O309" s="5"/>
      <c r="Q309" s="5"/>
    </row>
    <row r="310" spans="1:17" ht="12">
      <c r="A310" s="39" t="s">
        <v>211</v>
      </c>
      <c r="B310" s="19"/>
      <c r="C310" s="19"/>
      <c r="D310" s="19"/>
      <c r="E310" s="19"/>
      <c r="F310" s="22"/>
      <c r="G310" s="1"/>
      <c r="H310" s="5" t="str">
        <f>IF(ISNA(HLOOKUP($E$2,'HLookup Tables'!$H$13:$AL$443,275,FALSE)),"",(HLOOKUP($E$2,'HLookup Tables'!$H$13:$AL$443,275,FALSE)))</f>
        <v/>
      </c>
      <c r="I310" s="5" t="str">
        <f t="shared" si="25"/>
        <v/>
      </c>
      <c r="J310" s="164" t="str">
        <f t="shared" si="26"/>
        <v/>
      </c>
      <c r="K310" s="310"/>
      <c r="L310" s="793"/>
      <c r="O310" s="5"/>
      <c r="Q310" s="5"/>
    </row>
    <row r="311" spans="1:17" ht="12">
      <c r="A311" s="39" t="s">
        <v>152</v>
      </c>
      <c r="B311" s="19"/>
      <c r="C311" s="19"/>
      <c r="D311" s="19"/>
      <c r="E311" s="598" t="str">
        <f>IF(G311&lt;&gt;0,"Answer Required","N/A")</f>
        <v>N/A</v>
      </c>
      <c r="F311" s="22"/>
      <c r="G311" s="1"/>
      <c r="H311" s="5" t="str">
        <f>IF(ISNA(HLOOKUP($E$2,'HLookup Tables'!$H$13:$AL$443,276,FALSE)),"",(HLOOKUP($E$2,'HLookup Tables'!$H$13:$AL$443,276,FALSE)))</f>
        <v/>
      </c>
      <c r="I311" s="5" t="str">
        <f t="shared" si="25"/>
        <v/>
      </c>
      <c r="J311" s="164" t="str">
        <f t="shared" si="26"/>
        <v/>
      </c>
      <c r="K311" s="310"/>
      <c r="L311" s="793"/>
      <c r="O311" s="5"/>
      <c r="Q311" s="5"/>
    </row>
    <row r="312" spans="1:17" ht="12">
      <c r="A312" s="39" t="s">
        <v>152</v>
      </c>
      <c r="B312" s="19"/>
      <c r="C312" s="19"/>
      <c r="D312" s="19"/>
      <c r="E312" s="598" t="str">
        <f>IF(G312&lt;&gt;0,"Answer Required","N/A")</f>
        <v>N/A</v>
      </c>
      <c r="F312" s="22"/>
      <c r="G312" s="16"/>
      <c r="H312" s="5" t="str">
        <f>IF(ISNA(HLOOKUP($E$2,'HLookup Tables'!$H$13:$AL$443,277,FALSE)),"",(HLOOKUP($E$2,'HLookup Tables'!$H$13:$AL$443,277,FALSE)))</f>
        <v/>
      </c>
      <c r="I312" s="5" t="str">
        <f t="shared" si="25"/>
        <v/>
      </c>
      <c r="J312" s="164" t="str">
        <f t="shared" si="26"/>
        <v/>
      </c>
      <c r="K312" s="310"/>
      <c r="L312" s="793"/>
      <c r="O312" s="5"/>
      <c r="Q312" s="5"/>
    </row>
    <row r="313" spans="1:17" ht="12">
      <c r="A313" s="33"/>
      <c r="B313" s="31" t="s">
        <v>153</v>
      </c>
      <c r="C313" s="19"/>
      <c r="D313" s="19"/>
      <c r="E313" s="19"/>
      <c r="F313" s="22"/>
      <c r="G313" s="32">
        <f>SUM(G307:G312)</f>
        <v>0</v>
      </c>
      <c r="H313" s="32">
        <f>SUM(H307:H312)</f>
        <v>0</v>
      </c>
      <c r="I313" s="32">
        <f>SUM(I307:I312)</f>
        <v>0</v>
      </c>
      <c r="J313" s="165" t="str">
        <f>IF(I313=0,"0%",IF(ISERR(I313/ABS(H313)),100%,I313/ABS(H313)))</f>
        <v>0%</v>
      </c>
      <c r="L313" s="793"/>
      <c r="O313" s="5"/>
      <c r="Q313" s="5"/>
    </row>
    <row r="314" spans="1:17" ht="12">
      <c r="A314" s="33"/>
      <c r="B314" s="31"/>
      <c r="C314" s="19"/>
      <c r="D314" s="19"/>
      <c r="E314" s="19"/>
      <c r="F314" s="22"/>
      <c r="G314" s="5"/>
      <c r="H314" s="5"/>
      <c r="I314" s="5"/>
      <c r="J314" s="164"/>
      <c r="L314" s="793"/>
      <c r="O314" s="5"/>
      <c r="Q314" s="5"/>
    </row>
    <row r="315" spans="1:17" ht="12">
      <c r="A315" s="39" t="s">
        <v>628</v>
      </c>
      <c r="B315" s="19"/>
      <c r="C315" s="19"/>
      <c r="D315" s="19"/>
      <c r="E315" s="19"/>
      <c r="F315" s="22"/>
      <c r="G315" s="1"/>
      <c r="H315" s="5" t="str">
        <f>IF(ISNA(HLOOKUP($E$2,'HLookup Tables'!$H$13:$AL$443,280,FALSE)),"",(HLOOKUP($E$2,'HLookup Tables'!$H$13:$AL$443,280,FALSE)))</f>
        <v/>
      </c>
      <c r="I315" s="5" t="str">
        <f>IF(ISERR(G315-H315),"",(G315-H315))</f>
        <v/>
      </c>
      <c r="J315" s="164" t="str">
        <f>IF($E$7="","",IF(AND(G315=0,H315=0),"",IF(ISERR(I315/ABS(H315)),100%,I315/ABS(H315))))</f>
        <v/>
      </c>
      <c r="K315" s="310"/>
      <c r="L315" s="793"/>
      <c r="O315" s="5"/>
      <c r="Q315" s="5"/>
    </row>
    <row r="316" spans="1:17" ht="12">
      <c r="A316" s="39" t="s">
        <v>154</v>
      </c>
      <c r="B316" s="19"/>
      <c r="C316" s="19"/>
      <c r="D316" s="19"/>
      <c r="E316" s="598" t="str">
        <f>IF(G316&lt;&gt;0,"Answer Required","N/A")</f>
        <v>N/A</v>
      </c>
      <c r="F316" s="22"/>
      <c r="G316" s="1"/>
      <c r="H316" s="5" t="str">
        <f>IF(ISNA(HLOOKUP($E$2,'HLookup Tables'!$H$13:$AL$443,281,FALSE)),"",(HLOOKUP($E$2,'HLookup Tables'!$H$13:$AL$443,281,FALSE)))</f>
        <v/>
      </c>
      <c r="I316" s="5" t="str">
        <f>IF(ISERR(G316-H316),"",(G316-H316))</f>
        <v/>
      </c>
      <c r="J316" s="164" t="str">
        <f>IF($E$7="","",IF(AND(G316=0,H316=0),"",IF(ISERR(I316/ABS(H316)),100%,I316/ABS(H316))))</f>
        <v/>
      </c>
      <c r="K316" s="310"/>
      <c r="L316" s="793"/>
      <c r="O316" s="5"/>
      <c r="Q316" s="5"/>
    </row>
    <row r="317" spans="1:17" ht="12">
      <c r="A317" s="39" t="s">
        <v>154</v>
      </c>
      <c r="B317" s="19"/>
      <c r="C317" s="19"/>
      <c r="D317" s="19"/>
      <c r="E317" s="598" t="str">
        <f>IF(G317&lt;&gt;0,"Answer Required","N/A")</f>
        <v>N/A</v>
      </c>
      <c r="F317" s="22"/>
      <c r="G317" s="16"/>
      <c r="H317" s="5" t="str">
        <f>IF(ISNA(HLOOKUP($E$2,'HLookup Tables'!$H$13:$AL$443,282,FALSE)),"",(HLOOKUP($E$2,'HLookup Tables'!$H$13:$AL$443,282,FALSE)))</f>
        <v/>
      </c>
      <c r="I317" s="5" t="str">
        <f>IF(ISERR(G317-H317),"",(G317-H317))</f>
        <v/>
      </c>
      <c r="J317" s="164" t="str">
        <f>IF($E$7="","",IF(AND(G317=0,H317=0),"",IF(ISERR(I317/ABS(H317)),100%,I317/ABS(H317))))</f>
        <v/>
      </c>
      <c r="K317" s="310"/>
      <c r="L317" s="793"/>
      <c r="O317" s="5"/>
      <c r="Q317" s="5"/>
    </row>
    <row r="318" spans="1:17" ht="12">
      <c r="A318" s="39"/>
      <c r="B318" s="31" t="s">
        <v>155</v>
      </c>
      <c r="C318" s="19"/>
      <c r="D318" s="19"/>
      <c r="E318" s="19"/>
      <c r="F318" s="22"/>
      <c r="G318" s="32">
        <f>SUM(G315:G317)</f>
        <v>0</v>
      </c>
      <c r="H318" s="32">
        <f>SUM(H315:H317)</f>
        <v>0</v>
      </c>
      <c r="I318" s="32">
        <f>SUM(I315:I317)</f>
        <v>0</v>
      </c>
      <c r="J318" s="165" t="str">
        <f>IF(I318=0,"0%",IF(ISERR(I318/ABS(H318)),100%,I318/ABS(H318)))</f>
        <v>0%</v>
      </c>
      <c r="L318" s="793"/>
      <c r="O318" s="5"/>
      <c r="Q318" s="5"/>
    </row>
    <row r="319" spans="1:17" ht="12">
      <c r="A319" s="39"/>
      <c r="B319" s="19"/>
      <c r="C319" s="19"/>
      <c r="D319" s="19"/>
      <c r="E319" s="19"/>
      <c r="F319" s="22"/>
      <c r="G319" s="5"/>
      <c r="H319" s="5"/>
      <c r="I319" s="5"/>
      <c r="J319" s="164"/>
      <c r="L319" s="793"/>
      <c r="O319" s="5"/>
      <c r="Q319" s="5"/>
    </row>
    <row r="320" spans="1:17" ht="12">
      <c r="A320" s="19"/>
      <c r="B320" s="33" t="s">
        <v>156</v>
      </c>
      <c r="C320" s="19"/>
      <c r="D320" s="19"/>
      <c r="E320" s="19"/>
      <c r="F320" s="22"/>
      <c r="G320" s="32">
        <f>SUM(G304:G305,G313,G318)</f>
        <v>0</v>
      </c>
      <c r="H320" s="32">
        <f>SUM(H304:H305,H313,H318)</f>
        <v>0</v>
      </c>
      <c r="I320" s="32">
        <f>SUM(I304:I305,I313,I318)</f>
        <v>0</v>
      </c>
      <c r="J320" s="165" t="str">
        <f>IF(I320=0,"0%",IF(ISERR(I320/ABS(H320)),100%,I320/ABS(H320)))</f>
        <v>0%</v>
      </c>
      <c r="L320" s="793"/>
      <c r="O320" s="5"/>
      <c r="Q320" s="5"/>
    </row>
    <row r="321" spans="1:19" ht="12">
      <c r="A321" s="19"/>
      <c r="B321" s="39"/>
      <c r="C321" s="19"/>
      <c r="D321" s="19"/>
      <c r="E321" s="19"/>
      <c r="F321" s="22"/>
      <c r="G321" s="5"/>
      <c r="J321" s="5"/>
      <c r="L321" s="793"/>
      <c r="Q321" s="5"/>
    </row>
    <row r="322" spans="1:19" ht="12">
      <c r="A322" s="19"/>
      <c r="B322" s="39"/>
      <c r="C322" s="19"/>
      <c r="D322" s="19"/>
      <c r="E322" s="19"/>
      <c r="F322" s="22"/>
      <c r="G322" s="5"/>
      <c r="J322" s="5"/>
      <c r="L322" s="793"/>
      <c r="Q322" s="5"/>
    </row>
    <row r="323" spans="1:19" ht="12.75" customHeight="1">
      <c r="A323" s="1022" t="str">
        <f>A7</f>
        <v>Fund Name:</v>
      </c>
      <c r="B323" s="1022"/>
      <c r="C323" s="1022"/>
      <c r="D323" s="1022"/>
      <c r="E323" s="20" t="str">
        <f>E7</f>
        <v/>
      </c>
      <c r="F323" s="22"/>
      <c r="G323" s="5"/>
      <c r="J323" s="5"/>
      <c r="L323" s="793"/>
      <c r="Q323" s="5"/>
    </row>
    <row r="324" spans="1:19" ht="12">
      <c r="A324" s="34"/>
      <c r="B324" s="20"/>
      <c r="C324" s="34"/>
      <c r="D324" s="34"/>
      <c r="E324" s="19"/>
      <c r="F324" s="22"/>
      <c r="G324" s="5"/>
      <c r="J324" s="5"/>
      <c r="L324" s="793"/>
      <c r="Q324" s="5"/>
    </row>
    <row r="325" spans="1:19" ht="12">
      <c r="A325" s="34" t="str">
        <f>A273</f>
        <v>Statement of Cash Flows-Part 1</v>
      </c>
      <c r="B325" s="20"/>
      <c r="C325" s="34"/>
      <c r="D325" s="34"/>
      <c r="E325" s="34"/>
      <c r="F325" s="22"/>
      <c r="G325" s="5"/>
      <c r="J325" s="40"/>
      <c r="L325" s="797"/>
      <c r="Q325" s="5"/>
    </row>
    <row r="326" spans="1:19" ht="9.75" customHeight="1">
      <c r="A326" s="28" t="str">
        <f>A274</f>
        <v>For the Year Ended June 30, 2024</v>
      </c>
      <c r="B326" s="38"/>
      <c r="C326" s="28"/>
      <c r="D326" s="28"/>
      <c r="E326" s="34"/>
      <c r="F326" s="22"/>
      <c r="G326" s="5"/>
      <c r="Q326" s="5"/>
    </row>
    <row r="327" spans="1:19" ht="12">
      <c r="A327" s="19"/>
      <c r="B327" s="39"/>
      <c r="C327" s="19"/>
      <c r="D327" s="19"/>
      <c r="E327" s="19"/>
      <c r="F327" s="22"/>
      <c r="G327" s="40"/>
      <c r="J327" s="43"/>
      <c r="L327" s="799"/>
      <c r="Q327" s="5"/>
    </row>
    <row r="328" spans="1:19" ht="12">
      <c r="A328" s="19"/>
      <c r="B328" s="39"/>
      <c r="C328" s="19"/>
      <c r="D328" s="19"/>
      <c r="E328" s="19"/>
      <c r="F328" s="1017" t="s">
        <v>602</v>
      </c>
      <c r="J328" s="5"/>
      <c r="L328" s="793"/>
      <c r="Q328" s="40"/>
    </row>
    <row r="329" spans="1:19" ht="12">
      <c r="A329" s="20" t="s">
        <v>77</v>
      </c>
      <c r="B329" s="19"/>
      <c r="C329" s="19"/>
      <c r="D329" s="19"/>
      <c r="E329" s="29" t="s">
        <v>360</v>
      </c>
      <c r="F329" s="1018"/>
      <c r="G329" s="44" t="str">
        <f>G29</f>
        <v>Template</v>
      </c>
      <c r="H329" s="44" t="s">
        <v>261</v>
      </c>
      <c r="I329" s="44" t="str">
        <f>I29</f>
        <v>$</v>
      </c>
      <c r="J329" s="44" t="str">
        <f>J29</f>
        <v>%</v>
      </c>
      <c r="K329" s="28" t="s">
        <v>146</v>
      </c>
      <c r="L329" s="792" t="s">
        <v>536</v>
      </c>
      <c r="O329" s="43"/>
    </row>
    <row r="330" spans="1:19" ht="12">
      <c r="A330" s="20"/>
      <c r="B330" s="19"/>
      <c r="C330" s="19"/>
      <c r="D330" s="19"/>
      <c r="E330" s="19"/>
      <c r="F330" s="22"/>
      <c r="G330" s="5"/>
      <c r="J330" s="5"/>
      <c r="L330" s="793"/>
      <c r="Q330" s="256"/>
      <c r="S330" s="43"/>
    </row>
    <row r="331" spans="1:19" ht="12">
      <c r="A331" s="33" t="s">
        <v>629</v>
      </c>
      <c r="B331" s="19"/>
      <c r="C331" s="19"/>
      <c r="D331" s="19"/>
      <c r="E331" s="19"/>
      <c r="F331" s="22"/>
      <c r="G331" s="1"/>
      <c r="H331" s="5" t="str">
        <f>IF(ISNA(HLOOKUP($E$2,'HLookup Tables'!$H$13:$AL$443,296,FALSE)),"",(HLOOKUP($E$2,'HLookup Tables'!$H$13:$AL$443,296,FALSE)))</f>
        <v/>
      </c>
      <c r="I331" s="5" t="str">
        <f>IF(ISERR(G331-H331),"",(G331-H331))</f>
        <v/>
      </c>
      <c r="J331" s="164" t="str">
        <f>IF($E$7="","",IF(AND(G331=0,H331=0),"",IF(ISERR(I331/ABS(H331)),100%,I331/ABS(H331))))</f>
        <v/>
      </c>
      <c r="K331" s="310"/>
      <c r="L331" s="793"/>
      <c r="O331" s="5"/>
      <c r="Q331" s="5"/>
    </row>
    <row r="332" spans="1:19" ht="25.5" customHeight="1">
      <c r="A332" s="1034" t="s">
        <v>3390</v>
      </c>
      <c r="B332" s="1034"/>
      <c r="C332" s="1034"/>
      <c r="D332" s="1034"/>
      <c r="E332" s="1034"/>
      <c r="F332" s="22"/>
      <c r="G332" s="1"/>
      <c r="H332" s="5" t="str">
        <f>IF(ISNA(HLOOKUP($E$2,'HLookup Tables'!$H$13:$AL$443,297,FALSE)),"",(HLOOKUP($E$2,'HLookup Tables'!$H$13:$AL$443,297,FALSE)))</f>
        <v/>
      </c>
      <c r="I332" s="5" t="str">
        <f>IF(ISERR(G332-H332),"",(G332-H332))</f>
        <v/>
      </c>
      <c r="J332" s="164" t="str">
        <f>IF($E$7="","",IF(AND(G332=0,H332=0),"",IF(ISERR(I332/ABS(H332)),100%,I332/ABS(H332))))</f>
        <v/>
      </c>
      <c r="K332" s="310"/>
      <c r="L332" s="793"/>
      <c r="O332" s="5"/>
      <c r="Q332" s="5"/>
    </row>
    <row r="333" spans="1:19" ht="12">
      <c r="A333" s="33" t="s">
        <v>79</v>
      </c>
      <c r="B333" s="19"/>
      <c r="C333" s="19"/>
      <c r="D333" s="19"/>
      <c r="E333" s="19"/>
      <c r="F333" s="22"/>
      <c r="G333" s="1"/>
      <c r="H333" s="5" t="str">
        <f>IF(ISNA(HLOOKUP($E$2,'HLookup Tables'!$H$13:$AL$443,298,FALSE)),"",(HLOOKUP($E$2,'HLookup Tables'!$H$13:$AL$443,298,FALSE)))</f>
        <v/>
      </c>
      <c r="I333" s="5" t="str">
        <f>IF(ISERR(G333-H333),"",(G333-H333))</f>
        <v/>
      </c>
      <c r="J333" s="164" t="str">
        <f t="shared" ref="J333:J339" si="27">IF($E$7="","",IF(AND(G333=0,H333=0),"",IF(ISERR(I333/ABS(H333)),100%,I333/ABS(H333))))</f>
        <v/>
      </c>
      <c r="K333" s="310"/>
      <c r="L333" s="793"/>
      <c r="O333" s="5"/>
      <c r="Q333" s="5"/>
    </row>
    <row r="334" spans="1:19" ht="12">
      <c r="A334" s="33" t="s">
        <v>80</v>
      </c>
      <c r="B334" s="19"/>
      <c r="C334" s="19"/>
      <c r="D334" s="19"/>
      <c r="E334" s="19"/>
      <c r="F334" s="22"/>
      <c r="G334" s="1"/>
      <c r="H334" s="5" t="str">
        <f>IF(ISNA(HLOOKUP($E$2,'HLookup Tables'!$H$13:$AL$443,299,FALSE)),"",(HLOOKUP($E$2,'HLookup Tables'!$H$13:$AL$443,299,FALSE)))</f>
        <v/>
      </c>
      <c r="I334" s="5" t="str">
        <f>IF(ISERR(G334-H334),"",(G334-H334))</f>
        <v/>
      </c>
      <c r="J334" s="164" t="str">
        <f t="shared" si="27"/>
        <v/>
      </c>
      <c r="K334" s="310"/>
      <c r="L334" s="793"/>
      <c r="O334" s="5"/>
      <c r="Q334" s="5"/>
    </row>
    <row r="335" spans="1:19" ht="12" hidden="1">
      <c r="A335" s="635" t="s">
        <v>33</v>
      </c>
      <c r="B335" s="19"/>
      <c r="C335" s="19"/>
      <c r="D335" s="19"/>
      <c r="E335" s="19"/>
      <c r="F335" s="22"/>
      <c r="G335" s="309"/>
      <c r="H335" s="5">
        <v>0</v>
      </c>
      <c r="I335" s="5">
        <f t="shared" ref="I335:I336" si="28">IF(ISERR(G335-H335),"",(G335-H335))</f>
        <v>0</v>
      </c>
      <c r="J335" s="164" t="str">
        <f t="shared" si="27"/>
        <v/>
      </c>
      <c r="K335" s="310"/>
      <c r="L335" s="793"/>
      <c r="O335" s="5"/>
      <c r="Q335" s="5"/>
    </row>
    <row r="336" spans="1:19" ht="10.5" hidden="1" customHeight="1">
      <c r="A336" s="635" t="s">
        <v>796</v>
      </c>
      <c r="B336" s="19"/>
      <c r="C336" s="19"/>
      <c r="D336" s="19"/>
      <c r="E336" s="19"/>
      <c r="F336" s="22"/>
      <c r="G336" s="309"/>
      <c r="H336" s="5">
        <v>0</v>
      </c>
      <c r="I336" s="5">
        <f t="shared" si="28"/>
        <v>0</v>
      </c>
      <c r="J336" s="164" t="str">
        <f t="shared" si="27"/>
        <v/>
      </c>
      <c r="K336" s="310"/>
      <c r="L336" s="793"/>
      <c r="O336" s="5"/>
      <c r="Q336" s="5"/>
    </row>
    <row r="337" spans="1:17" ht="12">
      <c r="A337" s="33"/>
      <c r="B337" s="19"/>
      <c r="C337" s="19"/>
      <c r="D337" s="19"/>
      <c r="E337" s="19"/>
      <c r="F337" s="22"/>
      <c r="G337" s="5"/>
      <c r="H337" s="5"/>
      <c r="I337" s="5"/>
      <c r="J337" s="164"/>
      <c r="L337" s="793"/>
      <c r="O337" s="5"/>
      <c r="Q337" s="5"/>
    </row>
    <row r="338" spans="1:17" ht="12">
      <c r="A338" s="39" t="s">
        <v>322</v>
      </c>
      <c r="B338" s="19"/>
      <c r="C338" s="19"/>
      <c r="D338" s="19"/>
      <c r="E338" s="598" t="str">
        <f>IF(G338&lt;&gt;0,"Answer Required","N/A")</f>
        <v>N/A</v>
      </c>
      <c r="F338" s="22"/>
      <c r="G338" s="1"/>
      <c r="H338" s="5" t="str">
        <f>IF(ISNA(HLOOKUP($E$2,'HLookup Tables'!$H$13:$AL$443,303,FALSE)),"",(HLOOKUP($E$2,'HLookup Tables'!$H$13:$AL$443,303,FALSE)))</f>
        <v/>
      </c>
      <c r="I338" s="5" t="str">
        <f>IF(ISERR(G338-H338),"",(G338-H338))</f>
        <v/>
      </c>
      <c r="J338" s="164" t="str">
        <f t="shared" si="27"/>
        <v/>
      </c>
      <c r="K338" s="310"/>
      <c r="L338" s="793"/>
      <c r="O338" s="5"/>
      <c r="Q338" s="5"/>
    </row>
    <row r="339" spans="1:17" ht="12">
      <c r="A339" s="39" t="s">
        <v>322</v>
      </c>
      <c r="B339" s="19"/>
      <c r="C339" s="19"/>
      <c r="D339" s="19"/>
      <c r="E339" s="598" t="str">
        <f>IF(G339&lt;&gt;0,"Answer Required","N/A")</f>
        <v>N/A</v>
      </c>
      <c r="F339" s="22"/>
      <c r="G339" s="16"/>
      <c r="H339" s="5" t="str">
        <f>IF(ISNA(HLOOKUP($E$2,'HLookup Tables'!$H$13:$AL$443,304,FALSE)),"",(HLOOKUP($E$2,'HLookup Tables'!$H$13:$AL$443,304,FALSE)))</f>
        <v/>
      </c>
      <c r="I339" s="5" t="str">
        <f>IF(ISERR(G339-H339),"",(G339-H339))</f>
        <v/>
      </c>
      <c r="J339" s="164" t="str">
        <f t="shared" si="27"/>
        <v/>
      </c>
      <c r="K339" s="310"/>
      <c r="L339" s="793"/>
      <c r="O339" s="5"/>
      <c r="Q339" s="5"/>
    </row>
    <row r="340" spans="1:17" ht="12">
      <c r="A340" s="33"/>
      <c r="B340" s="31" t="s">
        <v>81</v>
      </c>
      <c r="C340" s="19"/>
      <c r="D340" s="19"/>
      <c r="E340" s="19"/>
      <c r="F340" s="22"/>
      <c r="G340" s="32">
        <f>SUM(G338:G339)</f>
        <v>0</v>
      </c>
      <c r="H340" s="32">
        <f>SUM(H338:H339)</f>
        <v>0</v>
      </c>
      <c r="I340" s="32">
        <f>SUM(I338:I339)</f>
        <v>0</v>
      </c>
      <c r="J340" s="165" t="str">
        <f>IF(I340=0,"0%",IF(ISERR(I340/ABS(H340)),100%,I340/ABS(H340)))</f>
        <v>0%</v>
      </c>
      <c r="L340" s="793"/>
      <c r="O340" s="5"/>
      <c r="Q340" s="5"/>
    </row>
    <row r="341" spans="1:17" ht="12">
      <c r="A341" s="33"/>
      <c r="B341" s="19"/>
      <c r="C341" s="19"/>
      <c r="D341" s="19"/>
      <c r="E341" s="19"/>
      <c r="F341" s="22"/>
      <c r="G341" s="5"/>
      <c r="H341" s="5"/>
      <c r="I341" s="5"/>
      <c r="J341" s="164"/>
      <c r="L341" s="793"/>
      <c r="O341" s="5"/>
      <c r="Q341" s="5"/>
    </row>
    <row r="342" spans="1:17" ht="12">
      <c r="A342" s="33"/>
      <c r="B342" s="19"/>
      <c r="C342" s="19"/>
      <c r="D342" s="19"/>
      <c r="E342" s="19"/>
      <c r="F342" s="22"/>
      <c r="G342" s="5"/>
      <c r="H342" s="5"/>
      <c r="I342" s="5"/>
      <c r="J342" s="164"/>
      <c r="L342" s="793"/>
      <c r="O342" s="5"/>
      <c r="Q342" s="5"/>
    </row>
    <row r="343" spans="1:17" ht="12">
      <c r="A343" s="39" t="s">
        <v>323</v>
      </c>
      <c r="B343" s="19"/>
      <c r="C343" s="19"/>
      <c r="D343" s="19"/>
      <c r="E343" s="598" t="str">
        <f>IF(G343&lt;&gt;0,"Answer Required","N/A")</f>
        <v>N/A</v>
      </c>
      <c r="F343" s="22"/>
      <c r="G343" s="1"/>
      <c r="H343" s="5" t="str">
        <f>IF(ISNA(HLOOKUP($E$2,'HLookup Tables'!$H$13:$AL$443,308,FALSE)),"",(HLOOKUP($E$2,'HLookup Tables'!$H$13:$AL$443,308,FALSE)))</f>
        <v/>
      </c>
      <c r="I343" s="5" t="str">
        <f>IF(ISERR(G343-H343),"",(G343-H343))</f>
        <v/>
      </c>
      <c r="J343" s="164" t="str">
        <f>IF($E$7="","",IF(AND(G343=0,H343=0),"",IF(ISERR(I343/ABS(H343)),100%,I343/ABS(H343))))</f>
        <v/>
      </c>
      <c r="K343" s="310"/>
      <c r="L343" s="793"/>
      <c r="O343" s="5"/>
      <c r="Q343" s="5"/>
    </row>
    <row r="344" spans="1:17" ht="12">
      <c r="A344" s="39" t="s">
        <v>323</v>
      </c>
      <c r="B344" s="19"/>
      <c r="C344" s="19"/>
      <c r="D344" s="19"/>
      <c r="E344" s="598" t="str">
        <f>IF(G344&lt;&gt;0,"Answer Required","N/A")</f>
        <v>N/A</v>
      </c>
      <c r="F344" s="22"/>
      <c r="G344" s="16"/>
      <c r="H344" s="5" t="str">
        <f>IF(ISNA(HLOOKUP($E$2,'HLookup Tables'!$H$13:$AL$443,309,FALSE)),"",(HLOOKUP($E$2,'HLookup Tables'!$H$13:$AL$443,309,FALSE)))</f>
        <v/>
      </c>
      <c r="I344" s="5" t="str">
        <f>IF(ISERR(G344-H344),"",(G344-H344))</f>
        <v/>
      </c>
      <c r="J344" s="164" t="str">
        <f>IF($E$7="","",IF(AND(G344=0,H344=0),"",IF(ISERR(I344/ABS(H344)),100%,I344/ABS(H344))))</f>
        <v/>
      </c>
      <c r="K344" s="310"/>
      <c r="L344" s="793"/>
      <c r="O344" s="5"/>
      <c r="Q344" s="5"/>
    </row>
    <row r="345" spans="1:17" ht="12">
      <c r="A345" s="39"/>
      <c r="B345" s="31" t="s">
        <v>82</v>
      </c>
      <c r="C345" s="19"/>
      <c r="D345" s="19"/>
      <c r="E345" s="19"/>
      <c r="F345" s="22"/>
      <c r="G345" s="32">
        <f>SUM(G343:G344)</f>
        <v>0</v>
      </c>
      <c r="H345" s="32">
        <f>SUM(H343:H344)</f>
        <v>0</v>
      </c>
      <c r="I345" s="32">
        <f>SUM(I343:I344)</f>
        <v>0</v>
      </c>
      <c r="J345" s="165" t="str">
        <f>IF(I345=0,"0%",IF(ISERR(I345/ABS(H345)),100%,I345/ABS(H345)))</f>
        <v>0%</v>
      </c>
      <c r="L345" s="793"/>
      <c r="O345" s="5"/>
      <c r="Q345" s="5"/>
    </row>
    <row r="346" spans="1:17" ht="12">
      <c r="A346" s="39"/>
      <c r="B346" s="31"/>
      <c r="C346" s="19"/>
      <c r="D346" s="19"/>
      <c r="E346" s="19"/>
      <c r="F346" s="22"/>
      <c r="G346" s="5"/>
      <c r="H346" s="5"/>
      <c r="I346" s="5"/>
      <c r="J346" s="164"/>
      <c r="L346" s="793"/>
      <c r="O346" s="5"/>
      <c r="Q346" s="5"/>
    </row>
    <row r="347" spans="1:17" ht="12">
      <c r="A347" s="19"/>
      <c r="B347" s="33" t="s">
        <v>83</v>
      </c>
      <c r="C347" s="19"/>
      <c r="D347" s="19"/>
      <c r="E347" s="19"/>
      <c r="F347" s="22"/>
      <c r="G347" s="32">
        <f>SUM(G331:G336,G340,G345)</f>
        <v>0</v>
      </c>
      <c r="H347" s="32">
        <f>SUM(H331:H334,H340,H345)</f>
        <v>0</v>
      </c>
      <c r="I347" s="32">
        <f>SUM(I331:I336,I340,I345)</f>
        <v>0</v>
      </c>
      <c r="J347" s="165" t="str">
        <f>IF(I347=0,"0%",IF(ISERR(I347/ABS(H347)),100%,I347/ABS(H347)))</f>
        <v>0%</v>
      </c>
      <c r="L347" s="793"/>
      <c r="O347" s="5"/>
      <c r="Q347" s="5"/>
    </row>
    <row r="348" spans="1:17" ht="12">
      <c r="A348" s="19"/>
      <c r="B348" s="39"/>
      <c r="C348" s="19"/>
      <c r="D348" s="19"/>
      <c r="E348" s="19"/>
      <c r="F348" s="22"/>
      <c r="G348" s="5"/>
      <c r="H348" s="5"/>
      <c r="I348" s="5"/>
      <c r="J348" s="164"/>
      <c r="L348" s="793"/>
      <c r="O348" s="5"/>
      <c r="Q348" s="5"/>
    </row>
    <row r="349" spans="1:17" ht="12">
      <c r="A349" s="20" t="s">
        <v>84</v>
      </c>
      <c r="B349" s="19"/>
      <c r="C349" s="19"/>
      <c r="D349" s="19"/>
      <c r="E349" s="19"/>
      <c r="F349" s="22"/>
      <c r="G349" s="5"/>
      <c r="H349" s="5"/>
      <c r="I349" s="5"/>
      <c r="J349" s="164"/>
      <c r="L349" s="793"/>
      <c r="O349" s="5"/>
      <c r="Q349" s="5"/>
    </row>
    <row r="350" spans="1:17" ht="12">
      <c r="A350" s="33" t="s">
        <v>85</v>
      </c>
      <c r="B350" s="19"/>
      <c r="C350" s="19"/>
      <c r="D350" s="19"/>
      <c r="E350" s="19"/>
      <c r="F350" s="22"/>
      <c r="G350" s="1"/>
      <c r="H350" s="5" t="str">
        <f>IF(ISNA(HLOOKUP($E$2,'HLookup Tables'!$H$13:$AL$443,315,FALSE)),"",(HLOOKUP($E$2,'HLookup Tables'!$H$13:$AL$443,315,FALSE)))</f>
        <v/>
      </c>
      <c r="I350" s="5" t="str">
        <f>IF(ISERR(G350-H350),"",(G350-H350))</f>
        <v/>
      </c>
      <c r="J350" s="164" t="str">
        <f>IF($E$7="","",IF(AND(G350=0,H350=0),"",IF(ISERR(I350/ABS(H350)),100%,I350/ABS(H350))))</f>
        <v/>
      </c>
      <c r="K350" s="310"/>
      <c r="L350" s="793"/>
      <c r="O350" s="5"/>
      <c r="Q350" s="5"/>
    </row>
    <row r="351" spans="1:17" ht="12">
      <c r="A351" s="33" t="s">
        <v>86</v>
      </c>
      <c r="B351" s="19"/>
      <c r="C351" s="19"/>
      <c r="D351" s="19"/>
      <c r="E351" s="19"/>
      <c r="F351" s="22"/>
      <c r="G351" s="1"/>
      <c r="H351" s="5" t="str">
        <f>IF(ISNA(HLOOKUP($E$2,'HLookup Tables'!$H$13:$AL$443,316,FALSE)),"",(HLOOKUP($E$2,'HLookup Tables'!$H$13:$AL$443,316,FALSE)))</f>
        <v/>
      </c>
      <c r="I351" s="5" t="str">
        <f>IF(ISERR(G351-H351),"",(G351-H351))</f>
        <v/>
      </c>
      <c r="J351" s="164" t="str">
        <f>IF($E$7="","",IF(AND(G351=0,H351=0),"",IF(ISERR(I351/ABS(H351)),100%,I351/ABS(H351))))</f>
        <v/>
      </c>
      <c r="K351" s="310"/>
      <c r="L351" s="793"/>
      <c r="O351" s="5"/>
      <c r="Q351" s="5"/>
    </row>
    <row r="352" spans="1:17" ht="12">
      <c r="A352" s="33" t="s">
        <v>87</v>
      </c>
      <c r="B352" s="19"/>
      <c r="C352" s="19"/>
      <c r="D352" s="19"/>
      <c r="E352" s="19"/>
      <c r="F352" s="22"/>
      <c r="G352" s="16"/>
      <c r="H352" s="5" t="str">
        <f>IF(ISNA(HLOOKUP($E$2,'HLookup Tables'!$H$13:$AL$443,317,FALSE)),"",(HLOOKUP($E$2,'HLookup Tables'!$H$13:$AL$443,317,FALSE)))</f>
        <v/>
      </c>
      <c r="I352" s="5" t="str">
        <f>IF(ISERR(G352-H352),"",(G352-H352))</f>
        <v/>
      </c>
      <c r="J352" s="164" t="str">
        <f>IF($E$7="","",IF(AND(G352=0,H352=0),"",IF(ISERR(I352/ABS(H352)),100%,I352/ABS(H352))))</f>
        <v/>
      </c>
      <c r="K352" s="310"/>
      <c r="L352" s="793"/>
      <c r="O352" s="5"/>
      <c r="Q352" s="5"/>
    </row>
    <row r="353" spans="1:17" ht="12">
      <c r="A353" s="19"/>
      <c r="B353" s="33" t="s">
        <v>88</v>
      </c>
      <c r="C353" s="19"/>
      <c r="D353" s="19"/>
      <c r="E353" s="19"/>
      <c r="F353" s="22"/>
      <c r="G353" s="32">
        <f>SUM(G350:G352)</f>
        <v>0</v>
      </c>
      <c r="H353" s="32">
        <f>SUM(H350:H352)</f>
        <v>0</v>
      </c>
      <c r="I353" s="32">
        <f>SUM(I350:I352)</f>
        <v>0</v>
      </c>
      <c r="J353" s="165" t="str">
        <f>IF(I353=0,"0%",IF(ISERR(I353/ABS(H353)),100%,I353/ABS(H353)))</f>
        <v>0%</v>
      </c>
      <c r="L353" s="793"/>
      <c r="O353" s="5"/>
      <c r="Q353" s="5"/>
    </row>
    <row r="354" spans="1:17" ht="12">
      <c r="A354" s="33"/>
      <c r="B354" s="19"/>
      <c r="C354" s="19"/>
      <c r="D354" s="19"/>
      <c r="E354" s="19"/>
      <c r="F354" s="22"/>
      <c r="G354" s="5"/>
      <c r="H354" s="5"/>
      <c r="I354" s="5"/>
      <c r="J354" s="164"/>
      <c r="L354" s="793"/>
      <c r="O354" s="5"/>
      <c r="Q354" s="5"/>
    </row>
    <row r="355" spans="1:17" ht="12">
      <c r="A355" s="19"/>
      <c r="B355" s="19"/>
      <c r="C355" s="33" t="s">
        <v>90</v>
      </c>
      <c r="D355" s="19"/>
      <c r="E355" s="19"/>
      <c r="F355" s="22"/>
      <c r="G355" s="32">
        <f>SUM(G301,G320,G347,G353)</f>
        <v>0</v>
      </c>
      <c r="H355" s="32">
        <f>SUM(H301,H320,H347,H353)</f>
        <v>0</v>
      </c>
      <c r="I355" s="32">
        <f>SUM(I301,I320,I347,I353)</f>
        <v>0</v>
      </c>
      <c r="J355" s="165" t="str">
        <f>IF(I355=0,"0%",IF(ISERR(I355/ABS(H355)),100%,I355/ABS(H355)))</f>
        <v>0%</v>
      </c>
      <c r="L355" s="793"/>
      <c r="O355" s="5"/>
      <c r="Q355" s="5"/>
    </row>
    <row r="356" spans="1:17" ht="12">
      <c r="A356" s="45" t="s">
        <v>277</v>
      </c>
      <c r="B356" s="19"/>
      <c r="C356" s="19"/>
      <c r="D356" s="19"/>
      <c r="E356" s="19"/>
      <c r="F356" s="30" t="s">
        <v>130</v>
      </c>
      <c r="G356" s="17"/>
      <c r="H356" s="5" t="str">
        <f>IF(ISNA(HLOOKUP($E$2,'HLookup Tables'!$H$13:$AL$443,321,FALSE)),"",(HLOOKUP($E$2,'HLookup Tables'!$H$13:$AL$443,321,FALSE)))</f>
        <v/>
      </c>
      <c r="I356" s="5" t="str">
        <f>IF(ISERR(G356-H356),"",(G356-H356))</f>
        <v/>
      </c>
      <c r="J356" s="164" t="str">
        <f>IF($E$7="","",IF(AND(G356=0,H356=0),"",IF(ISERR(I356/ABS(H356)),100%,I356/ABS(H356))))</f>
        <v/>
      </c>
      <c r="O356" s="5"/>
      <c r="Q356" s="5"/>
    </row>
    <row r="357" spans="1:17" thickBot="1">
      <c r="A357" s="45" t="s">
        <v>278</v>
      </c>
      <c r="B357" s="19"/>
      <c r="C357" s="19"/>
      <c r="D357" s="19"/>
      <c r="E357" s="19"/>
      <c r="F357" s="22"/>
      <c r="G357" s="37">
        <f>SUM(G355:G356)</f>
        <v>0</v>
      </c>
      <c r="H357" s="37">
        <f>SUM(H355:H356)</f>
        <v>0</v>
      </c>
      <c r="I357" s="37">
        <f>SUM(I355:I356)</f>
        <v>0</v>
      </c>
      <c r="J357" s="165" t="str">
        <f>IF(I357=0,"0%",IF(ISERR(I357/ABS(H357)),100%,I357/ABS(H357)))</f>
        <v>0%</v>
      </c>
      <c r="L357" s="795"/>
      <c r="O357" s="5"/>
      <c r="Q357" s="5"/>
    </row>
    <row r="358" spans="1:17" thickTop="1">
      <c r="A358" s="20"/>
      <c r="B358" s="19"/>
      <c r="C358" s="19"/>
      <c r="D358" s="19"/>
      <c r="E358" s="19"/>
      <c r="F358" s="22"/>
      <c r="H358" s="5"/>
      <c r="I358" s="5"/>
      <c r="J358" s="164"/>
      <c r="O358" s="5"/>
      <c r="Q358" s="5"/>
    </row>
    <row r="359" spans="1:17" ht="12">
      <c r="A359" s="19"/>
      <c r="B359" s="19"/>
      <c r="C359" s="19"/>
      <c r="D359" s="19"/>
      <c r="E359" s="19"/>
      <c r="F359" s="46"/>
      <c r="G359" s="27"/>
      <c r="H359" s="5"/>
      <c r="I359" s="5"/>
      <c r="J359" s="164"/>
      <c r="L359" s="793"/>
      <c r="O359" s="5"/>
    </row>
    <row r="360" spans="1:17" ht="12">
      <c r="A360" s="45" t="s">
        <v>142</v>
      </c>
      <c r="B360" s="19"/>
      <c r="C360" s="19"/>
      <c r="D360" s="19"/>
      <c r="E360" s="19"/>
      <c r="F360" s="22"/>
      <c r="H360" s="5"/>
      <c r="I360" s="5"/>
      <c r="J360" s="164"/>
      <c r="L360" s="793"/>
      <c r="O360" s="5"/>
      <c r="Q360" s="27"/>
    </row>
    <row r="361" spans="1:17" ht="12">
      <c r="A361" s="39"/>
      <c r="B361" s="19"/>
      <c r="C361" s="19"/>
      <c r="D361" s="31" t="s">
        <v>143</v>
      </c>
      <c r="E361" s="19"/>
      <c r="F361" s="22"/>
      <c r="G361" s="5">
        <f>G39</f>
        <v>0</v>
      </c>
      <c r="H361" s="5" t="str">
        <f>IF(ISNA(HLOOKUP($E$2,'HLookup Tables'!$H$13:$AL$443,322,FALSE)),"",(HLOOKUP($E$2,'HLookup Tables'!$H$13:$AL$443,326,FALSE)))</f>
        <v/>
      </c>
      <c r="I361" s="5" t="str">
        <f>IF(ISERR(G361-H361),"",(G361-H361))</f>
        <v/>
      </c>
      <c r="J361" s="164" t="str">
        <f>IF($E$7="","",IF(AND(G361=0,H361=0),"",IF(ISERR(I361/ABS(H361)),100%,I361/ABS(H361))))</f>
        <v/>
      </c>
      <c r="L361" s="793"/>
      <c r="O361" s="5"/>
    </row>
    <row r="362" spans="1:17" ht="12">
      <c r="A362" s="39"/>
      <c r="B362" s="19"/>
      <c r="C362" s="19"/>
      <c r="D362" s="31" t="s">
        <v>144</v>
      </c>
      <c r="E362" s="19"/>
      <c r="F362" s="22"/>
      <c r="G362" s="5">
        <f>G65</f>
        <v>0</v>
      </c>
      <c r="H362" s="5" t="str">
        <f>IF(ISNA(HLOOKUP($E$2,'HLookup Tables'!$H$13:$AL$443,323,FALSE)),"",(HLOOKUP($E$2,'HLookup Tables'!$H$13:$AL$443,327,FALSE)))</f>
        <v/>
      </c>
      <c r="I362" s="5" t="str">
        <f>IF(ISERR(G362-H362),"",(G362-H362))</f>
        <v/>
      </c>
      <c r="J362" s="164" t="str">
        <f>IF($E$7="","",IF(AND(G362=0,H362=0),"",IF(ISERR(I362/ABS(H362)),100%,I362/ABS(H362))))</f>
        <v/>
      </c>
      <c r="O362" s="5"/>
      <c r="Q362" s="5"/>
    </row>
    <row r="363" spans="1:17" ht="12">
      <c r="A363" s="39"/>
      <c r="B363" s="19"/>
      <c r="C363" s="5" t="s">
        <v>422</v>
      </c>
      <c r="D363" s="5"/>
      <c r="E363" s="19"/>
      <c r="F363" s="22"/>
      <c r="G363" s="5"/>
      <c r="H363" s="5"/>
      <c r="I363" s="5"/>
      <c r="J363" s="164"/>
      <c r="O363" s="5"/>
      <c r="Q363" s="5"/>
    </row>
    <row r="364" spans="1:17" ht="12">
      <c r="A364" s="39"/>
      <c r="B364" s="19"/>
      <c r="C364" s="5"/>
      <c r="D364" s="199" t="s">
        <v>43</v>
      </c>
      <c r="E364" s="31"/>
      <c r="F364" s="22"/>
      <c r="G364" s="197">
        <f>-G36</f>
        <v>0</v>
      </c>
      <c r="H364" s="197" t="str">
        <f>IF(ISNA(HLOOKUP($E$2,'HLookup Tables'!$H$13:$AL$443,325,FALSE)),"",(HLOOKUP($E$2,'HLookup Tables'!$H$13:$AL$443,329,FALSE)))</f>
        <v/>
      </c>
      <c r="I364" s="5" t="str">
        <f>IF(ISERR(G364-H364),"",(G364-H364))</f>
        <v/>
      </c>
      <c r="J364" s="164" t="str">
        <f>IF($E$7="","",IF(AND(G364=0,H364=0),"",IF(ISERR(I364/ABS(H364)),100%,I364/ABS(H364))))</f>
        <v/>
      </c>
      <c r="O364" s="5"/>
      <c r="Q364" s="5"/>
    </row>
    <row r="365" spans="1:17" ht="51" customHeight="1" thickBot="1">
      <c r="A365" s="230" t="s">
        <v>145</v>
      </c>
      <c r="B365" s="231"/>
      <c r="C365" s="231"/>
      <c r="D365" s="231"/>
      <c r="E365" s="47"/>
      <c r="F365" s="30"/>
      <c r="G365" s="386">
        <f>IF(SUM(G361:G364)=G357,SUM(G361:G364),"Must equal end of year balance per Stmt. Of Cash Flows")</f>
        <v>0</v>
      </c>
      <c r="H365" s="387">
        <f>IF(SUM(H361:H364)=H357,SUM(H361:H364),"Must equal end of year balance per Stmt. Of Cash Flows")</f>
        <v>0</v>
      </c>
      <c r="I365" s="386">
        <f>IF(SUM(I361:I364)=I357,SUM(I361:I364),"Must equal end of year balance per Stmt. Of Cash Flows")</f>
        <v>0</v>
      </c>
      <c r="J365" s="165" t="str">
        <f>IF(I365=0,"0%",IF(ISERR(I365/ABS(H365)),100%,I365/ABS(H365)))</f>
        <v>0%</v>
      </c>
      <c r="O365" s="202"/>
    </row>
    <row r="366" spans="1:17" thickTop="1">
      <c r="A366" s="39"/>
      <c r="B366" s="19"/>
      <c r="C366" s="19"/>
      <c r="D366" s="19"/>
      <c r="E366" s="19"/>
      <c r="F366" s="289" t="s">
        <v>440</v>
      </c>
      <c r="G366" s="790">
        <f>SUM(G361:G364)-G357</f>
        <v>0</v>
      </c>
    </row>
    <row r="367" spans="1:17" ht="12">
      <c r="A367" s="39"/>
      <c r="B367" s="19"/>
      <c r="C367" s="19"/>
      <c r="D367" s="19"/>
      <c r="E367" s="19"/>
      <c r="F367" s="22"/>
    </row>
    <row r="368" spans="1:17" ht="12.75" customHeight="1">
      <c r="A368" s="1022" t="str">
        <f>A7</f>
        <v>Fund Name:</v>
      </c>
      <c r="B368" s="1022"/>
      <c r="C368" s="1022"/>
      <c r="D368" s="1022"/>
      <c r="E368" s="20" t="str">
        <f>E7</f>
        <v/>
      </c>
      <c r="F368" s="22"/>
    </row>
    <row r="369" spans="1:19" ht="12">
      <c r="A369" s="20"/>
      <c r="B369" s="34"/>
      <c r="C369" s="34"/>
      <c r="D369" s="34"/>
      <c r="E369" s="19"/>
      <c r="F369" s="22"/>
    </row>
    <row r="370" spans="1:19" ht="15" customHeight="1">
      <c r="A370" s="20" t="s">
        <v>282</v>
      </c>
      <c r="B370" s="34"/>
      <c r="C370" s="34"/>
      <c r="D370" s="34"/>
      <c r="E370" s="34"/>
      <c r="F370" s="22"/>
      <c r="J370" s="27"/>
      <c r="L370" s="795"/>
    </row>
    <row r="371" spans="1:19" ht="12">
      <c r="A371" s="38" t="str">
        <f>A326</f>
        <v>For the Year Ended June 30, 2024</v>
      </c>
      <c r="B371" s="28"/>
      <c r="C371" s="28"/>
      <c r="D371" s="28"/>
      <c r="E371" s="34"/>
      <c r="F371" s="22"/>
    </row>
    <row r="372" spans="1:19" ht="12">
      <c r="A372" s="34"/>
      <c r="B372" s="19"/>
      <c r="C372" s="19"/>
      <c r="D372" s="19"/>
      <c r="E372" s="19"/>
      <c r="F372" s="22"/>
      <c r="G372" s="27"/>
      <c r="J372" s="25"/>
      <c r="L372" s="794"/>
    </row>
    <row r="373" spans="1:19" ht="12">
      <c r="A373" s="20" t="s">
        <v>91</v>
      </c>
      <c r="B373" s="19"/>
      <c r="C373" s="19"/>
      <c r="D373" s="19"/>
      <c r="E373" s="19"/>
      <c r="F373" s="1017" t="s">
        <v>602</v>
      </c>
      <c r="Q373" s="27"/>
    </row>
    <row r="374" spans="1:19" ht="12">
      <c r="A374" s="38" t="s">
        <v>92</v>
      </c>
      <c r="B374" s="23"/>
      <c r="C374" s="23"/>
      <c r="D374" s="23"/>
      <c r="E374" s="29" t="s">
        <v>360</v>
      </c>
      <c r="F374" s="1018"/>
      <c r="G374" s="29" t="str">
        <f>G29</f>
        <v>Template</v>
      </c>
      <c r="H374" s="29" t="s">
        <v>261</v>
      </c>
      <c r="I374" s="29" t="str">
        <f>I29</f>
        <v>$</v>
      </c>
      <c r="J374" s="29" t="str">
        <f>J29</f>
        <v>%</v>
      </c>
      <c r="K374" s="28" t="s">
        <v>146</v>
      </c>
      <c r="L374" s="792" t="s">
        <v>536</v>
      </c>
      <c r="O374" s="25"/>
    </row>
    <row r="375" spans="1:19" ht="12">
      <c r="A375" s="20"/>
      <c r="B375" s="19"/>
      <c r="C375" s="19"/>
      <c r="D375" s="19"/>
      <c r="E375" s="19"/>
      <c r="F375" s="22"/>
      <c r="J375" s="5"/>
      <c r="L375" s="793"/>
      <c r="Q375" s="258"/>
      <c r="S375" s="25"/>
    </row>
    <row r="376" spans="1:19" ht="12">
      <c r="A376" s="19"/>
      <c r="B376" s="33" t="s">
        <v>136</v>
      </c>
      <c r="C376" s="19"/>
      <c r="D376" s="19"/>
      <c r="E376" s="19"/>
      <c r="F376" s="22"/>
      <c r="G376" s="5">
        <f>G240</f>
        <v>0</v>
      </c>
      <c r="H376" s="5" t="str">
        <f>IF(ISNA(HLOOKUP($E$2,'HLookup Tables'!$H$13:$AL$443,341,FALSE)),"",(HLOOKUP($E$2,'HLookup Tables'!$H$13:$AL$443,341,FALSE)))</f>
        <v/>
      </c>
      <c r="I376" s="5" t="str">
        <f>IF(ISERR(G376-H376),"",(G376-H376))</f>
        <v/>
      </c>
      <c r="J376" s="164" t="str">
        <f>IF($E$7="","",IF(AND(G376=0,H376=0),"",IF(ISERR(I376/ABS(H376)),100%,I376/ABS(H376))))</f>
        <v/>
      </c>
      <c r="L376" s="793"/>
      <c r="O376" s="5"/>
    </row>
    <row r="377" spans="1:19" ht="12">
      <c r="A377" s="19"/>
      <c r="B377" s="19"/>
      <c r="C377" s="20" t="s">
        <v>93</v>
      </c>
      <c r="D377" s="19"/>
      <c r="E377" s="19"/>
      <c r="F377" s="22"/>
      <c r="G377" s="5"/>
      <c r="H377" s="5"/>
      <c r="I377" s="5"/>
      <c r="J377" s="164"/>
      <c r="L377" s="793"/>
      <c r="O377" s="5"/>
      <c r="Q377" s="5"/>
    </row>
    <row r="378" spans="1:19" ht="12">
      <c r="A378" s="19"/>
      <c r="B378" s="19"/>
      <c r="C378" s="20" t="s">
        <v>94</v>
      </c>
      <c r="D378" s="19"/>
      <c r="E378" s="19"/>
      <c r="F378" s="22"/>
      <c r="G378" s="5"/>
      <c r="H378" s="5"/>
      <c r="I378" s="5"/>
      <c r="J378" s="164"/>
      <c r="L378" s="793"/>
      <c r="O378" s="5"/>
      <c r="Q378" s="5"/>
    </row>
    <row r="379" spans="1:19" ht="12">
      <c r="A379" s="19"/>
      <c r="B379" s="19"/>
      <c r="C379" s="19"/>
      <c r="D379" s="33" t="s">
        <v>137</v>
      </c>
      <c r="E379" s="19"/>
      <c r="F379" s="22"/>
      <c r="G379" s="5">
        <f>G227</f>
        <v>0</v>
      </c>
      <c r="H379" s="5" t="str">
        <f>IF(ISNA(HLOOKUP($E$2,'HLookup Tables'!$H$13:$AL$443,344,FALSE)),"",(HLOOKUP($E$2,'HLookup Tables'!$H$13:$AL$443,344,FALSE)))</f>
        <v/>
      </c>
      <c r="I379" s="5" t="str">
        <f>IF(ISERR(G379-H379),"",(G379-H379))</f>
        <v/>
      </c>
      <c r="J379" s="164" t="str">
        <f>IF($E$7="","",IF(AND(G379=0,H379=0),"",IF(ISERR(I379/ABS(H379)),100%,I379/ABS(H379))))</f>
        <v/>
      </c>
      <c r="L379" s="793"/>
      <c r="O379" s="5"/>
      <c r="Q379" s="5"/>
    </row>
    <row r="380" spans="1:19" ht="12">
      <c r="A380" s="19"/>
      <c r="B380" s="19"/>
      <c r="C380" s="19"/>
      <c r="D380" s="33" t="s">
        <v>42</v>
      </c>
      <c r="E380" s="19"/>
      <c r="F380" s="22"/>
      <c r="G380" s="1"/>
      <c r="H380" s="5" t="str">
        <f>IF(ISNA(HLOOKUP($E$2,'HLookup Tables'!$H$13:$AL$443,345,FALSE)),"",(HLOOKUP($E$2,'HLookup Tables'!$H$13:$AL$443,345,FALSE)))</f>
        <v/>
      </c>
      <c r="I380" s="5" t="str">
        <f>IF(ISERR(G380-H380),"",(G380-H380))</f>
        <v/>
      </c>
      <c r="J380" s="164" t="str">
        <f>IF($E$7="","",IF(AND(G380=0,H380=0),"",IF(ISERR(I380/ABS(H380)),100%,I380/ABS(H380))))</f>
        <v/>
      </c>
      <c r="L380" s="793"/>
      <c r="O380" s="5"/>
      <c r="Q380" s="5"/>
    </row>
    <row r="381" spans="1:19" ht="13.5" customHeight="1">
      <c r="A381" s="19"/>
      <c r="B381" s="19"/>
      <c r="C381" s="19"/>
      <c r="D381" s="33" t="s">
        <v>4</v>
      </c>
      <c r="E381" s="1015"/>
      <c r="F381" s="1016"/>
      <c r="G381" s="1"/>
      <c r="H381" s="5" t="str">
        <f>IF(ISNA(HLOOKUP($E$2,'HLookup Tables'!$H$13:$AL$443,346,FALSE)),"",(HLOOKUP($E$2,'HLookup Tables'!$H$13:$AL$443,346,FALSE)))</f>
        <v/>
      </c>
      <c r="I381" s="5" t="str">
        <f>IF(ISERR(G381-H381),"",(G381-H381))</f>
        <v/>
      </c>
      <c r="J381" s="164" t="str">
        <f>IF($E$7="","",IF(AND(G381=0,H381=0),"",IF(ISERR(I381/ABS(H381)),100%,I381/ABS(H381))))</f>
        <v/>
      </c>
      <c r="L381" s="793"/>
      <c r="O381" s="5"/>
      <c r="Q381" s="5"/>
    </row>
    <row r="382" spans="1:19" ht="12">
      <c r="A382" s="19"/>
      <c r="B382" s="19"/>
      <c r="C382" s="19"/>
      <c r="D382" s="33" t="s">
        <v>157</v>
      </c>
      <c r="E382" s="19"/>
      <c r="F382" s="22"/>
      <c r="G382" s="1"/>
      <c r="H382" s="5" t="str">
        <f>IF(ISNA(HLOOKUP($E$2,'HLookup Tables'!$H$13:$AL$443,347,FALSE)),"",(HLOOKUP($E$2,'HLookup Tables'!$H$13:$AL$443,347,FALSE)))</f>
        <v/>
      </c>
      <c r="I382" s="5" t="str">
        <f>IF(ISERR(G382-H382),"",(G382-H382))</f>
        <v/>
      </c>
      <c r="J382" s="164" t="str">
        <f>IF($E$7="","",IF(AND(G382=0,H382=0),"",IF(ISERR(I382/ABS(H382)),100%,I382/ABS(H382))))</f>
        <v/>
      </c>
      <c r="L382" s="793"/>
      <c r="O382" s="5"/>
      <c r="Q382" s="5"/>
    </row>
    <row r="383" spans="1:19" ht="12">
      <c r="A383" s="19"/>
      <c r="B383" s="19"/>
      <c r="C383" s="19"/>
      <c r="D383" s="33" t="s">
        <v>870</v>
      </c>
      <c r="E383" s="598" t="str">
        <f>IF(G383&lt;&gt;0,"Answer Required","N/A")</f>
        <v>N/A</v>
      </c>
      <c r="F383" s="22"/>
      <c r="G383" s="1"/>
      <c r="H383" s="5" t="str">
        <f>IF(ISNA(HLOOKUP($E$2,'HLookup Tables'!$H$13:$AL$443,348,FALSE)),"",(HLOOKUP($E$2,'HLookup Tables'!$H$13:$AL$443,348,FALSE)))</f>
        <v/>
      </c>
      <c r="I383" s="5" t="str">
        <f>IF(ISERR(G383-H383),"",(G383-H383))</f>
        <v/>
      </c>
      <c r="J383" s="164" t="str">
        <f>IF($E$7="","",IF(AND(G383=0,H383=0),"",IF(ISERR(I383/ABS(H383)),100%,I383/ABS(H383))))</f>
        <v/>
      </c>
      <c r="L383" s="793"/>
      <c r="O383" s="5"/>
      <c r="Q383" s="5"/>
    </row>
    <row r="384" spans="1:19" ht="12">
      <c r="A384" s="19"/>
      <c r="B384" s="19"/>
      <c r="C384" s="19"/>
      <c r="D384" s="39"/>
      <c r="E384" s="19"/>
      <c r="F384" s="22"/>
      <c r="G384" s="5"/>
      <c r="H384" s="5"/>
      <c r="I384" s="5"/>
      <c r="J384" s="164"/>
      <c r="L384" s="793"/>
      <c r="O384" s="5"/>
      <c r="Q384" s="5"/>
    </row>
    <row r="385" spans="1:17" ht="12">
      <c r="A385" s="19"/>
      <c r="B385" s="19"/>
      <c r="C385" s="39" t="s">
        <v>96</v>
      </c>
      <c r="D385" s="19"/>
      <c r="E385" s="19"/>
      <c r="F385" s="22"/>
      <c r="G385" s="5"/>
      <c r="H385" s="5"/>
      <c r="I385" s="5"/>
      <c r="J385" s="164"/>
      <c r="L385" s="793"/>
      <c r="O385" s="5"/>
      <c r="Q385" s="5"/>
    </row>
    <row r="386" spans="1:17" ht="12">
      <c r="A386" s="19"/>
      <c r="B386" s="19"/>
      <c r="C386" s="19"/>
      <c r="D386" s="33" t="s">
        <v>218</v>
      </c>
      <c r="E386" s="19"/>
      <c r="F386" s="30" t="s">
        <v>163</v>
      </c>
      <c r="G386" s="1"/>
      <c r="H386" s="5" t="str">
        <f>IF(ISNA(HLOOKUP($E$2,'HLookup Tables'!$H$13:$AL$443,351,FALSE)),"",(HLOOKUP($E$2,'HLookup Tables'!$H$13:$AL$443,351,FALSE)))</f>
        <v/>
      </c>
      <c r="I386" s="5" t="str">
        <f t="shared" ref="I386:I398" si="29">IF(ISERR(G386-H386),"",(G386-H386))</f>
        <v/>
      </c>
      <c r="J386" s="164" t="str">
        <f t="shared" ref="J386:J398" si="30">IF($E$7="","",IF(AND(G386=0,H386=0),"",IF(ISERR(I386/ABS(H386)),100%,I386/ABS(H386))))</f>
        <v/>
      </c>
      <c r="L386" s="793"/>
      <c r="O386" s="5"/>
      <c r="Q386" s="5"/>
    </row>
    <row r="387" spans="1:17" ht="12">
      <c r="A387" s="19"/>
      <c r="B387" s="19"/>
      <c r="C387" s="19"/>
      <c r="D387" s="33" t="s">
        <v>97</v>
      </c>
      <c r="E387" s="19"/>
      <c r="F387" s="30" t="s">
        <v>163</v>
      </c>
      <c r="G387" s="1"/>
      <c r="H387" s="5" t="str">
        <f>IF(ISNA(HLOOKUP($E$2,'HLookup Tables'!$H$13:$AL$443,352,FALSE)),"",(HLOOKUP($E$2,'HLookup Tables'!$H$13:$AL$443,352,FALSE)))</f>
        <v/>
      </c>
      <c r="I387" s="5" t="str">
        <f t="shared" si="29"/>
        <v/>
      </c>
      <c r="J387" s="164" t="str">
        <f t="shared" si="30"/>
        <v/>
      </c>
      <c r="L387" s="793"/>
      <c r="O387" s="5"/>
      <c r="Q387" s="5"/>
    </row>
    <row r="388" spans="1:17" ht="12">
      <c r="A388" s="19"/>
      <c r="B388" s="19"/>
      <c r="C388" s="19"/>
      <c r="D388" s="33" t="s">
        <v>394</v>
      </c>
      <c r="E388" s="19"/>
      <c r="F388" s="30" t="s">
        <v>163</v>
      </c>
      <c r="G388" s="1"/>
      <c r="H388" s="5" t="str">
        <f>IF(ISNA(HLOOKUP($E$2,'HLookup Tables'!$H$13:$AL$443,353,FALSE)),"",(HLOOKUP($E$2,'HLookup Tables'!$H$13:$AL$443,353,FALSE)))</f>
        <v/>
      </c>
      <c r="I388" s="5" t="str">
        <f t="shared" si="29"/>
        <v/>
      </c>
      <c r="J388" s="164" t="str">
        <f t="shared" si="30"/>
        <v/>
      </c>
      <c r="L388" s="793"/>
      <c r="O388" s="5"/>
      <c r="Q388" s="5"/>
    </row>
    <row r="389" spans="1:17" ht="12">
      <c r="A389" s="19"/>
      <c r="B389" s="19"/>
      <c r="C389" s="19"/>
      <c r="D389" s="33" t="s">
        <v>216</v>
      </c>
      <c r="E389" s="19"/>
      <c r="F389" s="30" t="s">
        <v>163</v>
      </c>
      <c r="G389" s="1"/>
      <c r="H389" s="5" t="str">
        <f>IF(ISNA(HLOOKUP($E$2,'HLookup Tables'!$H$13:$AL$443,354,FALSE)),"",(HLOOKUP($E$2,'HLookup Tables'!$H$13:$AL$443,354,FALSE)))</f>
        <v/>
      </c>
      <c r="I389" s="5" t="str">
        <f t="shared" si="29"/>
        <v/>
      </c>
      <c r="J389" s="164" t="str">
        <f t="shared" si="30"/>
        <v/>
      </c>
      <c r="L389" s="793"/>
      <c r="O389" s="5"/>
      <c r="Q389" s="5"/>
    </row>
    <row r="390" spans="1:17" ht="12">
      <c r="A390" s="19"/>
      <c r="B390" s="19"/>
      <c r="C390" s="19"/>
      <c r="D390" s="33" t="s">
        <v>217</v>
      </c>
      <c r="E390" s="19"/>
      <c r="F390" s="30" t="s">
        <v>163</v>
      </c>
      <c r="G390" s="1"/>
      <c r="H390" s="5" t="str">
        <f>IF(ISNA(HLOOKUP($E$2,'HLookup Tables'!$H$13:$AL$443,355,FALSE)),"",(HLOOKUP($E$2,'HLookup Tables'!$H$13:$AL$443,355,FALSE)))</f>
        <v/>
      </c>
      <c r="I390" s="5" t="str">
        <f t="shared" si="29"/>
        <v/>
      </c>
      <c r="J390" s="164" t="str">
        <f t="shared" si="30"/>
        <v/>
      </c>
      <c r="L390" s="793"/>
      <c r="O390" s="5"/>
      <c r="Q390" s="5"/>
    </row>
    <row r="391" spans="1:17" ht="12">
      <c r="A391" s="19"/>
      <c r="B391" s="19"/>
      <c r="C391" s="19"/>
      <c r="D391" s="33" t="s">
        <v>3188</v>
      </c>
      <c r="E391" s="202"/>
      <c r="F391" s="30" t="s">
        <v>163</v>
      </c>
      <c r="G391" s="1"/>
      <c r="H391" s="5" t="str">
        <f>IF(ISNA(HLOOKUP($E$2,'HLookup Tables'!$H$13:$AL$443,356,FALSE)),"",(HLOOKUP($E$2,'HLookup Tables'!$H$13:$AL$443,356,FALSE)))</f>
        <v/>
      </c>
      <c r="I391" s="5" t="str">
        <f t="shared" si="29"/>
        <v/>
      </c>
      <c r="J391" s="164" t="str">
        <f t="shared" si="30"/>
        <v/>
      </c>
      <c r="L391" s="793"/>
      <c r="O391" s="5"/>
      <c r="Q391" s="5"/>
    </row>
    <row r="392" spans="1:17" ht="12">
      <c r="A392" s="19"/>
      <c r="B392" s="19"/>
      <c r="C392" s="19"/>
      <c r="D392" s="33" t="s">
        <v>3189</v>
      </c>
      <c r="E392" s="202"/>
      <c r="F392" s="30" t="s">
        <v>163</v>
      </c>
      <c r="G392" s="1"/>
      <c r="H392" s="5" t="str">
        <f>IF(ISNA(HLOOKUP($E$2,'HLookup Tables'!$H$13:$AL$443,357,FALSE)),"",(HLOOKUP($E$2,'HLookup Tables'!$H$13:$AL$443,357,FALSE)))</f>
        <v/>
      </c>
      <c r="I392" s="5" t="str">
        <f t="shared" si="29"/>
        <v/>
      </c>
      <c r="J392" s="164" t="str">
        <f t="shared" si="30"/>
        <v/>
      </c>
      <c r="L392" s="793"/>
      <c r="O392" s="5"/>
      <c r="Q392" s="5"/>
    </row>
    <row r="393" spans="1:17" ht="12">
      <c r="A393" s="19"/>
      <c r="B393" s="19"/>
      <c r="C393" s="19"/>
      <c r="D393" s="33" t="s">
        <v>98</v>
      </c>
      <c r="E393" s="19"/>
      <c r="F393" s="30" t="s">
        <v>163</v>
      </c>
      <c r="G393" s="1"/>
      <c r="H393" s="5" t="str">
        <f>IF(ISNA(HLOOKUP($E$2,'HLookup Tables'!$H$13:$AL$443,358,FALSE)),"",(HLOOKUP($E$2,'HLookup Tables'!$H$13:$AL$443,358,FALSE)))</f>
        <v/>
      </c>
      <c r="I393" s="5" t="str">
        <f t="shared" si="29"/>
        <v/>
      </c>
      <c r="J393" s="164" t="str">
        <f t="shared" si="30"/>
        <v/>
      </c>
      <c r="L393" s="793"/>
      <c r="O393" s="5"/>
      <c r="Q393" s="5"/>
    </row>
    <row r="394" spans="1:17" ht="12">
      <c r="A394" s="19"/>
      <c r="B394" s="19"/>
      <c r="C394" s="19"/>
      <c r="D394" s="33" t="s">
        <v>219</v>
      </c>
      <c r="E394" s="19"/>
      <c r="F394" s="30" t="s">
        <v>163</v>
      </c>
      <c r="G394" s="1"/>
      <c r="H394" s="5" t="str">
        <f>IF(ISNA(HLOOKUP($E$2,'HLookup Tables'!$H$13:$AL$443,359,FALSE)),"",(HLOOKUP($E$2,'HLookup Tables'!$H$13:$AL$443,359,FALSE)))</f>
        <v/>
      </c>
      <c r="I394" s="5" t="str">
        <f t="shared" si="29"/>
        <v/>
      </c>
      <c r="J394" s="164" t="str">
        <f t="shared" si="30"/>
        <v/>
      </c>
      <c r="L394" s="793"/>
      <c r="O394" s="5"/>
      <c r="Q394" s="5"/>
    </row>
    <row r="395" spans="1:17" ht="12">
      <c r="A395" s="19"/>
      <c r="B395" s="19"/>
      <c r="C395" s="19"/>
      <c r="D395" s="33" t="s">
        <v>99</v>
      </c>
      <c r="E395" s="19"/>
      <c r="F395" s="30" t="s">
        <v>163</v>
      </c>
      <c r="G395" s="1"/>
      <c r="H395" s="5" t="str">
        <f>IF(ISNA(HLOOKUP($E$2,'HLookup Tables'!$H$13:$AL$443,360,FALSE)),"",(HLOOKUP($E$2,'HLookup Tables'!$H$13:$AL$443,360,FALSE)))</f>
        <v/>
      </c>
      <c r="I395" s="5" t="str">
        <f t="shared" si="29"/>
        <v/>
      </c>
      <c r="J395" s="164" t="str">
        <f t="shared" si="30"/>
        <v/>
      </c>
      <c r="L395" s="793"/>
      <c r="O395" s="5"/>
      <c r="Q395" s="5"/>
    </row>
    <row r="396" spans="1:17" ht="12" hidden="1">
      <c r="A396" s="19"/>
      <c r="B396" s="19"/>
      <c r="C396" s="19"/>
      <c r="D396" s="635" t="s">
        <v>220</v>
      </c>
      <c r="E396" s="19"/>
      <c r="F396" s="30" t="s">
        <v>163</v>
      </c>
      <c r="G396" s="1"/>
      <c r="H396" s="5"/>
      <c r="I396" s="5"/>
      <c r="J396" s="164"/>
      <c r="L396" s="793"/>
      <c r="O396" s="5"/>
      <c r="Q396" s="5"/>
    </row>
    <row r="397" spans="1:17" ht="12">
      <c r="A397" s="19"/>
      <c r="B397" s="19"/>
      <c r="C397" s="19"/>
      <c r="D397" s="33" t="s">
        <v>369</v>
      </c>
      <c r="E397" s="19"/>
      <c r="F397" s="30" t="s">
        <v>163</v>
      </c>
      <c r="G397" s="1"/>
      <c r="H397" s="5" t="str">
        <f>IF(ISNA(HLOOKUP($E$2,'HLookup Tables'!$H$13:$AL$443,361,FALSE)),"",(HLOOKUP($E$2,'HLookup Tables'!$H$13:$AL$443,361,FALSE)))</f>
        <v/>
      </c>
      <c r="I397" s="5" t="str">
        <f t="shared" si="29"/>
        <v/>
      </c>
      <c r="J397" s="164" t="str">
        <f t="shared" si="30"/>
        <v/>
      </c>
      <c r="L397" s="793"/>
      <c r="O397" s="5"/>
      <c r="Q397" s="5"/>
    </row>
    <row r="398" spans="1:17" ht="12">
      <c r="A398" s="19"/>
      <c r="B398" s="19"/>
      <c r="C398" s="19"/>
      <c r="D398" s="33" t="s">
        <v>494</v>
      </c>
      <c r="E398" s="19"/>
      <c r="F398" s="30" t="s">
        <v>163</v>
      </c>
      <c r="G398" s="1"/>
      <c r="H398" s="5" t="str">
        <f>IF(ISNA(HLOOKUP($E$2,'HLookup Tables'!$H$13:$AL$443,362,FALSE)),"",(HLOOKUP($E$2,'HLookup Tables'!$H$13:$AL$443,362,FALSE)))</f>
        <v/>
      </c>
      <c r="I398" s="5" t="str">
        <f t="shared" si="29"/>
        <v/>
      </c>
      <c r="J398" s="164" t="str">
        <f t="shared" si="30"/>
        <v/>
      </c>
      <c r="L398" s="793"/>
      <c r="O398" s="5"/>
      <c r="Q398" s="5"/>
    </row>
    <row r="399" spans="1:17" ht="12">
      <c r="A399" s="19"/>
      <c r="B399" s="19"/>
      <c r="C399" s="19"/>
      <c r="D399" s="33"/>
      <c r="E399" s="19"/>
      <c r="F399" s="22"/>
      <c r="G399" s="5"/>
      <c r="H399" s="5"/>
      <c r="I399" s="5"/>
      <c r="J399" s="253"/>
      <c r="L399" s="793"/>
      <c r="O399" s="5"/>
      <c r="Q399" s="5"/>
    </row>
    <row r="400" spans="1:17" ht="12">
      <c r="A400" s="19"/>
      <c r="B400" s="19"/>
      <c r="C400" s="19"/>
      <c r="D400" s="33" t="s">
        <v>2819</v>
      </c>
      <c r="E400" s="19"/>
      <c r="F400" s="30" t="s">
        <v>163</v>
      </c>
      <c r="G400" s="1"/>
      <c r="H400" s="5" t="str">
        <f>IF(ISNA(HLOOKUP($E$2,'HLookup Tables'!$H$13:$AL$443,364,FALSE)),"",(HLOOKUP($E$2,'HLookup Tables'!$H$13:$AL$443,364,FALSE)))</f>
        <v/>
      </c>
      <c r="I400" s="5" t="str">
        <f>IF(ISERR(G400-H400),"",(G400-H400))</f>
        <v/>
      </c>
      <c r="J400" s="164" t="str">
        <f>IF($E$7="","",IF(AND(G400=0,H400=0),"",IF(ISERR(I400/ABS(H400)),100%,I400/ABS(H400))))</f>
        <v/>
      </c>
      <c r="L400" s="793"/>
      <c r="O400" s="5"/>
      <c r="Q400" s="5"/>
    </row>
    <row r="401" spans="1:17" ht="12">
      <c r="A401" s="19"/>
      <c r="B401" s="19"/>
      <c r="C401" s="19"/>
      <c r="D401" s="33" t="s">
        <v>2820</v>
      </c>
      <c r="E401" s="19"/>
      <c r="F401" s="30" t="s">
        <v>163</v>
      </c>
      <c r="G401" s="1"/>
      <c r="H401" s="5" t="str">
        <f>IF(ISNA(HLOOKUP($E$2,'HLookup Tables'!$H$13:$AL$443,365,FALSE)),"",(HLOOKUP($E$2,'HLookup Tables'!$H$13:$AL$443,365,FALSE)))</f>
        <v/>
      </c>
      <c r="I401" s="5" t="str">
        <f t="shared" ref="I401:I405" si="31">IF(ISERR(G401-H401),"",(G401-H401))</f>
        <v/>
      </c>
      <c r="J401" s="164" t="str">
        <f t="shared" ref="J401:J405" si="32">IF($E$7="","",IF(AND(G401=0,H401=0),"",IF(ISERR(I401/ABS(H401)),100%,I401/ABS(H401))))</f>
        <v/>
      </c>
      <c r="L401" s="793"/>
      <c r="O401" s="5"/>
      <c r="Q401" s="5"/>
    </row>
    <row r="402" spans="1:17" ht="12">
      <c r="A402" s="19"/>
      <c r="B402" s="19"/>
      <c r="C402" s="19"/>
      <c r="D402" s="33" t="s">
        <v>49</v>
      </c>
      <c r="E402" s="19"/>
      <c r="F402" s="30" t="s">
        <v>163</v>
      </c>
      <c r="G402" s="1"/>
      <c r="H402" s="5" t="str">
        <f>IF(ISNA(HLOOKUP($E$2,'HLookup Tables'!$H$13:$AL$443,366,FALSE)),"",(HLOOKUP($E$2,'HLookup Tables'!$H$13:$AL$443,366,FALSE)))</f>
        <v/>
      </c>
      <c r="I402" s="5" t="str">
        <f t="shared" si="31"/>
        <v/>
      </c>
      <c r="J402" s="164" t="str">
        <f t="shared" si="32"/>
        <v/>
      </c>
      <c r="L402" s="793"/>
      <c r="O402" s="5"/>
      <c r="Q402" s="5"/>
    </row>
    <row r="403" spans="1:17" ht="12">
      <c r="A403" s="19"/>
      <c r="B403" s="19"/>
      <c r="C403" s="19"/>
      <c r="D403" s="33" t="s">
        <v>48</v>
      </c>
      <c r="E403" s="19"/>
      <c r="F403" s="30" t="s">
        <v>163</v>
      </c>
      <c r="G403" s="1"/>
      <c r="H403" s="5" t="str">
        <f>IF(ISNA(HLOOKUP($E$2,'HLookup Tables'!$H$13:$AL$443,367,FALSE)),"",(HLOOKUP($E$2,'HLookup Tables'!$H$13:$AL$443,367,FALSE)))</f>
        <v/>
      </c>
      <c r="I403" s="5" t="str">
        <f t="shared" si="31"/>
        <v/>
      </c>
      <c r="J403" s="164" t="str">
        <f t="shared" si="32"/>
        <v/>
      </c>
      <c r="L403" s="793"/>
      <c r="O403" s="5"/>
      <c r="Q403" s="5"/>
    </row>
    <row r="404" spans="1:17" ht="12">
      <c r="A404" s="19"/>
      <c r="B404" s="19"/>
      <c r="C404" s="19"/>
      <c r="D404" s="33" t="s">
        <v>2838</v>
      </c>
      <c r="E404" s="19"/>
      <c r="F404" s="30" t="s">
        <v>163</v>
      </c>
      <c r="G404" s="1"/>
      <c r="H404" s="5" t="str">
        <f>IF(ISNA(HLOOKUP($E$2,'HLookup Tables'!$H$13:$AL$443,368,FALSE)),"",(HLOOKUP($E$2,'HLookup Tables'!$H$13:$AL$443,368,FALSE)))</f>
        <v/>
      </c>
      <c r="I404" s="5" t="str">
        <f t="shared" si="31"/>
        <v/>
      </c>
      <c r="J404" s="164" t="str">
        <f t="shared" si="32"/>
        <v/>
      </c>
      <c r="L404" s="793"/>
      <c r="O404" s="5"/>
      <c r="Q404" s="5"/>
    </row>
    <row r="405" spans="1:17" ht="12">
      <c r="A405" s="19"/>
      <c r="B405" s="19"/>
      <c r="C405" s="19"/>
      <c r="D405" s="986" t="s">
        <v>2839</v>
      </c>
      <c r="E405" s="19"/>
      <c r="F405" s="30" t="s">
        <v>163</v>
      </c>
      <c r="G405" s="1"/>
      <c r="H405" s="5" t="str">
        <f>IF(ISNA(HLOOKUP($E$2,'HLookup Tables'!$H$13:$AL$443,369,FALSE)),"",(HLOOKUP($E$2,'HLookup Tables'!$H$13:$AL$443,369,FALSE)))</f>
        <v/>
      </c>
      <c r="I405" s="5" t="str">
        <f t="shared" si="31"/>
        <v/>
      </c>
      <c r="J405" s="164" t="str">
        <f t="shared" si="32"/>
        <v/>
      </c>
      <c r="L405" s="793"/>
      <c r="O405" s="5"/>
      <c r="Q405" s="5"/>
    </row>
    <row r="406" spans="1:17" ht="12">
      <c r="A406" s="19"/>
      <c r="B406" s="19"/>
      <c r="C406" s="19"/>
      <c r="D406" s="33"/>
      <c r="E406" s="19"/>
      <c r="F406" s="22"/>
      <c r="G406" s="5"/>
      <c r="H406" s="5"/>
      <c r="I406" s="5"/>
      <c r="J406" s="225"/>
      <c r="L406" s="793"/>
      <c r="O406" s="5"/>
      <c r="Q406" s="5"/>
    </row>
    <row r="407" spans="1:17" ht="12">
      <c r="A407" s="19"/>
      <c r="B407" s="19"/>
      <c r="C407" s="19"/>
      <c r="D407" s="39" t="s">
        <v>103</v>
      </c>
      <c r="E407" s="19"/>
      <c r="F407" s="30" t="s">
        <v>163</v>
      </c>
      <c r="G407" s="1"/>
      <c r="H407" s="5" t="str">
        <f>IF(ISNA(HLOOKUP($E$2,'HLookup Tables'!$H$13:$AL$443,371,FALSE)),"",(HLOOKUP($E$2,'HLookup Tables'!$H$13:$AL$443,371,FALSE)))</f>
        <v/>
      </c>
      <c r="I407" s="5" t="str">
        <f>IF(ISERR(G407-H407),"",(G407-H407))</f>
        <v/>
      </c>
      <c r="J407" s="164" t="str">
        <f>IF($E$7="","",IF(AND(G407=0,H407=0),"",IF(ISERR(I407/ABS(H407)),100%,I407/ABS(H407))))</f>
        <v/>
      </c>
      <c r="L407" s="793"/>
      <c r="O407" s="5"/>
      <c r="Q407" s="5"/>
    </row>
    <row r="408" spans="1:17" ht="12">
      <c r="A408" s="19"/>
      <c r="B408" s="19"/>
      <c r="C408" s="19"/>
      <c r="D408" s="39" t="s">
        <v>105</v>
      </c>
      <c r="E408" s="19"/>
      <c r="F408" s="30" t="s">
        <v>163</v>
      </c>
      <c r="G408" s="1"/>
      <c r="H408" s="5" t="str">
        <f>IF(ISNA(HLOOKUP($E$2,'HLookup Tables'!$H$13:$AL$443,372,FALSE)),"",(HLOOKUP($E$2,'HLookup Tables'!$H$13:$AL$443,372,FALSE)))</f>
        <v/>
      </c>
      <c r="I408" s="5" t="str">
        <f>IF(ISERR(G408-H408),"",(G408-H408))</f>
        <v/>
      </c>
      <c r="J408" s="164" t="str">
        <f>IF($E$7="","",IF(AND(G408=0,H408=0),"",IF(ISERR(I408/ABS(H408)),100%,I408/ABS(H408))))</f>
        <v/>
      </c>
      <c r="L408" s="793"/>
      <c r="O408" s="5"/>
      <c r="Q408" s="5"/>
    </row>
    <row r="409" spans="1:17" ht="12">
      <c r="A409" s="19"/>
      <c r="B409" s="19"/>
      <c r="C409" s="19"/>
      <c r="D409" s="39" t="s">
        <v>106</v>
      </c>
      <c r="E409" s="19"/>
      <c r="F409" s="30" t="s">
        <v>163</v>
      </c>
      <c r="G409" s="16"/>
      <c r="H409" s="5" t="str">
        <f>IF(ISNA(HLOOKUP($E$2,'HLookup Tables'!$H$13:$AL$443,373,FALSE)),"",(HLOOKUP($E$2,'HLookup Tables'!$H$13:$AL$443,373,FALSE)))</f>
        <v/>
      </c>
      <c r="I409" s="5" t="str">
        <f>IF(ISERR(G409-H409),"",(G409-H409))</f>
        <v/>
      </c>
      <c r="J409" s="164" t="str">
        <f>IF($E$7="","",IF(AND(G409=0,H409=0),"",IF(ISERR(I409/ABS(H409)),100%,I409/ABS(H409))))</f>
        <v/>
      </c>
      <c r="L409" s="793"/>
      <c r="O409" s="5"/>
      <c r="Q409" s="5"/>
    </row>
    <row r="410" spans="1:17">
      <c r="A410" s="19"/>
      <c r="B410" s="19"/>
      <c r="C410" s="19"/>
      <c r="D410" s="19"/>
      <c r="F410" s="47" t="s">
        <v>50</v>
      </c>
      <c r="G410" s="32">
        <f>SUM(G407:G409)</f>
        <v>0</v>
      </c>
      <c r="H410" s="32">
        <f>SUM(H407:H409)</f>
        <v>0</v>
      </c>
      <c r="I410" s="32">
        <f t="shared" ref="I410" si="33">SUM(I407:I409)</f>
        <v>0</v>
      </c>
      <c r="J410" s="165" t="str">
        <f>IF(I410=0,"0%",IF(ISERR(I410/ABS(H410)),100%,I410/ABS(H410)))</f>
        <v>0%</v>
      </c>
      <c r="L410" s="793"/>
      <c r="O410" s="5"/>
      <c r="Q410" s="5"/>
    </row>
    <row r="411" spans="1:17" ht="12">
      <c r="A411" s="19"/>
      <c r="B411" s="19"/>
      <c r="C411" s="19"/>
      <c r="D411" s="33"/>
      <c r="E411" s="19"/>
      <c r="F411" s="22"/>
      <c r="G411" s="5"/>
      <c r="H411" s="5"/>
      <c r="I411" s="5"/>
      <c r="J411" s="164"/>
      <c r="L411" s="793"/>
      <c r="O411" s="5"/>
      <c r="Q411" s="5"/>
    </row>
    <row r="412" spans="1:17" ht="12">
      <c r="A412" s="19"/>
      <c r="B412" s="19"/>
      <c r="C412" s="19"/>
      <c r="D412" s="39" t="s">
        <v>103</v>
      </c>
      <c r="E412" s="19"/>
      <c r="F412" s="30" t="s">
        <v>163</v>
      </c>
      <c r="G412" s="1"/>
      <c r="H412" s="5" t="str">
        <f>IF(ISNA(HLOOKUP($E$2,'HLookup Tables'!$H$13:$AL$443,376,FALSE)),"",(HLOOKUP($E$2,'HLookup Tables'!$H$13:$AL$443,376,FALSE)))</f>
        <v/>
      </c>
      <c r="I412" s="5" t="str">
        <f>IF(ISERR(G412-H412),"",(G412-H412))</f>
        <v/>
      </c>
      <c r="J412" s="164" t="str">
        <f>IF($E$7="","",IF(AND(G412=0,H412=0),"",IF(ISERR(I412/ABS(H412)),100%,I412/ABS(H412))))</f>
        <v/>
      </c>
      <c r="L412" s="793"/>
      <c r="O412" s="5"/>
      <c r="Q412" s="5"/>
    </row>
    <row r="413" spans="1:17" ht="12">
      <c r="A413" s="19"/>
      <c r="B413" s="19"/>
      <c r="C413" s="19"/>
      <c r="D413" s="39" t="s">
        <v>105</v>
      </c>
      <c r="E413" s="19"/>
      <c r="F413" s="30" t="s">
        <v>163</v>
      </c>
      <c r="G413" s="1"/>
      <c r="H413" s="5" t="str">
        <f>IF(ISNA(HLOOKUP($E$2,'HLookup Tables'!$H$13:$AL$443,377,FALSE)),"",(HLOOKUP($E$2,'HLookup Tables'!$H$13:$AL$443,377,FALSE)))</f>
        <v/>
      </c>
      <c r="I413" s="5" t="str">
        <f>IF(ISERR(G413-H413),"",(G413-H413))</f>
        <v/>
      </c>
      <c r="J413" s="164" t="str">
        <f>IF($E$7="","",IF(AND(G413=0,H413=0),"",IF(ISERR(I413/ABS(H413)),100%,I413/ABS(H413))))</f>
        <v/>
      </c>
      <c r="L413" s="793"/>
      <c r="O413" s="5"/>
      <c r="Q413" s="5"/>
    </row>
    <row r="414" spans="1:17" ht="12">
      <c r="A414" s="19"/>
      <c r="B414" s="19"/>
      <c r="C414" s="19"/>
      <c r="D414" s="39" t="s">
        <v>106</v>
      </c>
      <c r="E414" s="19"/>
      <c r="F414" s="30" t="s">
        <v>163</v>
      </c>
      <c r="G414" s="16"/>
      <c r="H414" s="5" t="str">
        <f>IF(ISNA(HLOOKUP($E$2,'HLookup Tables'!$H$13:$AL$443,378,FALSE)),"",(HLOOKUP($E$2,'HLookup Tables'!$H$13:$AL$443,378,FALSE)))</f>
        <v/>
      </c>
      <c r="I414" s="5" t="str">
        <f>IF(ISERR(G414-H414),"",(G414-H414))</f>
        <v/>
      </c>
      <c r="J414" s="164" t="str">
        <f>IF($E$7="","",IF(AND(G414=0,H414=0),"",IF(ISERR(I414/ABS(H414)),100%,I414/ABS(H414))))</f>
        <v/>
      </c>
      <c r="L414" s="793"/>
      <c r="O414" s="5"/>
      <c r="Q414" s="5"/>
    </row>
    <row r="415" spans="1:17">
      <c r="A415" s="19"/>
      <c r="B415" s="19"/>
      <c r="C415" s="19"/>
      <c r="D415" s="19"/>
      <c r="F415" s="47" t="s">
        <v>51</v>
      </c>
      <c r="G415" s="32">
        <f>SUM(G412:G414)</f>
        <v>0</v>
      </c>
      <c r="H415" s="32">
        <f t="shared" ref="H415:I415" si="34">SUM(H412:H414)</f>
        <v>0</v>
      </c>
      <c r="I415" s="32">
        <f t="shared" si="34"/>
        <v>0</v>
      </c>
      <c r="J415" s="165" t="str">
        <f>IF(I415=0,"0%",IF(ISERR(I415/ABS(H415)),100%,I415/ABS(H415)))</f>
        <v>0%</v>
      </c>
      <c r="L415" s="793"/>
      <c r="O415" s="5"/>
      <c r="Q415" s="5"/>
    </row>
    <row r="416" spans="1:17" ht="12">
      <c r="A416" s="19"/>
      <c r="B416" s="19"/>
      <c r="C416" s="19"/>
      <c r="D416" s="19"/>
      <c r="E416" s="33"/>
      <c r="F416" s="22"/>
      <c r="G416" s="5"/>
      <c r="H416" s="5"/>
      <c r="I416" s="5"/>
      <c r="J416" s="164"/>
      <c r="L416" s="793"/>
      <c r="O416" s="5"/>
      <c r="Q416" s="5"/>
    </row>
    <row r="417" spans="1:17" ht="12">
      <c r="A417" s="19"/>
      <c r="B417" s="19"/>
      <c r="C417" s="19"/>
      <c r="D417" s="39" t="s">
        <v>3197</v>
      </c>
      <c r="E417" s="19"/>
      <c r="F417" s="30" t="s">
        <v>163</v>
      </c>
      <c r="G417" s="1"/>
      <c r="H417" s="5" t="str">
        <f>IF(ISNA(HLOOKUP($E$2,'HLookup Tables'!$H$13:$AL$443,381,FALSE)),"",(HLOOKUP($E$2,'HLookup Tables'!$H$13:$AL$443,381,FALSE)))</f>
        <v/>
      </c>
      <c r="I417" s="5" t="str">
        <f t="shared" ref="I417:I427" si="35">IF(ISERR(G417-H417),"",(G417-H417))</f>
        <v/>
      </c>
      <c r="J417" s="164" t="str">
        <f t="shared" ref="J417:J427" si="36">IF($E$7="","",IF(AND(G417=0,H417=0),"",IF(ISERR(I417/ABS(H417)),100%,I417/ABS(H417))))</f>
        <v/>
      </c>
      <c r="L417" s="793"/>
      <c r="O417" s="5"/>
      <c r="Q417" s="5"/>
    </row>
    <row r="418" spans="1:17" ht="12">
      <c r="A418" s="19"/>
      <c r="B418" s="19"/>
      <c r="C418" s="19"/>
      <c r="D418" s="39" t="s">
        <v>107</v>
      </c>
      <c r="E418" s="19"/>
      <c r="F418" s="30" t="s">
        <v>163</v>
      </c>
      <c r="G418" s="1"/>
      <c r="H418" s="5" t="str">
        <f>IF(ISNA(HLOOKUP($E$2,'HLookup Tables'!$H$13:$AL$443,382,FALSE)),"",(HLOOKUP($E$2,'HLookup Tables'!$H$13:$AL$443,382,FALSE)))</f>
        <v/>
      </c>
      <c r="I418" s="5" t="str">
        <f t="shared" si="35"/>
        <v/>
      </c>
      <c r="J418" s="164" t="str">
        <f t="shared" si="36"/>
        <v/>
      </c>
      <c r="L418" s="793"/>
      <c r="O418" s="5"/>
      <c r="Q418" s="5"/>
    </row>
    <row r="419" spans="1:17" ht="12">
      <c r="A419" s="19"/>
      <c r="B419" s="19"/>
      <c r="C419" s="19"/>
      <c r="D419" s="39" t="s">
        <v>104</v>
      </c>
      <c r="E419" s="19"/>
      <c r="F419" s="30" t="s">
        <v>163</v>
      </c>
      <c r="G419" s="1"/>
      <c r="H419" s="5" t="str">
        <f>IF(ISNA(HLOOKUP($E$2,'HLookup Tables'!$H$13:$AL$443,383,FALSE)),"",(HLOOKUP($E$2,'HLookup Tables'!$H$13:$AL$443,383,FALSE)))</f>
        <v/>
      </c>
      <c r="I419" s="5" t="str">
        <f t="shared" si="35"/>
        <v/>
      </c>
      <c r="J419" s="164" t="str">
        <f t="shared" si="36"/>
        <v/>
      </c>
      <c r="L419" s="793"/>
      <c r="O419" s="5"/>
      <c r="Q419" s="5"/>
    </row>
    <row r="420" spans="1:17" ht="12">
      <c r="A420" s="19"/>
      <c r="B420" s="19"/>
      <c r="C420" s="19"/>
      <c r="D420" s="39" t="s">
        <v>3359</v>
      </c>
      <c r="E420" s="19"/>
      <c r="F420" s="30" t="s">
        <v>163</v>
      </c>
      <c r="G420" s="1"/>
      <c r="H420" s="5" t="str">
        <f>IF(ISNA(HLOOKUP($E$2,'HLookup Tables'!$H$13:$AL$443,384,FALSE)),"",(HLOOKUP($E$2,'HLookup Tables'!$H$13:$AL$443,384,FALSE)))</f>
        <v/>
      </c>
      <c r="I420" s="5" t="str">
        <f t="shared" si="35"/>
        <v/>
      </c>
      <c r="J420" s="164" t="str">
        <f t="shared" si="36"/>
        <v/>
      </c>
      <c r="L420" s="793"/>
      <c r="O420" s="5"/>
      <c r="Q420" s="5"/>
    </row>
    <row r="421" spans="1:17" ht="24.75" customHeight="1">
      <c r="A421" s="19"/>
      <c r="B421" s="19"/>
      <c r="C421" s="19"/>
      <c r="D421" s="1015" t="s">
        <v>3392</v>
      </c>
      <c r="E421" s="1015"/>
      <c r="F421" s="30" t="s">
        <v>163</v>
      </c>
      <c r="G421" s="1"/>
      <c r="H421" s="5" t="str">
        <f>IF(ISNA(HLOOKUP($E$2,'HLookup Tables'!$H$13:$AL$443,385,FALSE)),"",(HLOOKUP($E$2,'HLookup Tables'!$H$13:$AL$443,385,FALSE)))</f>
        <v/>
      </c>
      <c r="I421" s="5" t="str">
        <f t="shared" si="35"/>
        <v/>
      </c>
      <c r="J421" s="164" t="str">
        <f t="shared" si="36"/>
        <v/>
      </c>
      <c r="L421" s="793"/>
      <c r="O421" s="5"/>
      <c r="Q421" s="5"/>
    </row>
    <row r="422" spans="1:17" ht="12">
      <c r="A422" s="19"/>
      <c r="B422" s="19"/>
      <c r="C422" s="19"/>
      <c r="D422" s="39" t="s">
        <v>140</v>
      </c>
      <c r="E422" s="19"/>
      <c r="F422" s="30" t="s">
        <v>163</v>
      </c>
      <c r="G422" s="1"/>
      <c r="H422" s="5" t="str">
        <f>IF(ISNA(HLOOKUP($E$2,'HLookup Tables'!$H$13:$AL$443,386,FALSE)),"",(HLOOKUP($E$2,'HLookup Tables'!$H$13:$AL$443,386,FALSE)))</f>
        <v/>
      </c>
      <c r="I422" s="5" t="str">
        <f t="shared" si="35"/>
        <v/>
      </c>
      <c r="J422" s="164" t="str">
        <f t="shared" si="36"/>
        <v/>
      </c>
      <c r="L422" s="793"/>
      <c r="O422" s="5"/>
      <c r="Q422" s="5"/>
    </row>
    <row r="423" spans="1:17" ht="12">
      <c r="A423" s="19"/>
      <c r="B423" s="19"/>
      <c r="C423" s="19"/>
      <c r="D423" s="19" t="s">
        <v>3375</v>
      </c>
      <c r="E423" s="19"/>
      <c r="F423" s="30" t="s">
        <v>163</v>
      </c>
      <c r="G423" s="1"/>
      <c r="H423" s="5" t="str">
        <f>IF(ISNA(HLOOKUP($E$2,'HLookup Tables'!$H$13:$AL$443,387,FALSE)),"",(HLOOKUP($E$2,'HLookup Tables'!$H$13:$AL$443,387,FALSE)))</f>
        <v/>
      </c>
      <c r="I423" s="5" t="str">
        <f t="shared" ref="I423" si="37">IF(ISERR(G423-H423),"",(G423-H423))</f>
        <v/>
      </c>
      <c r="J423" s="164" t="str">
        <f t="shared" ref="J423:J424" si="38">IF($E$7="","",IF(AND(G423=0,H423=0),"",IF(ISERR(I423/ABS(H423)),100%,I423/ABS(H423))))</f>
        <v/>
      </c>
      <c r="L423" s="793"/>
      <c r="O423" s="5"/>
      <c r="Q423" s="5"/>
    </row>
    <row r="424" spans="1:17" ht="12">
      <c r="A424" s="19"/>
      <c r="B424" s="19"/>
      <c r="C424" s="19"/>
      <c r="D424" s="39" t="s">
        <v>141</v>
      </c>
      <c r="E424" s="19"/>
      <c r="F424" s="30" t="s">
        <v>163</v>
      </c>
      <c r="G424" s="1"/>
      <c r="H424" s="5" t="str">
        <f>IF(ISNA(HLOOKUP($E$2,'HLookup Tables'!$H$13:$AL$443,388,FALSE)),"",(HLOOKUP($E$2,'HLookup Tables'!$H$13:$AL$443,388,FALSE)))</f>
        <v/>
      </c>
      <c r="I424" s="5" t="str">
        <f t="shared" si="35"/>
        <v/>
      </c>
      <c r="J424" s="164" t="str">
        <f t="shared" si="38"/>
        <v/>
      </c>
      <c r="L424" s="793"/>
      <c r="O424" s="5"/>
      <c r="Q424" s="5"/>
    </row>
    <row r="425" spans="1:17" ht="12">
      <c r="A425" s="19"/>
      <c r="B425" s="19"/>
      <c r="C425" s="19"/>
      <c r="D425" s="39" t="s">
        <v>118</v>
      </c>
      <c r="E425" s="19"/>
      <c r="F425" s="30" t="s">
        <v>163</v>
      </c>
      <c r="G425" s="16"/>
      <c r="H425" s="5" t="str">
        <f>IF(ISNA(HLOOKUP($E$2,'HLookup Tables'!$H$13:$AL$443,389,FALSE)),"",(HLOOKUP($E$2,'HLookup Tables'!$H$13:$AL$443,389,FALSE)))</f>
        <v/>
      </c>
      <c r="I425" s="5" t="str">
        <f t="shared" si="35"/>
        <v/>
      </c>
      <c r="J425" s="164" t="str">
        <f t="shared" si="36"/>
        <v/>
      </c>
      <c r="L425" s="793"/>
      <c r="O425" s="5"/>
      <c r="Q425" s="5"/>
    </row>
    <row r="426" spans="1:17" ht="12">
      <c r="A426" s="19"/>
      <c r="B426" s="19"/>
      <c r="C426" s="19"/>
      <c r="D426" s="39" t="s">
        <v>2983</v>
      </c>
      <c r="E426" s="19"/>
      <c r="F426" s="30" t="s">
        <v>163</v>
      </c>
      <c r="G426" s="16"/>
      <c r="H426" s="5" t="str">
        <f>IF(ISNA(HLOOKUP($E$2,'HLookup Tables'!$H$13:$AL$443,390,FALSE)),"",(HLOOKUP($E$2,'HLookup Tables'!$H$13:$AL$443,390,FALSE)))</f>
        <v/>
      </c>
      <c r="I426" s="5" t="str">
        <f t="shared" si="35"/>
        <v/>
      </c>
      <c r="J426" s="164" t="str">
        <f t="shared" si="36"/>
        <v/>
      </c>
      <c r="L426" s="793"/>
      <c r="O426" s="5"/>
      <c r="Q426" s="5"/>
    </row>
    <row r="427" spans="1:17" ht="12">
      <c r="A427" s="19"/>
      <c r="B427" s="19"/>
      <c r="C427" s="19"/>
      <c r="D427" s="19" t="s">
        <v>2984</v>
      </c>
      <c r="E427" s="19"/>
      <c r="F427" s="30" t="s">
        <v>163</v>
      </c>
      <c r="G427" s="16"/>
      <c r="H427" s="5" t="str">
        <f>IF(ISNA(HLOOKUP($E$2,'HLookup Tables'!$H$13:$AL$443,391,FALSE)),"",(HLOOKUP($E$2,'HLookup Tables'!$H$13:$AL$443,391,FALSE)))</f>
        <v/>
      </c>
      <c r="I427" s="5" t="str">
        <f t="shared" si="35"/>
        <v/>
      </c>
      <c r="J427" s="164" t="str">
        <f t="shared" si="36"/>
        <v/>
      </c>
      <c r="L427" s="793"/>
      <c r="O427" s="5"/>
      <c r="Q427" s="5"/>
    </row>
    <row r="428" spans="1:17" ht="12">
      <c r="A428" s="19"/>
      <c r="B428" s="19"/>
      <c r="C428" s="19"/>
      <c r="D428" s="39"/>
      <c r="E428" s="19"/>
      <c r="F428" s="47" t="s">
        <v>52</v>
      </c>
      <c r="G428" s="32">
        <f>SUM(G417:G427)</f>
        <v>0</v>
      </c>
      <c r="H428" s="32">
        <f>SUM(H417:H427)</f>
        <v>0</v>
      </c>
      <c r="I428" s="32">
        <f>SUM(I417:I427)</f>
        <v>0</v>
      </c>
      <c r="J428" s="165" t="str">
        <f>IF(I428=0,"0%",IF(ISERR(I428/ABS(H428)),100%,I428/ABS(H428)))</f>
        <v>0%</v>
      </c>
      <c r="L428" s="793"/>
      <c r="O428" s="5"/>
      <c r="Q428" s="5"/>
    </row>
    <row r="429" spans="1:17" ht="12">
      <c r="A429" s="19"/>
      <c r="B429" s="19"/>
      <c r="C429" s="19"/>
      <c r="D429" s="39"/>
      <c r="E429" s="19"/>
      <c r="F429" s="22"/>
      <c r="G429" s="5"/>
      <c r="H429" s="5"/>
      <c r="I429" s="5"/>
      <c r="J429" s="164"/>
      <c r="L429" s="793"/>
      <c r="O429" s="5"/>
      <c r="Q429" s="5"/>
    </row>
    <row r="430" spans="1:17" ht="12">
      <c r="A430" s="19"/>
      <c r="B430" s="19"/>
      <c r="C430" s="19"/>
      <c r="D430" s="39" t="s">
        <v>3197</v>
      </c>
      <c r="E430" s="19"/>
      <c r="F430" s="30" t="s">
        <v>163</v>
      </c>
      <c r="G430" s="1"/>
      <c r="H430" s="5" t="str">
        <f>IF(ISNA(HLOOKUP($E$2,'HLookup Tables'!$H$13:$AL$443,394,FALSE)),"",(HLOOKUP($E$2,'HLookup Tables'!$H$13:$AL$443,394,FALSE)))</f>
        <v/>
      </c>
      <c r="I430" s="5" t="str">
        <f t="shared" ref="I430:I441" si="39">IF(ISERR(G430-H430),"",(G430-H430))</f>
        <v/>
      </c>
      <c r="J430" s="164" t="str">
        <f t="shared" ref="J430:J441" si="40">IF($E$7="","",IF(AND(G430=0,H430=0),"",IF(ISERR(I430/ABS(H430)),100%,I430/ABS(H430))))</f>
        <v/>
      </c>
      <c r="L430" s="793"/>
      <c r="O430" s="5"/>
      <c r="Q430" s="5"/>
    </row>
    <row r="431" spans="1:17" ht="12">
      <c r="A431" s="19"/>
      <c r="B431" s="19"/>
      <c r="C431" s="19"/>
      <c r="D431" s="39" t="s">
        <v>107</v>
      </c>
      <c r="E431" s="19"/>
      <c r="F431" s="30" t="s">
        <v>163</v>
      </c>
      <c r="G431" s="1"/>
      <c r="H431" s="5" t="str">
        <f>IF(ISNA(HLOOKUP($E$2,'HLookup Tables'!$H$13:$AL$443,395,FALSE)),"",(HLOOKUP($E$2,'HLookup Tables'!$H$13:$AL$443,395,FALSE)))</f>
        <v/>
      </c>
      <c r="I431" s="5" t="str">
        <f t="shared" si="39"/>
        <v/>
      </c>
      <c r="J431" s="164" t="str">
        <f t="shared" si="40"/>
        <v/>
      </c>
      <c r="L431" s="793"/>
      <c r="O431" s="5"/>
      <c r="Q431" s="5"/>
    </row>
    <row r="432" spans="1:17" ht="12">
      <c r="A432" s="19"/>
      <c r="B432" s="19"/>
      <c r="C432" s="19"/>
      <c r="D432" s="39" t="s">
        <v>104</v>
      </c>
      <c r="E432" s="19"/>
      <c r="F432" s="30" t="s">
        <v>163</v>
      </c>
      <c r="G432" s="1"/>
      <c r="H432" s="5" t="str">
        <f>IF(ISNA(HLOOKUP($E$2,'HLookup Tables'!$H$13:$AL$443,396,FALSE)),"",(HLOOKUP($E$2,'HLookup Tables'!$H$13:$AL$443,396,FALSE)))</f>
        <v/>
      </c>
      <c r="I432" s="5" t="str">
        <f t="shared" si="39"/>
        <v/>
      </c>
      <c r="J432" s="164" t="str">
        <f t="shared" si="40"/>
        <v/>
      </c>
      <c r="L432" s="793"/>
      <c r="O432" s="5"/>
      <c r="Q432" s="5"/>
    </row>
    <row r="433" spans="1:17" ht="12">
      <c r="A433" s="19"/>
      <c r="B433" s="19"/>
      <c r="C433" s="19"/>
      <c r="D433" s="39" t="s">
        <v>3359</v>
      </c>
      <c r="E433" s="19"/>
      <c r="F433" s="30" t="s">
        <v>163</v>
      </c>
      <c r="G433" s="1"/>
      <c r="H433" s="5" t="str">
        <f>IF(ISNA(HLOOKUP($E$2,'HLookup Tables'!$H$13:$AL$443,397,FALSE)),"",(HLOOKUP($E$2,'HLookup Tables'!$H$13:$AL$443,397,FALSE)))</f>
        <v/>
      </c>
      <c r="I433" s="5" t="str">
        <f t="shared" si="39"/>
        <v/>
      </c>
      <c r="J433" s="164" t="str">
        <f t="shared" si="40"/>
        <v/>
      </c>
      <c r="L433" s="793"/>
      <c r="O433" s="5"/>
      <c r="Q433" s="5"/>
    </row>
    <row r="434" spans="1:17" ht="27.75" customHeight="1">
      <c r="A434" s="19"/>
      <c r="B434" s="19"/>
      <c r="C434" s="19"/>
      <c r="D434" s="1015" t="s">
        <v>3392</v>
      </c>
      <c r="E434" s="1015"/>
      <c r="F434" s="30" t="s">
        <v>163</v>
      </c>
      <c r="G434" s="1"/>
      <c r="H434" s="5" t="str">
        <f>IF(ISNA(HLOOKUP($E$2,'HLookup Tables'!$H$13:$AL$443,398,FALSE)),"",(HLOOKUP($E$2,'HLookup Tables'!$H$13:$AL$443,398,FALSE)))</f>
        <v/>
      </c>
      <c r="I434" s="5" t="str">
        <f t="shared" si="39"/>
        <v/>
      </c>
      <c r="J434" s="164" t="str">
        <f t="shared" si="40"/>
        <v/>
      </c>
      <c r="L434" s="793"/>
      <c r="O434" s="5"/>
      <c r="Q434" s="5"/>
    </row>
    <row r="435" spans="1:17" ht="12">
      <c r="A435" s="19"/>
      <c r="B435" s="19"/>
      <c r="C435" s="19"/>
      <c r="D435" s="39" t="s">
        <v>140</v>
      </c>
      <c r="E435" s="19"/>
      <c r="F435" s="30" t="s">
        <v>163</v>
      </c>
      <c r="G435" s="1"/>
      <c r="H435" s="5" t="str">
        <f>IF(ISNA(HLOOKUP($E$2,'HLookup Tables'!$H$13:$AL$443,399,FALSE)),"",(HLOOKUP($E$2,'HLookup Tables'!$H$13:$AL$443,399,FALSE)))</f>
        <v/>
      </c>
      <c r="I435" s="5" t="str">
        <f t="shared" si="39"/>
        <v/>
      </c>
      <c r="J435" s="164" t="str">
        <f t="shared" si="40"/>
        <v/>
      </c>
      <c r="L435" s="793"/>
      <c r="O435" s="5"/>
      <c r="Q435" s="5"/>
    </row>
    <row r="436" spans="1:17" ht="12">
      <c r="A436" s="19"/>
      <c r="B436" s="19"/>
      <c r="C436" s="19"/>
      <c r="D436" s="19" t="s">
        <v>3375</v>
      </c>
      <c r="E436" s="19"/>
      <c r="F436" s="30" t="s">
        <v>163</v>
      </c>
      <c r="G436" s="1"/>
      <c r="H436" s="5" t="str">
        <f>IF(ISNA(HLOOKUP($E$2,'HLookup Tables'!$H$13:$AL$443,400,FALSE)),"",(HLOOKUP($E$2,'HLookup Tables'!$H$13:$AL$443,400,FALSE)))</f>
        <v/>
      </c>
      <c r="I436" s="5" t="str">
        <f t="shared" si="39"/>
        <v/>
      </c>
      <c r="J436" s="164" t="str">
        <f t="shared" si="40"/>
        <v/>
      </c>
      <c r="L436" s="793"/>
      <c r="O436" s="5"/>
      <c r="Q436" s="5"/>
    </row>
    <row r="437" spans="1:17" ht="12">
      <c r="A437" s="19"/>
      <c r="B437" s="19"/>
      <c r="C437" s="19"/>
      <c r="D437" s="39" t="s">
        <v>141</v>
      </c>
      <c r="E437" s="19"/>
      <c r="F437" s="30" t="s">
        <v>163</v>
      </c>
      <c r="G437" s="1"/>
      <c r="H437" s="5" t="str">
        <f>IF(ISNA(HLOOKUP($E$2,'HLookup Tables'!$H$13:$AL$443,401,FALSE)),"",(HLOOKUP($E$2,'HLookup Tables'!$H$13:$AL$443,401,FALSE)))</f>
        <v/>
      </c>
      <c r="I437" s="5" t="str">
        <f t="shared" si="39"/>
        <v/>
      </c>
      <c r="J437" s="164" t="str">
        <f t="shared" si="40"/>
        <v/>
      </c>
      <c r="L437" s="793"/>
      <c r="O437" s="5"/>
      <c r="Q437" s="5"/>
    </row>
    <row r="438" spans="1:17" ht="12">
      <c r="A438" s="19"/>
      <c r="B438" s="19"/>
      <c r="C438" s="19"/>
      <c r="D438" s="39" t="s">
        <v>118</v>
      </c>
      <c r="E438" s="19"/>
      <c r="F438" s="30" t="s">
        <v>163</v>
      </c>
      <c r="G438" s="1"/>
      <c r="H438" s="5" t="str">
        <f>IF(ISNA(HLOOKUP($E$2,'HLookup Tables'!$H$13:$AL$443,402,FALSE)),"",(HLOOKUP($E$2,'HLookup Tables'!$H$13:$AL$443,402,FALSE)))</f>
        <v/>
      </c>
      <c r="I438" s="5" t="str">
        <f t="shared" si="39"/>
        <v/>
      </c>
      <c r="J438" s="164" t="str">
        <f t="shared" si="40"/>
        <v/>
      </c>
      <c r="L438" s="793"/>
      <c r="O438" s="5"/>
      <c r="Q438" s="5"/>
    </row>
    <row r="439" spans="1:17" ht="12">
      <c r="A439" s="19"/>
      <c r="B439" s="19"/>
      <c r="C439" s="19"/>
      <c r="D439" s="39" t="s">
        <v>956</v>
      </c>
      <c r="E439" s="19"/>
      <c r="F439" s="30" t="s">
        <v>163</v>
      </c>
      <c r="G439" s="559"/>
      <c r="H439" s="5" t="str">
        <f>IF(ISNA(HLOOKUP($E$2,'HLookup Tables'!$H$13:$AL$443,403,FALSE)),"",(HLOOKUP($E$2,'HLookup Tables'!$H$13:$AL$443,403,FALSE)))</f>
        <v/>
      </c>
      <c r="I439" s="5" t="str">
        <f t="shared" si="39"/>
        <v/>
      </c>
      <c r="J439" s="164" t="str">
        <f t="shared" si="40"/>
        <v/>
      </c>
      <c r="L439" s="793"/>
      <c r="O439" s="5"/>
      <c r="Q439" s="5"/>
    </row>
    <row r="440" spans="1:17" ht="12">
      <c r="A440" s="19"/>
      <c r="B440" s="19"/>
      <c r="C440" s="19"/>
      <c r="D440" s="39" t="s">
        <v>2983</v>
      </c>
      <c r="E440" s="19"/>
      <c r="F440" s="30" t="s">
        <v>163</v>
      </c>
      <c r="G440" s="559"/>
      <c r="H440" s="5" t="str">
        <f>IF(ISNA(HLOOKUP($E$2,'HLookup Tables'!$H$13:$AL$443,404,FALSE)),"",(HLOOKUP($E$2,'HLookup Tables'!$H$13:$AL$443,404,FALSE)))</f>
        <v/>
      </c>
      <c r="I440" s="5" t="str">
        <f t="shared" si="39"/>
        <v/>
      </c>
      <c r="J440" s="164" t="str">
        <f t="shared" si="40"/>
        <v/>
      </c>
      <c r="L440" s="793"/>
      <c r="O440" s="5"/>
      <c r="Q440" s="5"/>
    </row>
    <row r="441" spans="1:17" ht="12">
      <c r="A441" s="19"/>
      <c r="B441" s="19"/>
      <c r="C441" s="19"/>
      <c r="D441" s="19" t="s">
        <v>2984</v>
      </c>
      <c r="E441" s="19"/>
      <c r="F441" s="30" t="s">
        <v>163</v>
      </c>
      <c r="G441" s="559"/>
      <c r="H441" s="5" t="str">
        <f>IF(ISNA(HLOOKUP($E$2,'HLookup Tables'!$H$13:$AL$443,405,FALSE)),"",(HLOOKUP($E$2,'HLookup Tables'!$H$13:$AL$443,405,FALSE)))</f>
        <v/>
      </c>
      <c r="I441" s="5" t="str">
        <f t="shared" si="39"/>
        <v/>
      </c>
      <c r="J441" s="164" t="str">
        <f t="shared" si="40"/>
        <v/>
      </c>
      <c r="L441" s="793"/>
      <c r="O441" s="5"/>
      <c r="Q441" s="5"/>
    </row>
    <row r="442" spans="1:17" ht="12">
      <c r="A442" s="19"/>
      <c r="B442" s="19"/>
      <c r="C442" s="19"/>
      <c r="D442" s="39"/>
      <c r="E442" s="19"/>
      <c r="F442" s="47" t="s">
        <v>53</v>
      </c>
      <c r="G442" s="32">
        <f>SUM(G430:G441)</f>
        <v>0</v>
      </c>
      <c r="H442" s="32">
        <f>SUM(H430:H441)</f>
        <v>0</v>
      </c>
      <c r="I442" s="32">
        <f>SUM(I430:I441)</f>
        <v>0</v>
      </c>
      <c r="J442" s="165" t="str">
        <f>IF(I442=0,"0%",IF(ISERR(I442/ABS(H442)),100%,I442/ABS(H442)))</f>
        <v>0%</v>
      </c>
      <c r="L442" s="793"/>
      <c r="O442" s="5"/>
      <c r="Q442" s="5"/>
    </row>
    <row r="443" spans="1:17" ht="12">
      <c r="A443" s="19"/>
      <c r="B443" s="19"/>
      <c r="C443" s="19"/>
      <c r="D443" s="39"/>
      <c r="E443" s="19"/>
      <c r="F443" s="47"/>
      <c r="G443" s="5"/>
      <c r="H443" s="5"/>
      <c r="I443" s="5"/>
      <c r="J443" s="252"/>
      <c r="L443" s="793"/>
      <c r="O443" s="5"/>
      <c r="Q443" s="5"/>
    </row>
    <row r="444" spans="1:17" ht="12">
      <c r="A444" s="19"/>
      <c r="B444" s="19"/>
      <c r="C444" s="39" t="s">
        <v>964</v>
      </c>
      <c r="D444" s="39"/>
      <c r="E444" s="19"/>
      <c r="F444" s="47"/>
      <c r="G444" s="5"/>
      <c r="H444" s="5"/>
      <c r="I444" s="5"/>
      <c r="J444" s="252"/>
      <c r="L444" s="793"/>
      <c r="O444" s="5"/>
      <c r="Q444" s="5"/>
    </row>
    <row r="445" spans="1:17" ht="12">
      <c r="A445" s="19"/>
      <c r="B445" s="19"/>
      <c r="C445" s="19"/>
      <c r="D445" s="39" t="s">
        <v>962</v>
      </c>
      <c r="E445" s="19"/>
      <c r="F445" s="47"/>
      <c r="G445" s="1"/>
      <c r="H445" s="5" t="str">
        <f>IF(ISNA(HLOOKUP($E$2,'HLookup Tables'!$H$13:$AL$443,408,FALSE)),"",(HLOOKUP($E$2,'HLookup Tables'!$H$13:$AL$443,408,FALSE)))</f>
        <v/>
      </c>
      <c r="I445" s="5" t="str">
        <f t="shared" ref="I445:I450" si="41">IF(ISERR(G445-H445),"",(G445-H445))</f>
        <v/>
      </c>
      <c r="J445" s="164" t="str">
        <f t="shared" ref="J445:J450" si="42">IF($E$7="","",IF(AND(G445=0,H445=0),"",IF(ISERR(I445/ABS(H445)),100%,I445/ABS(H445))))</f>
        <v/>
      </c>
      <c r="L445" s="793"/>
      <c r="O445" s="5"/>
      <c r="Q445" s="5"/>
    </row>
    <row r="446" spans="1:17" ht="12">
      <c r="A446" s="19"/>
      <c r="B446" s="19"/>
      <c r="C446" s="19"/>
      <c r="D446" s="39" t="s">
        <v>963</v>
      </c>
      <c r="E446" s="19"/>
      <c r="F446" s="47"/>
      <c r="G446" s="1"/>
      <c r="H446" s="5" t="str">
        <f>IF(ISNA(HLOOKUP($E$2,'HLookup Tables'!$H$13:$AL$443,409,FALSE)),"",(HLOOKUP($E$2,'HLookup Tables'!$H$13:$AL$443,409,FALSE)))</f>
        <v/>
      </c>
      <c r="I446" s="5" t="str">
        <f t="shared" si="41"/>
        <v/>
      </c>
      <c r="J446" s="164" t="str">
        <f t="shared" si="42"/>
        <v/>
      </c>
      <c r="L446" s="793"/>
      <c r="O446" s="5"/>
      <c r="Q446" s="5"/>
    </row>
    <row r="447" spans="1:17" ht="12">
      <c r="A447" s="19"/>
      <c r="B447" s="19"/>
      <c r="C447" s="19"/>
      <c r="D447" s="39" t="s">
        <v>2774</v>
      </c>
      <c r="E447" s="19"/>
      <c r="F447" s="47"/>
      <c r="G447" s="1"/>
      <c r="H447" s="5" t="str">
        <f>IF(ISNA(HLOOKUP($E$2,'HLookup Tables'!$H$13:$AL$443,410,FALSE)),"",(HLOOKUP($E$2,'HLookup Tables'!$H$13:$AL$443,410,FALSE)))</f>
        <v/>
      </c>
      <c r="I447" s="5" t="str">
        <f t="shared" si="41"/>
        <v/>
      </c>
      <c r="J447" s="164" t="str">
        <f t="shared" si="42"/>
        <v/>
      </c>
      <c r="L447" s="793"/>
      <c r="O447" s="5"/>
      <c r="Q447" s="5"/>
    </row>
    <row r="448" spans="1:17" ht="12">
      <c r="A448" s="19"/>
      <c r="B448" s="19"/>
      <c r="C448" s="19"/>
      <c r="D448" s="39" t="s">
        <v>2775</v>
      </c>
      <c r="E448" s="19"/>
      <c r="F448" s="47"/>
      <c r="G448" s="1"/>
      <c r="H448" s="5" t="str">
        <f>IF(ISNA(HLOOKUP($E$2,'HLookup Tables'!$H$13:$AL$443,411,FALSE)),"",(HLOOKUP($E$2,'HLookup Tables'!$H$13:$AL$443,411,FALSE)))</f>
        <v/>
      </c>
      <c r="I448" s="5" t="str">
        <f t="shared" si="41"/>
        <v/>
      </c>
      <c r="J448" s="164" t="str">
        <f t="shared" si="42"/>
        <v/>
      </c>
      <c r="L448" s="793"/>
      <c r="O448" s="5"/>
      <c r="Q448" s="5"/>
    </row>
    <row r="449" spans="1:17" ht="12">
      <c r="A449" s="19"/>
      <c r="B449" s="19"/>
      <c r="C449" s="19"/>
      <c r="D449" s="39" t="s">
        <v>2776</v>
      </c>
      <c r="E449" s="19"/>
      <c r="F449" s="47"/>
      <c r="G449" s="1"/>
      <c r="H449" s="5" t="str">
        <f>IF(ISNA(HLOOKUP($E$2,'HLookup Tables'!$H$13:$AL$443,412,FALSE)),"",(HLOOKUP($E$2,'HLookup Tables'!$H$13:$AL$443,412,FALSE)))</f>
        <v/>
      </c>
      <c r="I449" s="5" t="str">
        <f t="shared" si="41"/>
        <v/>
      </c>
      <c r="J449" s="164" t="str">
        <f t="shared" si="42"/>
        <v/>
      </c>
      <c r="L449" s="793"/>
      <c r="O449" s="5"/>
      <c r="Q449" s="5"/>
    </row>
    <row r="450" spans="1:17" ht="12">
      <c r="A450" s="19"/>
      <c r="B450" s="19"/>
      <c r="C450" s="19"/>
      <c r="D450" s="39" t="s">
        <v>2777</v>
      </c>
      <c r="E450" s="19"/>
      <c r="F450" s="47"/>
      <c r="G450" s="1"/>
      <c r="H450" s="5" t="str">
        <f>IF(ISNA(HLOOKUP($E$2,'HLookup Tables'!$H$13:$AL$443,413,FALSE)),"",(HLOOKUP($E$2,'HLookup Tables'!$H$13:$AL$443,413,FALSE)))</f>
        <v/>
      </c>
      <c r="I450" s="5" t="str">
        <f t="shared" si="41"/>
        <v/>
      </c>
      <c r="J450" s="164" t="str">
        <f t="shared" si="42"/>
        <v/>
      </c>
      <c r="L450" s="793"/>
      <c r="O450" s="5"/>
      <c r="Q450" s="5"/>
    </row>
    <row r="451" spans="1:17" ht="12">
      <c r="A451" s="19"/>
      <c r="B451" s="19"/>
      <c r="C451" s="19"/>
      <c r="D451" s="39"/>
      <c r="E451" s="19"/>
      <c r="F451" s="47"/>
      <c r="G451" s="5"/>
      <c r="H451" s="5"/>
      <c r="I451" s="5"/>
      <c r="J451" s="164"/>
      <c r="L451" s="793"/>
      <c r="O451" s="5"/>
      <c r="Q451" s="5"/>
    </row>
    <row r="452" spans="1:17" thickBot="1">
      <c r="A452" s="33" t="s">
        <v>67</v>
      </c>
      <c r="B452" s="19"/>
      <c r="C452" s="19"/>
      <c r="D452" s="19"/>
      <c r="E452" s="19"/>
      <c r="F452" s="30"/>
      <c r="G452" s="295">
        <f>IF(SUM(G376,G379:G383,G386:G398,G402,G403,G410,G415,G428,G442,G445,G446,G400,G401,G404,G405,G447,G448,G449,G450)=G301,SUM(G376,G379:G383,G386:G398,G402,G403,G410,G415,G428,G442,G445,G446,G447,G448,G449,G450,G400,G401,G404,G405),"ERROR")</f>
        <v>0</v>
      </c>
      <c r="H452" s="295">
        <f>IF(SUM(H376,H379:H383,H386:H398,H402,H403,H410,H415,H428,H442,H445:H450,H400,H401,H404,H405)=H301,SUM(H376,H379:H383,H386:H398,H402,H403,H410,H415,H428,H442,H445:H450,H400,H401,H404,H405),"ERROR")</f>
        <v>0</v>
      </c>
      <c r="I452" s="295">
        <f>IF(SUM(I376,I379:I383,I386:I398,I402,I403,I410,I415,I428,I442,I445:I450,I400,I401,I404,I405)=I301,SUM(I376,I379:I383,I386:I398,I402,I403,I410,I415,I428,I442,I445:I450,I400,I401,I404,I405),"ERROR")</f>
        <v>0</v>
      </c>
      <c r="J452" s="165" t="str">
        <f>IF(I452=0,"0%",IF(ISERR(I452/ABS(H452)),100%,I452/ABS(H452)))</f>
        <v>0%</v>
      </c>
      <c r="L452" s="796">
        <f>SUM(G376,G379:G383,G386:G398,G402,G403,G410,G415,G428,G442,G445,G446,G447,G448,G449,G450,G400,G401,G404,G405)-G301</f>
        <v>0</v>
      </c>
      <c r="O452" s="5"/>
      <c r="Q452" s="5"/>
    </row>
    <row r="453" spans="1:17" thickTop="1">
      <c r="A453" s="34"/>
      <c r="B453" s="19"/>
      <c r="C453" s="19"/>
      <c r="D453" s="19"/>
      <c r="E453" s="19"/>
      <c r="F453" s="289" t="s">
        <v>440</v>
      </c>
      <c r="G453" s="297">
        <f>(SUM(G376,G379:G383,G386:G398,G402,G403,G410,G415,G428,G442,G445,G446,G400,G401,G404,G405,G447,G448,G449,G450)-G301)</f>
        <v>0</v>
      </c>
      <c r="H453" s="297">
        <f>(SUM(H376,H379:H383,H386:H398,H402,H403,H410,H415,H428,H442,H445,H446,H400,H401,H404,H405,H447,H448,H449,H450)-H301)</f>
        <v>0</v>
      </c>
      <c r="I453" s="297">
        <f>(SUM(I376,I379:I383,I386:I398,I402,I403,I410,I415,I428,I442,I445,I446:I450,I400,I401,I404,I405)-I301)</f>
        <v>0</v>
      </c>
      <c r="J453" s="297"/>
      <c r="O453" s="5"/>
      <c r="Q453" s="5"/>
    </row>
    <row r="454" spans="1:17" ht="12">
      <c r="A454" s="20" t="s">
        <v>158</v>
      </c>
      <c r="B454" s="19"/>
      <c r="C454" s="19"/>
      <c r="D454" s="19"/>
      <c r="E454" s="19"/>
      <c r="F454" s="22"/>
      <c r="G454" s="25"/>
      <c r="H454" s="5"/>
      <c r="I454" s="5"/>
      <c r="J454" s="164"/>
      <c r="O454" s="5"/>
      <c r="Q454" s="5"/>
    </row>
    <row r="455" spans="1:17" ht="12">
      <c r="A455" s="20"/>
      <c r="B455" s="19"/>
      <c r="C455" s="19"/>
      <c r="D455" s="19"/>
      <c r="E455" s="19"/>
      <c r="F455" s="22"/>
      <c r="H455" s="5"/>
      <c r="I455" s="5"/>
      <c r="J455" s="164"/>
      <c r="L455" s="794"/>
      <c r="O455" s="5"/>
    </row>
    <row r="456" spans="1:17" ht="12">
      <c r="A456" s="39" t="s">
        <v>781</v>
      </c>
      <c r="B456" s="19"/>
      <c r="C456" s="19"/>
      <c r="D456" s="19"/>
      <c r="E456" s="19"/>
      <c r="F456" s="22"/>
      <c r="H456" s="5"/>
      <c r="I456" s="5"/>
      <c r="J456" s="164"/>
      <c r="L456" s="794"/>
      <c r="O456" s="5"/>
    </row>
    <row r="457" spans="1:17" ht="12">
      <c r="A457" s="34"/>
      <c r="B457" s="19"/>
      <c r="C457" s="19"/>
      <c r="D457" s="19"/>
      <c r="E457" s="19"/>
      <c r="F457" s="22"/>
      <c r="H457" s="5"/>
      <c r="I457" s="5"/>
      <c r="J457" s="164"/>
      <c r="L457" s="794"/>
      <c r="O457" s="5"/>
    </row>
    <row r="458" spans="1:17" ht="12">
      <c r="A458" s="19"/>
      <c r="B458" s="33" t="s">
        <v>175</v>
      </c>
      <c r="C458" s="19"/>
      <c r="D458" s="19"/>
      <c r="E458" s="19"/>
      <c r="F458" s="22"/>
      <c r="G458" s="1"/>
      <c r="H458" s="5" t="str">
        <f>IF(ISNA(HLOOKUP($E$2,'HLookup Tables'!$H$13:$AL$443,421,FALSE)),"",(HLOOKUP($E$2,'HLookup Tables'!$H$13:$AL$443,421,FALSE)))</f>
        <v/>
      </c>
      <c r="I458" s="5" t="str">
        <f t="shared" ref="I458:I466" si="43">IF(ISERR(G458-H458),"",(G458-H458))</f>
        <v/>
      </c>
      <c r="J458" s="164" t="str">
        <f t="shared" ref="J458:J466" si="44">IF($E$7="","",IF(AND(G458=0,H458=0),"",IF(ISERR(I458/ABS(H458)),100%,I458/ABS(H458))))</f>
        <v/>
      </c>
      <c r="L458" s="794"/>
      <c r="O458" s="5"/>
      <c r="Q458" s="25"/>
    </row>
    <row r="459" spans="1:17" ht="12">
      <c r="A459" s="19"/>
      <c r="B459" s="33" t="s">
        <v>3355</v>
      </c>
      <c r="C459" s="19"/>
      <c r="D459" s="19"/>
      <c r="E459" s="19"/>
      <c r="F459" s="22"/>
      <c r="G459" s="1"/>
      <c r="H459" s="5" t="str">
        <f>IF(ISNA(HLOOKUP($E$2,'HLookup Tables'!$H$13:$AL$443,422,FALSE)),"",(HLOOKUP($E$2,'HLookup Tables'!$H$13:$AL$443,422,FALSE)))</f>
        <v/>
      </c>
      <c r="I459" s="5" t="str">
        <f t="shared" si="43"/>
        <v/>
      </c>
      <c r="J459" s="164" t="str">
        <f t="shared" si="44"/>
        <v/>
      </c>
      <c r="L459" s="794"/>
      <c r="O459" s="5"/>
      <c r="Q459" s="25"/>
    </row>
    <row r="460" spans="1:17" ht="12">
      <c r="A460" s="19"/>
      <c r="B460" s="33" t="s">
        <v>3393</v>
      </c>
      <c r="C460" s="19"/>
      <c r="D460" s="19"/>
      <c r="E460" s="19"/>
      <c r="F460" s="22"/>
      <c r="G460" s="1"/>
      <c r="H460" s="5" t="str">
        <f>IF(ISNA(HLOOKUP($E$2,'HLookup Tables'!$H$13:$AL$443,423,FALSE)),"",(HLOOKUP($E$2,'HLookup Tables'!$H$13:$AL$443,423,FALSE)))</f>
        <v/>
      </c>
      <c r="I460" s="5" t="str">
        <f t="shared" si="43"/>
        <v/>
      </c>
      <c r="J460" s="164" t="str">
        <f t="shared" si="44"/>
        <v/>
      </c>
      <c r="L460" s="794"/>
      <c r="O460" s="5"/>
      <c r="Q460" s="25"/>
    </row>
    <row r="461" spans="1:17" ht="12">
      <c r="A461" s="19"/>
      <c r="B461" s="33" t="s">
        <v>3360</v>
      </c>
      <c r="C461" s="19"/>
      <c r="D461" s="19"/>
      <c r="E461" s="19"/>
      <c r="F461" s="22"/>
      <c r="G461" s="1"/>
      <c r="H461" s="5" t="str">
        <f>IF(ISNA(HLOOKUP($E$2,'HLookup Tables'!$H$13:$AL$443,424,FALSE)),"",(HLOOKUP($E$2,'HLookup Tables'!$H$13:$AL$443,424,FALSE)))</f>
        <v/>
      </c>
      <c r="I461" s="5" t="str">
        <f t="shared" si="43"/>
        <v/>
      </c>
      <c r="J461" s="164"/>
      <c r="L461" s="794"/>
      <c r="O461" s="5"/>
      <c r="Q461" s="25"/>
    </row>
    <row r="462" spans="1:17" ht="12">
      <c r="A462" s="19"/>
      <c r="B462" s="33" t="s">
        <v>164</v>
      </c>
      <c r="C462" s="19"/>
      <c r="D462" s="19"/>
      <c r="E462" s="19"/>
      <c r="F462" s="22"/>
      <c r="G462" s="1"/>
      <c r="H462" s="5" t="str">
        <f>IF(ISNA(HLOOKUP($E$2,'HLookup Tables'!$H$13:$AL$443,425,FALSE)),"",(HLOOKUP($E$2,'HLookup Tables'!$H$13:$AL$443,425,FALSE)))</f>
        <v/>
      </c>
      <c r="I462" s="5" t="str">
        <f t="shared" si="43"/>
        <v/>
      </c>
      <c r="J462" s="164" t="str">
        <f t="shared" si="44"/>
        <v/>
      </c>
      <c r="L462" s="794"/>
      <c r="O462" s="5"/>
      <c r="Q462" s="25"/>
    </row>
    <row r="463" spans="1:17" ht="12">
      <c r="A463" s="19"/>
      <c r="B463" s="33" t="s">
        <v>821</v>
      </c>
      <c r="C463" s="19"/>
      <c r="D463" s="19"/>
      <c r="E463" s="19"/>
      <c r="F463" s="22"/>
      <c r="G463" s="1"/>
      <c r="H463" s="5" t="str">
        <f>IF(ISNA(HLOOKUP($E$2,'HLookup Tables'!$H$13:$AL$443,426,FALSE)),"",(HLOOKUP($E$2,'HLookup Tables'!$H$13:$AL$443,426,FALSE)))</f>
        <v/>
      </c>
      <c r="I463" s="5" t="str">
        <f t="shared" si="43"/>
        <v/>
      </c>
      <c r="J463" s="164" t="str">
        <f t="shared" si="44"/>
        <v/>
      </c>
      <c r="L463" s="794"/>
      <c r="O463" s="5"/>
      <c r="Q463" s="25"/>
    </row>
    <row r="464" spans="1:17" ht="12">
      <c r="A464" s="19"/>
      <c r="B464" s="33" t="s">
        <v>2989</v>
      </c>
      <c r="C464" s="19"/>
      <c r="D464" s="19"/>
      <c r="E464" s="19"/>
      <c r="F464" s="22"/>
      <c r="G464" s="1"/>
      <c r="H464" s="5" t="str">
        <f>IF(ISNA(HLOOKUP($E$2,'HLookup Tables'!$H$13:$AL$443,427,FALSE)),"",(HLOOKUP($E$2,'HLookup Tables'!$H$13:$AL$443,427,FALSE)))</f>
        <v/>
      </c>
      <c r="I464" s="5" t="str">
        <f t="shared" si="43"/>
        <v/>
      </c>
      <c r="J464" s="164" t="str">
        <f t="shared" si="44"/>
        <v/>
      </c>
      <c r="L464" s="794"/>
      <c r="O464" s="5"/>
      <c r="Q464" s="25"/>
    </row>
    <row r="465" spans="1:19" ht="12" hidden="1">
      <c r="A465" s="19"/>
      <c r="B465" s="33" t="s">
        <v>797</v>
      </c>
      <c r="C465" s="19"/>
      <c r="D465" s="19"/>
      <c r="E465" s="19"/>
      <c r="F465" s="22"/>
      <c r="G465" s="1"/>
      <c r="H465" s="5" t="str">
        <f>IF(ISNA(HLOOKUP($E$2,'HLookup Tables'!$H$13:$AL$443,418,FALSE)),"",(HLOOKUP($E$2,'HLookup Tables'!$H$13:$AL$443,418,FALSE)))</f>
        <v/>
      </c>
      <c r="I465" s="5" t="str">
        <f t="shared" si="43"/>
        <v/>
      </c>
      <c r="J465" s="164" t="str">
        <f t="shared" si="44"/>
        <v/>
      </c>
      <c r="L465" s="794"/>
      <c r="O465" s="5"/>
      <c r="Q465" s="25"/>
    </row>
    <row r="466" spans="1:19" ht="12">
      <c r="A466" s="19"/>
      <c r="B466" s="33" t="s">
        <v>324</v>
      </c>
      <c r="C466" s="19"/>
      <c r="D466" s="19"/>
      <c r="E466" s="598" t="str">
        <f>IF(G466&lt;&gt;0,"Answer Required","N/A")</f>
        <v>N/A</v>
      </c>
      <c r="F466" s="22"/>
      <c r="G466" s="1"/>
      <c r="H466" s="5" t="str">
        <f>IF(ISNA(HLOOKUP($E$2,'HLookup Tables'!$H$13:$AL$443,429,FALSE)),"",(HLOOKUP($E$2,'HLookup Tables'!$H$13:$AL$443,429,FALSE)))</f>
        <v/>
      </c>
      <c r="I466" s="5" t="str">
        <f t="shared" si="43"/>
        <v/>
      </c>
      <c r="J466" s="164" t="str">
        <f t="shared" si="44"/>
        <v/>
      </c>
      <c r="L466" s="794"/>
      <c r="O466" s="5"/>
      <c r="Q466" s="25"/>
    </row>
    <row r="467" spans="1:19" ht="12">
      <c r="A467" s="34"/>
      <c r="B467" s="19"/>
      <c r="C467" s="19"/>
      <c r="D467" s="19"/>
      <c r="E467" s="19"/>
      <c r="F467" s="22"/>
      <c r="G467" s="5"/>
      <c r="H467" s="5"/>
      <c r="I467" s="5"/>
      <c r="J467" s="164"/>
      <c r="L467" s="794"/>
      <c r="O467" s="5"/>
      <c r="Q467" s="25"/>
    </row>
    <row r="468" spans="1:19" thickBot="1">
      <c r="A468" s="33" t="s">
        <v>159</v>
      </c>
      <c r="B468" s="19"/>
      <c r="C468" s="19"/>
      <c r="D468" s="19"/>
      <c r="E468" s="19"/>
      <c r="F468" s="22"/>
      <c r="G468" s="37">
        <f>SUM(G458:G466)</f>
        <v>0</v>
      </c>
      <c r="H468" s="37">
        <f>SUM(H458:H466)</f>
        <v>0</v>
      </c>
      <c r="I468" s="37">
        <f>SUM(I458:I466)</f>
        <v>0</v>
      </c>
      <c r="J468" s="165" t="str">
        <f>IF(I468=0,"0%",IF(ISERR(I468/ABS(H468)),100%,I468/ABS(H468)))</f>
        <v>0%</v>
      </c>
      <c r="L468" s="794"/>
      <c r="O468" s="5"/>
      <c r="Q468" s="25"/>
    </row>
    <row r="469" spans="1:19" thickTop="1">
      <c r="A469" s="33"/>
      <c r="B469" s="19"/>
      <c r="C469" s="19"/>
      <c r="D469" s="19"/>
      <c r="E469" s="19"/>
      <c r="F469" s="22"/>
      <c r="G469" s="5"/>
      <c r="J469" s="25"/>
      <c r="L469" s="794"/>
      <c r="Q469" s="25"/>
    </row>
    <row r="470" spans="1:19" ht="13.5" customHeight="1">
      <c r="A470" s="19"/>
      <c r="B470" s="19"/>
      <c r="C470" s="19"/>
      <c r="D470" s="19"/>
      <c r="E470" s="19"/>
      <c r="G470" s="12"/>
      <c r="J470" s="27"/>
      <c r="L470" s="795"/>
      <c r="Q470" s="25"/>
    </row>
    <row r="471" spans="1:19" ht="12" customHeight="1">
      <c r="A471" s="19"/>
      <c r="B471" s="19"/>
      <c r="C471" s="19"/>
      <c r="D471" s="19"/>
      <c r="E471" s="19"/>
      <c r="G471" s="12"/>
      <c r="J471" s="27"/>
      <c r="L471" s="795"/>
      <c r="Q471" s="25"/>
    </row>
    <row r="472" spans="1:19">
      <c r="A472" s="19"/>
      <c r="B472" s="19"/>
      <c r="C472" s="19"/>
      <c r="D472" s="354" t="s">
        <v>44</v>
      </c>
      <c r="E472" s="349"/>
      <c r="F472" s="350"/>
      <c r="G472" s="12"/>
      <c r="J472" s="25"/>
      <c r="L472" s="794"/>
      <c r="O472" s="25"/>
      <c r="Q472" s="25"/>
    </row>
    <row r="473" spans="1:19">
      <c r="A473" s="19"/>
      <c r="B473" s="19"/>
      <c r="C473" s="19"/>
      <c r="D473" s="351"/>
      <c r="E473" s="19"/>
      <c r="F473" s="352"/>
      <c r="G473" s="12"/>
      <c r="Q473" s="27"/>
    </row>
    <row r="474" spans="1:19">
      <c r="A474" s="19"/>
      <c r="B474" s="19"/>
      <c r="C474" s="19"/>
      <c r="D474" s="351" t="s">
        <v>55</v>
      </c>
      <c r="E474" s="19"/>
      <c r="F474" s="260">
        <f>G38+G44+G76</f>
        <v>0</v>
      </c>
      <c r="G474" s="12"/>
      <c r="Q474" s="27"/>
    </row>
    <row r="475" spans="1:19">
      <c r="A475" s="19"/>
      <c r="B475" s="19"/>
      <c r="C475" s="19"/>
      <c r="D475" s="351" t="s">
        <v>56</v>
      </c>
      <c r="E475" s="19"/>
      <c r="F475" s="260">
        <f>G36+G42</f>
        <v>0</v>
      </c>
      <c r="G475" s="12"/>
      <c r="Q475" s="258"/>
      <c r="S475" s="25"/>
    </row>
    <row r="476" spans="1:19">
      <c r="A476" s="19"/>
      <c r="B476" s="19"/>
      <c r="C476" s="19"/>
      <c r="D476" s="351" t="s">
        <v>57</v>
      </c>
      <c r="E476" s="19"/>
      <c r="F476" s="260">
        <f>G55+G88</f>
        <v>0</v>
      </c>
      <c r="G476" s="12"/>
    </row>
    <row r="477" spans="1:19">
      <c r="A477" s="19"/>
      <c r="B477" s="19"/>
      <c r="C477" s="19"/>
      <c r="D477" s="351" t="s">
        <v>3195</v>
      </c>
      <c r="E477" s="19"/>
      <c r="F477" s="260">
        <f>G136+G162</f>
        <v>0</v>
      </c>
      <c r="G477" s="12"/>
    </row>
    <row r="478" spans="1:19">
      <c r="A478" s="19"/>
      <c r="B478" s="19"/>
      <c r="C478" s="19"/>
      <c r="D478" s="351" t="s">
        <v>194</v>
      </c>
      <c r="E478" s="19"/>
      <c r="F478" s="260">
        <f>G137+G163</f>
        <v>0</v>
      </c>
      <c r="G478" s="12"/>
      <c r="J478" s="5"/>
      <c r="L478" s="793"/>
    </row>
    <row r="479" spans="1:19">
      <c r="A479" s="19"/>
      <c r="B479" s="19"/>
      <c r="C479" s="19"/>
      <c r="D479" s="351" t="s">
        <v>3357</v>
      </c>
      <c r="E479" s="925"/>
      <c r="F479" s="260">
        <f>G139+G165</f>
        <v>0</v>
      </c>
      <c r="G479" s="12"/>
      <c r="J479" s="5"/>
      <c r="L479" s="793"/>
    </row>
    <row r="480" spans="1:19">
      <c r="A480" s="19"/>
      <c r="B480" s="19"/>
      <c r="C480" s="19"/>
      <c r="D480" s="351" t="s">
        <v>3391</v>
      </c>
      <c r="E480" s="19"/>
      <c r="F480" s="260">
        <f>G140+G166</f>
        <v>0</v>
      </c>
      <c r="G480" s="12"/>
      <c r="J480" s="5"/>
      <c r="L480" s="793"/>
    </row>
    <row r="481" spans="1:17">
      <c r="A481" s="19"/>
      <c r="B481" s="19"/>
      <c r="C481" s="19"/>
      <c r="D481" s="353" t="s">
        <v>3376</v>
      </c>
      <c r="E481" s="23"/>
      <c r="F481" s="260">
        <f>G142+G168</f>
        <v>0</v>
      </c>
      <c r="G481" s="12"/>
      <c r="J481" s="5"/>
      <c r="L481" s="793"/>
    </row>
    <row r="482" spans="1:17">
      <c r="A482" s="19"/>
      <c r="B482" s="19"/>
      <c r="C482" s="19"/>
      <c r="D482" s="19"/>
      <c r="E482" s="19"/>
      <c r="G482" s="12"/>
      <c r="J482" s="5"/>
      <c r="L482" s="793"/>
    </row>
    <row r="483" spans="1:17">
      <c r="A483" s="19"/>
      <c r="B483" s="19"/>
      <c r="C483" s="19"/>
      <c r="D483" s="19"/>
      <c r="E483" s="19"/>
      <c r="G483" s="12"/>
      <c r="J483" s="5"/>
      <c r="L483" s="793"/>
      <c r="Q483" s="5"/>
    </row>
    <row r="484" spans="1:17">
      <c r="A484" s="19"/>
      <c r="B484" s="19"/>
      <c r="C484" s="19"/>
      <c r="D484" s="19"/>
      <c r="E484" s="19"/>
      <c r="G484" s="12"/>
      <c r="J484" s="5"/>
      <c r="L484" s="793"/>
      <c r="Q484" s="5"/>
    </row>
    <row r="485" spans="1:17">
      <c r="A485" s="19"/>
      <c r="B485" s="19"/>
      <c r="C485" s="19"/>
      <c r="D485" s="19"/>
      <c r="E485" s="19"/>
      <c r="G485" s="12"/>
      <c r="J485" s="5"/>
      <c r="L485" s="793"/>
      <c r="Q485" s="5"/>
    </row>
    <row r="486" spans="1:17">
      <c r="A486" s="19"/>
      <c r="B486" s="19"/>
      <c r="C486" s="19"/>
      <c r="D486" s="19"/>
      <c r="E486" s="19"/>
      <c r="G486" s="12"/>
      <c r="J486" s="5"/>
      <c r="L486" s="793"/>
      <c r="Q486" s="5"/>
    </row>
    <row r="487" spans="1:17">
      <c r="A487" s="19"/>
      <c r="B487" s="19"/>
      <c r="C487" s="19"/>
      <c r="D487" s="19"/>
      <c r="E487" s="19"/>
      <c r="G487" s="12"/>
      <c r="J487" s="5"/>
      <c r="L487" s="793"/>
      <c r="Q487" s="5"/>
    </row>
    <row r="488" spans="1:17">
      <c r="A488" s="19"/>
      <c r="B488" s="19"/>
      <c r="C488" s="19"/>
      <c r="D488" s="19"/>
      <c r="E488" s="19"/>
      <c r="G488" s="12"/>
      <c r="Q488" s="5"/>
    </row>
    <row r="489" spans="1:17" ht="12.75" customHeight="1">
      <c r="A489" s="19"/>
      <c r="B489" s="19"/>
      <c r="C489" s="19"/>
      <c r="D489" s="19"/>
      <c r="E489" s="19"/>
      <c r="G489" s="12"/>
      <c r="Q489" s="5"/>
    </row>
    <row r="490" spans="1:17" ht="12.75" customHeight="1">
      <c r="A490" s="19"/>
      <c r="B490" s="19"/>
      <c r="C490" s="19"/>
      <c r="D490" s="19"/>
      <c r="E490" s="19"/>
      <c r="G490" s="12"/>
      <c r="Q490" s="5"/>
    </row>
    <row r="491" spans="1:17" ht="12.75" customHeight="1">
      <c r="A491" s="19"/>
      <c r="B491" s="19"/>
      <c r="C491" s="19"/>
      <c r="D491" s="19"/>
      <c r="E491" s="19"/>
      <c r="G491" s="12"/>
    </row>
    <row r="492" spans="1:17" ht="12.75" customHeight="1">
      <c r="A492" s="19"/>
      <c r="B492" s="19"/>
      <c r="C492" s="19"/>
      <c r="D492" s="19"/>
      <c r="E492" s="19"/>
      <c r="G492" s="12"/>
    </row>
    <row r="493" spans="1:17" ht="12.75" customHeight="1">
      <c r="A493" s="19"/>
      <c r="B493" s="19"/>
      <c r="C493" s="19"/>
      <c r="D493" s="19"/>
      <c r="E493" s="19"/>
      <c r="G493" s="12"/>
    </row>
    <row r="494" spans="1:17" ht="12.75" customHeight="1">
      <c r="A494" s="19"/>
      <c r="B494" s="19"/>
      <c r="C494" s="19"/>
      <c r="D494" s="19"/>
      <c r="E494" s="19"/>
      <c r="G494" s="12"/>
    </row>
    <row r="495" spans="1:17" ht="12.75" customHeight="1">
      <c r="A495" s="19"/>
      <c r="B495" s="19"/>
      <c r="C495" s="19"/>
      <c r="D495" s="19"/>
      <c r="E495" s="19"/>
      <c r="G495" s="12"/>
    </row>
    <row r="496" spans="1:17" ht="12.75" customHeight="1">
      <c r="A496" s="19"/>
      <c r="B496" s="19"/>
      <c r="C496" s="19"/>
      <c r="D496" s="19"/>
      <c r="E496" s="19"/>
      <c r="G496" s="12"/>
    </row>
    <row r="497" spans="1:7" ht="12.75" hidden="1" customHeight="1">
      <c r="A497" s="19"/>
      <c r="B497" s="19"/>
      <c r="C497" s="19"/>
      <c r="D497" s="19"/>
      <c r="E497" s="19" t="s">
        <v>404</v>
      </c>
      <c r="G497" s="12"/>
    </row>
    <row r="498" spans="1:7" ht="12.75" hidden="1" customHeight="1">
      <c r="A498" s="19"/>
      <c r="B498" s="19"/>
      <c r="C498" s="19"/>
      <c r="D498" s="19"/>
      <c r="E498" s="19" t="s">
        <v>405</v>
      </c>
      <c r="G498" s="12"/>
    </row>
    <row r="499" spans="1:7" ht="12.75" hidden="1" customHeight="1">
      <c r="A499" s="19"/>
      <c r="B499" s="19"/>
      <c r="C499" s="19"/>
      <c r="D499" s="19"/>
      <c r="E499" s="19"/>
      <c r="G499" s="12"/>
    </row>
    <row r="500" spans="1:7" ht="12.75" customHeight="1">
      <c r="A500" s="19"/>
      <c r="B500" s="19"/>
      <c r="C500" s="19"/>
      <c r="D500" s="19"/>
      <c r="E500" s="19"/>
      <c r="G500" s="12"/>
    </row>
    <row r="501" spans="1:7" ht="12.75" customHeight="1">
      <c r="A501" s="19"/>
      <c r="B501" s="19"/>
      <c r="C501" s="19"/>
      <c r="D501" s="19"/>
      <c r="E501" s="19"/>
      <c r="G501" s="12"/>
    </row>
    <row r="502" spans="1:7">
      <c r="A502" s="19"/>
      <c r="B502" s="19"/>
      <c r="C502" s="19"/>
      <c r="D502" s="19"/>
      <c r="E502" s="19"/>
      <c r="G502" s="12"/>
    </row>
    <row r="503" spans="1:7" ht="12.75" customHeight="1">
      <c r="A503" s="19"/>
      <c r="B503" s="19"/>
      <c r="C503" s="19"/>
      <c r="D503" s="19"/>
      <c r="E503" s="19"/>
      <c r="G503" s="12"/>
    </row>
    <row r="504" spans="1:7" ht="12.75" customHeight="1">
      <c r="A504" s="19"/>
      <c r="B504" s="19"/>
      <c r="C504" s="19"/>
      <c r="D504" s="19"/>
      <c r="E504" s="19"/>
      <c r="G504" s="12"/>
    </row>
    <row r="505" spans="1:7" ht="12.75" customHeight="1">
      <c r="A505" s="19"/>
      <c r="B505" s="19"/>
      <c r="C505" s="19"/>
      <c r="D505" s="19"/>
      <c r="E505" s="19"/>
      <c r="G505" s="12"/>
    </row>
    <row r="506" spans="1:7" ht="12.75" customHeight="1">
      <c r="G506" s="12"/>
    </row>
    <row r="507" spans="1:7" ht="12.75" customHeight="1">
      <c r="G507" s="12"/>
    </row>
    <row r="508" spans="1:7" ht="12.75" customHeight="1">
      <c r="G508" s="12"/>
    </row>
    <row r="509" spans="1:7" ht="12.75" customHeight="1">
      <c r="G509" s="12"/>
    </row>
    <row r="510" spans="1:7" ht="12.75" customHeight="1">
      <c r="G510" s="12"/>
    </row>
    <row r="511" spans="1:7" ht="12.75" customHeight="1">
      <c r="G511" s="12"/>
    </row>
    <row r="512" spans="1:7" ht="12.75" customHeight="1">
      <c r="G512" s="12"/>
    </row>
    <row r="513" spans="7:7" ht="12.75" customHeight="1">
      <c r="G513" s="12"/>
    </row>
    <row r="514" spans="7:7" ht="12.75" customHeight="1">
      <c r="G514" s="12"/>
    </row>
    <row r="515" spans="7:7" ht="12.75" customHeight="1">
      <c r="G515" s="12"/>
    </row>
    <row r="516" spans="7:7" ht="12.75" customHeight="1">
      <c r="G516" s="12"/>
    </row>
    <row r="517" spans="7:7" ht="12.75" customHeight="1">
      <c r="G517" s="12"/>
    </row>
    <row r="518" spans="7:7" ht="12.75" customHeight="1">
      <c r="G518" s="12"/>
    </row>
    <row r="519" spans="7:7" ht="12.75" customHeight="1">
      <c r="G519" s="12"/>
    </row>
    <row r="520" spans="7:7">
      <c r="G520" s="12"/>
    </row>
    <row r="521" spans="7:7">
      <c r="G521" s="12"/>
    </row>
    <row r="522" spans="7:7">
      <c r="G522" s="12"/>
    </row>
    <row r="523" spans="7:7">
      <c r="G523" s="12"/>
    </row>
    <row r="524" spans="7:7">
      <c r="G524" s="12"/>
    </row>
    <row r="525" spans="7:7">
      <c r="G525" s="12"/>
    </row>
  </sheetData>
  <sheetProtection algorithmName="SHA-512" hashValue="gpNNnZx1sL0SrGY9odl2L/PJ0oNpAB0g4Z0IZuFGK1yFhB5SShS8bR3J8xFcbC9WOE1xnpNmxvKSmSdBdVws8w==" saltValue="RXxXs7dZdY3LKpYGEow8jQ==" spinCount="100000" sheet="1" objects="1" scenarios="1"/>
  <mergeCells count="31">
    <mergeCell ref="D421:E421"/>
    <mergeCell ref="D434:E434"/>
    <mergeCell ref="A1:D1"/>
    <mergeCell ref="E1:G1"/>
    <mergeCell ref="A2:D2"/>
    <mergeCell ref="E2:G2"/>
    <mergeCell ref="A5:D5"/>
    <mergeCell ref="E5:G5"/>
    <mergeCell ref="A6:D6"/>
    <mergeCell ref="E6:G6"/>
    <mergeCell ref="A3:D3"/>
    <mergeCell ref="E3:G3"/>
    <mergeCell ref="A4:D4"/>
    <mergeCell ref="E4:G4"/>
    <mergeCell ref="A323:D323"/>
    <mergeCell ref="A368:D368"/>
    <mergeCell ref="A7:D7"/>
    <mergeCell ref="E381:F381"/>
    <mergeCell ref="F373:F374"/>
    <mergeCell ref="F328:F329"/>
    <mergeCell ref="E252:F252"/>
    <mergeCell ref="E7:G7"/>
    <mergeCell ref="A105:D105"/>
    <mergeCell ref="A10:G25"/>
    <mergeCell ref="A195:D195"/>
    <mergeCell ref="F28:F29"/>
    <mergeCell ref="F108:F109"/>
    <mergeCell ref="F198:F199"/>
    <mergeCell ref="F274:F275"/>
    <mergeCell ref="A271:D271"/>
    <mergeCell ref="A332:E332"/>
  </mergeCells>
  <phoneticPr fontId="46" type="noConversion"/>
  <conditionalFormatting sqref="E54">
    <cfRule type="cellIs" dxfId="207" priority="57" operator="equal">
      <formula>"Answer Required"</formula>
    </cfRule>
  </conditionalFormatting>
  <conditionalFormatting sqref="E68">
    <cfRule type="cellIs" dxfId="206" priority="28" operator="equal">
      <formula>"Answer Required"</formula>
    </cfRule>
  </conditionalFormatting>
  <conditionalFormatting sqref="E86">
    <cfRule type="cellIs" dxfId="205" priority="27" operator="equal">
      <formula>"Answer Required"</formula>
    </cfRule>
  </conditionalFormatting>
  <conditionalFormatting sqref="E91">
    <cfRule type="cellIs" dxfId="204" priority="26" operator="equal">
      <formula>"Answer Required"</formula>
    </cfRule>
  </conditionalFormatting>
  <conditionalFormatting sqref="E116">
    <cfRule type="cellIs" dxfId="203" priority="25" operator="equal">
      <formula>"Answer Required"</formula>
    </cfRule>
  </conditionalFormatting>
  <conditionalFormatting sqref="E132">
    <cfRule type="cellIs" dxfId="202" priority="24" operator="equal">
      <formula>"Answer Required"</formula>
    </cfRule>
  </conditionalFormatting>
  <conditionalFormatting sqref="E144:E145">
    <cfRule type="cellIs" dxfId="201" priority="23" operator="equal">
      <formula>"Answer Required"</formula>
    </cfRule>
  </conditionalFormatting>
  <conditionalFormatting sqref="E158">
    <cfRule type="cellIs" dxfId="200" priority="22" operator="equal">
      <formula>"Answer Required"</formula>
    </cfRule>
  </conditionalFormatting>
  <conditionalFormatting sqref="E170">
    <cfRule type="cellIs" dxfId="199" priority="21" operator="equal">
      <formula>"Answer Required"</formula>
    </cfRule>
  </conditionalFormatting>
  <conditionalFormatting sqref="E190">
    <cfRule type="cellIs" dxfId="198" priority="20" operator="equal">
      <formula>"Answer Required"</formula>
    </cfRule>
  </conditionalFormatting>
  <conditionalFormatting sqref="E208">
    <cfRule type="cellIs" dxfId="197" priority="19" operator="equal">
      <formula>"Answer Required"</formula>
    </cfRule>
  </conditionalFormatting>
  <conditionalFormatting sqref="E235">
    <cfRule type="cellIs" dxfId="196" priority="18" operator="equal">
      <formula>"Answer Required"</formula>
    </cfRule>
  </conditionalFormatting>
  <conditionalFormatting sqref="E255">
    <cfRule type="cellIs" dxfId="195" priority="17" operator="equal">
      <formula>"Answer Required"</formula>
    </cfRule>
  </conditionalFormatting>
  <conditionalFormatting sqref="E263:E264">
    <cfRule type="cellIs" dxfId="194" priority="15" operator="equal">
      <formula>"Answer Required"</formula>
    </cfRule>
  </conditionalFormatting>
  <conditionalFormatting sqref="E293:E294">
    <cfRule type="cellIs" dxfId="193" priority="13" operator="equal">
      <formula>"Answer Required"</formula>
    </cfRule>
  </conditionalFormatting>
  <conditionalFormatting sqref="E297:E298">
    <cfRule type="cellIs" dxfId="192" priority="11" operator="equal">
      <formula>"Answer Required"</formula>
    </cfRule>
  </conditionalFormatting>
  <conditionalFormatting sqref="E311:E312">
    <cfRule type="cellIs" dxfId="191" priority="9" operator="equal">
      <formula>"Answer Required"</formula>
    </cfRule>
  </conditionalFormatting>
  <conditionalFormatting sqref="E316:E317">
    <cfRule type="cellIs" dxfId="190" priority="7" operator="equal">
      <formula>"Answer Required"</formula>
    </cfRule>
  </conditionalFormatting>
  <conditionalFormatting sqref="E338:E339">
    <cfRule type="cellIs" dxfId="189" priority="5" operator="equal">
      <formula>"Answer Required"</formula>
    </cfRule>
  </conditionalFormatting>
  <conditionalFormatting sqref="E343:E344">
    <cfRule type="cellIs" dxfId="188" priority="3" operator="equal">
      <formula>"Answer Required"</formula>
    </cfRule>
  </conditionalFormatting>
  <conditionalFormatting sqref="E383">
    <cfRule type="cellIs" dxfId="187" priority="2" operator="equal">
      <formula>"Answer Required"</formula>
    </cfRule>
  </conditionalFormatting>
  <conditionalFormatting sqref="E466">
    <cfRule type="cellIs" dxfId="186" priority="1" operator="equal">
      <formula>"Answer Required"</formula>
    </cfRule>
  </conditionalFormatting>
  <dataValidations xWindow="709" yWindow="443" count="35">
    <dataValidation allowBlank="1" showErrorMessage="1" sqref="Q489 F469:G469 G467 L486 J486 E6:G6 E1 G26:G29 G31:G32 O108 J104:J109 G104:G108 G111:G112 J98 J111 H238 S111 Q101:Q113 L270:L274 O274 L375:L377 G295:G296 L268 G236:G242 G256:G261 G271:G275 G277 H236 H295 L293:L294 L234:L240 L252:L259 H260 H258 H256 H240 H318 Q257:Q262 G358:G363 H374 L311:L312 L316:L319 L356:L360 L439:L445 H313 J270:J275 H320 J366:J375 G442:H444 G313:G314 G318:G321 L98:L108 O372 L362:L364 L366:L373 Q365:Q380 Q314:Q315 Q319:Q322 Q359:Q363 Q444:Q453 S375 S277 Q296:Q297 Q237:Q243 Q271:Q278 G451 H275 H111 G109:H109 G367:G379" xr:uid="{00000000-0002-0000-0200-000000000000}"/>
    <dataValidation allowBlank="1" showErrorMessage="1" prompt="_x000a__x000a_" sqref="Q455:Q482 H97 O472 G453:G457 J469:J477 L453:L477 S475 H174 O198 H176:I176 L191 S201 J321:J329 L320:L328 G322:G330 O327 Q323:Q331 S330 Q194:Q202 L193:L198 G194:G199 G201 J193:J199 H329 H199 H453:J453" xr:uid="{00000000-0002-0000-0200-000001000000}"/>
    <dataValidation type="whole" allowBlank="1" showErrorMessage="1" prompt="_x000a__x000a_" sqref="Q490 J487 L487 G468:H468" xr:uid="{00000000-0002-0000-0200-000002000000}">
      <formula1>-9999999999999990</formula1>
      <formula2>9.99999999999999E+23</formula2>
    </dataValidation>
    <dataValidation type="whole" allowBlank="1" showErrorMessage="1" prompt="_x000a__x000a__x000a_" sqref="Q454 L446:L452" xr:uid="{00000000-0002-0000-0200-000003000000}">
      <formula1>-99999999999999900</formula1>
      <formula2>9999999999999990000</formula2>
    </dataValidation>
    <dataValidation type="whole" allowBlank="1" showErrorMessage="1" error="Amount must be rounded to nearest dollar." prompt="_x000a__x000a_" sqref="Q483:Q488 L478:L485 J478:J485" xr:uid="{00000000-0002-0000-0200-000004000000}">
      <formula1>-9999999999999990</formula1>
      <formula2>9.99999999999999E+23</formula2>
    </dataValidation>
    <dataValidation type="whole" allowBlank="1" showInputMessage="1" showErrorMessage="1" error="Enter a whole number_x000a_" sqref="G458:G466 H117:H118 G136:G146 G57:G58 G42:G44 G33:G38 G60:G63 G94:G95 G90:G91 G65:G68 G74:G76 G81:G87 G101:G102 G293:G294 G288:G291 G285:G286 G262:G266 G268 G243:G245 G233:G235 G229:G231 G225:G226 G220:G223 G216:G217 G214 G205:G208 G202:G203 G185:G191 G445:G450 G131:G133 G386:G409 G297:G298 G331:G336 G304 G307:G312 G315:G317 G180:G181 G338:G339 G343:G344 G350:G352 G356 G380:G383 G430:G441 G49:G54 H121 G113:G129 G152:G159 G412:G414 G162:G173 G417:G427" xr:uid="{00000000-0002-0000-0200-000005000000}">
      <formula1>-9999999999999990000</formula1>
      <formula2>99999999999999900000</formula2>
    </dataValidation>
    <dataValidation allowBlank="1" showErrorMessage="1" error="Amount must be rounded to the nearest dollar._x000a_" prompt="_x000a__x000a_" sqref="L275 L31 L29 L374 L329 L199 L109" xr:uid="{00000000-0002-0000-0200-000006000000}"/>
    <dataValidation type="whole" allowBlank="1" showErrorMessage="1" prompt="_x000a__x000a__x000a_" sqref="Q364 G366 L361 G365:H365" xr:uid="{00000000-0002-0000-0200-000007000000}">
      <formula1>-9999999999999990</formula1>
      <formula2>999999999999999000000</formula2>
    </dataValidation>
    <dataValidation type="whole" allowBlank="1" showErrorMessage="1" prompt="_x000a__x000a_" sqref="Q354:Q356 G353:G355 G337 G340:G342 G345:G349 H345 L351:L353 L333 L338:L340 L343:L347 L355 H353 H347 Q346:Q350 G357 H340 Q358 Q336:Q338 Q341:Q343 H355" xr:uid="{00000000-0002-0000-0200-000008000000}">
      <formula1>-99999999999999900</formula1>
      <formula2>999999999999999000000</formula2>
    </dataValidation>
    <dataValidation type="whole" allowBlank="1" showErrorMessage="1" prompt="_x000a__x000a_" sqref="Q300:Q303 G299:G302 G306 L297:L300 L303:L304 H301 Q306:Q307 O301 H299" xr:uid="{00000000-0002-0000-0200-000009000000}">
      <formula1>-9999999999999990</formula1>
      <formula2>99999999999999900000</formula2>
    </dataValidation>
    <dataValidation type="whole" allowBlank="1" showErrorMessage="1" error="Amount must be rounded to the nearest dollar._x000a_" prompt="_x000a__x000a_" sqref="Q357 L354" xr:uid="{00000000-0002-0000-0200-00000A000000}">
      <formula1>-99999999999999900</formula1>
      <formula2>999999999999999000000</formula2>
    </dataValidation>
    <dataValidation type="whole" allowBlank="1" showErrorMessage="1" error="Amount must be rounded to the nearest dollar._x000a_" prompt="_x000a__x000a_" sqref="Q351:Q353 L55:L57 J56 J40 L32:L36 L39:L42 J48 J32 J93 J112 L92:L93 L110:L126 L88 J80 L77:L85 L72:L74 L63:L66 J72:J73 J64 Q82:Q88 Q75:Q77 Q91:Q92 Q95:Q96 Q114:Q129 L60:L61 L291:L292 L296 L277 L260 J183:J184 Q286:Q287 J201 L150:L152 L183:L189 L203:L206 L246:L251 L241:L243 L231:L233 L227:L229 J277 L223:L224 L218:L221 L214:L215 L212 L201 L279:L280 L283:L284 L286:L289 Q289:Q292 J330 G303 L348:L350 L341:L342 L334:L337 L313:L315 L305:L310 L301:L302 L330:L332 Q339:Q340 Q332:Q335 Q316:Q318 Q308:Q313 Q304:Q305 Q298:Q299 Q344:Q345 Q294:Q295 Q263 Q153:Q155 Q186:Q192 Q206:Q209 Q203:Q204 Q249:Q256 Q244:Q246 Q234:Q236 Q230:Q232 Q226:Q227 Q221:Q224 Q217:Q218 Q215 Q279:Q280 Q282:Q283 L128:L131 Q131:Q134 L134:L141 L146 Q148 L45:L53 Q137:Q145 Q157:Q174 L154:L169" xr:uid="{00000000-0002-0000-0200-00000B000000}">
      <formula1>-999999999999999</formula1>
      <formula2>99999999999999900000</formula2>
    </dataValidation>
    <dataValidation type="whole" allowBlank="1" showErrorMessage="1" error="Amount must be rounded to nearest dollar._x000a_" prompt="_x000a__x000a_" sqref="Q432:Q443 L378:L381 L429:L438 Q381:Q384 L404:L405 Q409:Q416 L407:L413 Q388:Q405 Q407 L385:L402 L416:L424 Q419:Q429" xr:uid="{00000000-0002-0000-0200-00000C000000}">
      <formula1>-999999999999999000</formula1>
      <formula2>9999999999999990000</formula2>
    </dataValidation>
    <dataValidation type="whole" allowBlank="1" showErrorMessage="1" prompt="_x000a__x000a_" sqref="Q430:Q431 G428:G429 G415:G416 G384:G385 L425:L428 L414:L415 L382:L384 H428 Q406 G410:G411 Q417:Q418 Q385:Q387 H410:I410 L406 L403 Q408 H415:I415" xr:uid="{00000000-0002-0000-0200-00000D000000}">
      <formula1>-999999999999999000</formula1>
      <formula2>9999999999999990000</formula2>
    </dataValidation>
    <dataValidation type="whole" allowBlank="1" showErrorMessage="1" prompt="_x000a__x000a_" sqref="Q268 L265 G267" xr:uid="{00000000-0002-0000-0200-00000E000000}">
      <formula1>0</formula1>
      <formula2>9.99999999999999E+27</formula2>
    </dataValidation>
    <dataValidation type="whole" allowBlank="1" showErrorMessage="1" prompt="_x000a__x000a_" sqref="Q193 L192 L190 H192" xr:uid="{00000000-0002-0000-0200-00000F000000}">
      <formula1>-99999999999999900</formula1>
      <formula2>9999999999999990000</formula2>
    </dataValidation>
    <dataValidation type="whole" allowBlank="1" showErrorMessage="1" sqref="Q270 L269 L267" xr:uid="{00000000-0002-0000-0200-000010000000}">
      <formula1>-9999999999999990000</formula1>
      <formula2>99999999999999900</formula2>
    </dataValidation>
    <dataValidation type="whole" allowBlank="1" showErrorMessage="1" error="Amount must be rounded to the nearest dollar._x000a_" prompt="_x000a__x000a__x000a_" sqref="Q269 L266" xr:uid="{00000000-0002-0000-0200-000011000000}">
      <formula1>-99999999999999900</formula1>
      <formula2>99999999999999900</formula2>
    </dataValidation>
    <dataValidation type="whole" allowBlank="1" showErrorMessage="1" prompt="_x000a__x000a_" sqref="Q247:Q248 G246:G247 L244:L245 H246" xr:uid="{00000000-0002-0000-0200-000012000000}">
      <formula1>-99999999999999900000</formula1>
      <formula2>999999999999999000000</formula2>
    </dataValidation>
    <dataValidation type="whole" allowBlank="1" showErrorMessage="1" error="Amount must be rounded to the nearest dollar._x000a_" prompt="_x000a__x000a__x000a_" sqref="Q281 L278" xr:uid="{00000000-0002-0000-0200-000013000000}">
      <formula1>-999999999999999</formula1>
      <formula2>99999999999999900000</formula2>
    </dataValidation>
    <dataValidation type="whole" allowBlank="1" showErrorMessage="1" prompt="_x000a__x000a_" sqref="H55 G182 H45:H47 L58:L59 G55:G56 H39 H181:H182 L37:L38 L54 L43:L44 H92 G39:G40 J96 Q97:Q100 L94:L97 G92:G93 G96:G100 H77:H79 G59:H59 J89 G88:G89 G48 G69:G73 G64 L89:L91 L86:L87 L75:L76 L67:L71 L62 H88 J70 H69 H102:H103 Q89:Q90 Q78:Q81 Q73:Q74 G103 H99:H100 H71 Q93:Q94 G45:G46 G77:G78 G80" xr:uid="{00000000-0002-0000-0200-000014000000}">
      <formula1>0</formula1>
      <formula2>9999999999999990</formula2>
    </dataValidation>
    <dataValidation type="whole" allowBlank="1" prompt="_x000a__x000a_" sqref="Q180:Q185 L177:L182 G183:G184" xr:uid="{00000000-0002-0000-0200-000015000000}">
      <formula1>0</formula1>
      <formula2>9999999999999990000</formula2>
    </dataValidation>
    <dataValidation type="whole" allowBlank="1" showErrorMessage="1" prompt="_x000a__x000a_" sqref="Q175:Q179 H134:I134 G160:H161 G174:G179 H178:H179 H147 Q130 L132:L133 Q149:Q152 L127 L170:L176 G134:G135 G147:G151 G130 Q135:Q136 I160 H149 Q146:Q147 L142:L145 L147:L149" xr:uid="{00000000-0002-0000-0200-000016000000}">
      <formula1>0</formula1>
      <formula2>9999999999999990000</formula2>
    </dataValidation>
    <dataValidation type="whole" allowBlank="1" showErrorMessage="1" prompt="_x000a__x000a_" sqref="Q233 H227 H211 H218 Q228:Q229 L202 L207:L211 L213 L216:L217 L222 L225:L226 L230 G204 G209:G213 G215 G218:G219 G224 G227:G228 G232 Q205 Q210:Q214 Q216 Q219:Q220 Q225 H209" xr:uid="{00000000-0002-0000-0200-000017000000}">
      <formula1>0</formula1>
      <formula2>999999999999999000000</formula2>
    </dataValidation>
    <dataValidation type="whole" allowBlank="1" prompt="_x000a__x000a_" sqref="Q284:Q285 G284 L285 L290 L281:L282 Q288 G292 Q293 G287:H287" xr:uid="{00000000-0002-0000-0200-000018000000}">
      <formula1>-999999999999999</formula1>
      <formula2>99999999999999900000</formula2>
    </dataValidation>
    <dataValidation type="whole" allowBlank="1" showInputMessage="1" showErrorMessage="1" error="Enter a whole number_x000a__x000a_" sqref="G305" xr:uid="{00000000-0002-0000-0200-000019000000}">
      <formula1>-9999999999999990000</formula1>
      <formula2>99999999999999900000</formula2>
    </dataValidation>
    <dataValidation allowBlank="1" showErrorMessage="1" error="Enter a whole number and the amount must be negative." sqref="G364" xr:uid="{00000000-0002-0000-0200-00001A000000}"/>
    <dataValidation type="whole" allowBlank="1" showErrorMessage="1" error="Amount must be rounded to the nearest dollar." prompt="_x000a__x000a__x000a_" sqref="L295" xr:uid="{00000000-0002-0000-0200-00001B000000}">
      <formula1>-99999999999999</formula1>
      <formula2>99999999999999900000</formula2>
    </dataValidation>
    <dataValidation type="whole" allowBlank="1" showInputMessage="1" showErrorMessage="1" error="Enter a whole number" sqref="G248:G255" xr:uid="{00000000-0002-0000-0200-00001C000000}">
      <formula1>-9.99999999999999E+23</formula1>
      <formula2>9.99999999999999E+22</formula2>
    </dataValidation>
    <dataValidation type="whole" allowBlank="1" showInputMessage="1" showErrorMessage="1" error="Enter a whole number" sqref="G278:G283" xr:uid="{00000000-0002-0000-0200-00001D000000}">
      <formula1>-9.99999999999999E+21</formula1>
      <formula2>999999999999999000000</formula2>
    </dataValidation>
    <dataValidation allowBlank="1" sqref="E3 E5 E4:G4" xr:uid="{00000000-0002-0000-0200-00001E000000}"/>
    <dataValidation showInputMessage="1" showErrorMessage="1" error="You must select from the choices in the drop down box provided.  If a new Enterprise Fund exists, please contact DOA." sqref="H2" xr:uid="{00000000-0002-0000-0200-00001F000000}"/>
    <dataValidation type="whole" allowBlank="1" showErrorMessage="1" error="Enter a whole number" prompt="_x000a__x000a_" sqref="G41" xr:uid="{00000000-0002-0000-0200-000020000000}">
      <formula1>-9999999999999990000</formula1>
      <formula2>99999999999999900000</formula2>
    </dataValidation>
    <dataValidation type="whole" allowBlank="1" showErrorMessage="1" error="Enter a whole number." prompt="_x000a__x000a_" sqref="G47 G79" xr:uid="{00000000-0002-0000-0200-000021000000}">
      <formula1>-9999999999999</formula1>
      <formula2>999999999999999</formula2>
    </dataValidation>
    <dataValidation type="list" showInputMessage="1" showErrorMessage="1" error="Use the drop-down list to enter an agency name.  If a new fund must be added, please contact DOA." sqref="E2:G2" xr:uid="{00000000-0002-0000-0200-000022000000}">
      <formula1>$Q$27:$Q$44</formula1>
    </dataValidation>
  </dataValidations>
  <pageMargins left="0.5" right="0.5" top="1.25" bottom="1" header="0.44" footer="0.5"/>
  <pageSetup scale="46" fitToWidth="6" fitToHeight="6"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5" manualBreakCount="5">
    <brk id="103" max="13" man="1"/>
    <brk id="194" max="13" man="1"/>
    <brk id="270" max="13" man="1"/>
    <brk id="322" max="13" man="1"/>
    <brk id="367" max="13" man="1"/>
  </rowBreaks>
  <ignoredErrors>
    <ignoredError sqref="F47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J200"/>
  <sheetViews>
    <sheetView showGridLines="0" zoomScale="90" zoomScaleNormal="90" workbookViewId="0">
      <selection activeCell="E20" sqref="E20"/>
    </sheetView>
  </sheetViews>
  <sheetFormatPr defaultColWidth="9.140625" defaultRowHeight="12.75"/>
  <cols>
    <col min="1" max="1" width="6.42578125" style="12" customWidth="1"/>
    <col min="2" max="2" width="54.28515625" style="12" customWidth="1"/>
    <col min="3" max="3" width="15.42578125" style="12" customWidth="1"/>
    <col min="4" max="4" width="19.85546875" style="12" customWidth="1"/>
    <col min="5" max="5" width="92" style="12" customWidth="1"/>
    <col min="6" max="6" width="9.140625" style="12"/>
    <col min="7" max="7" width="12" style="12" hidden="1" customWidth="1"/>
    <col min="8" max="8" width="14.7109375" style="12" hidden="1" customWidth="1"/>
    <col min="9" max="9" width="15.85546875" style="12" hidden="1" customWidth="1"/>
    <col min="10" max="10" width="9.140625" style="12" hidden="1" customWidth="1"/>
    <col min="11" max="16384" width="9.140625" style="12"/>
  </cols>
  <sheetData>
    <row r="1" spans="1:9" ht="15.75">
      <c r="A1" s="1053" t="s">
        <v>272</v>
      </c>
      <c r="B1" s="1054"/>
      <c r="C1" s="1055"/>
      <c r="D1" s="1056" t="str">
        <f>'Enterprise Template'!E1</f>
        <v/>
      </c>
      <c r="E1" s="1057"/>
    </row>
    <row r="2" spans="1:9" ht="15.75">
      <c r="A2" s="1053" t="s">
        <v>190</v>
      </c>
      <c r="B2" s="1054"/>
      <c r="C2" s="1055"/>
      <c r="D2" s="1056" t="str">
        <f>IF('Enterprise Template'!E2="","",'Enterprise Template'!E2)</f>
        <v/>
      </c>
      <c r="E2" s="1057"/>
    </row>
    <row r="3" spans="1:9" ht="15.75">
      <c r="A3" s="1053" t="s">
        <v>447</v>
      </c>
      <c r="B3" s="1054"/>
      <c r="C3" s="1055"/>
      <c r="D3" s="1058" t="str">
        <f>IF('Enterprise Template'!E3="","",'Enterprise Template'!E3)</f>
        <v/>
      </c>
      <c r="E3" s="1059"/>
    </row>
    <row r="4" spans="1:9" ht="15.75">
      <c r="A4" s="1053" t="s">
        <v>448</v>
      </c>
      <c r="B4" s="1054"/>
      <c r="C4" s="1055"/>
      <c r="D4" s="1061" t="str">
        <f>IF('Enterprise Template'!E4="","",'Enterprise Template'!E4)</f>
        <v/>
      </c>
      <c r="E4" s="1062"/>
    </row>
    <row r="5" spans="1:9" ht="15.75">
      <c r="A5" s="1053" t="s">
        <v>2847</v>
      </c>
      <c r="B5" s="1054"/>
      <c r="C5" s="1055"/>
      <c r="D5" s="1063" t="str">
        <f>IF('Enterprise Template'!E5="","",'Enterprise Template'!E5)</f>
        <v/>
      </c>
      <c r="E5" s="1064"/>
    </row>
    <row r="6" spans="1:9" ht="15.75">
      <c r="A6" s="1053" t="s">
        <v>449</v>
      </c>
      <c r="B6" s="1054"/>
      <c r="C6" s="1055"/>
      <c r="D6" s="1065" t="str">
        <f>IF('Enterprise Template'!E6="","",'Enterprise Template'!E6)</f>
        <v/>
      </c>
      <c r="E6" s="1066"/>
    </row>
    <row r="7" spans="1:9" ht="15.75">
      <c r="A7" s="1053" t="s">
        <v>224</v>
      </c>
      <c r="B7" s="1054"/>
      <c r="C7" s="1055"/>
      <c r="D7" s="1056" t="str">
        <f>'Enterprise Template'!E7</f>
        <v/>
      </c>
      <c r="E7" s="1057"/>
    </row>
    <row r="9" spans="1:9">
      <c r="B9" s="13" t="s">
        <v>865</v>
      </c>
    </row>
    <row r="10" spans="1:9">
      <c r="B10" s="19"/>
      <c r="H10" s="19"/>
    </row>
    <row r="11" spans="1:9">
      <c r="B11" s="19" t="s">
        <v>929</v>
      </c>
      <c r="H11" s="19"/>
      <c r="I11" s="19"/>
    </row>
    <row r="12" spans="1:9">
      <c r="H12" s="19"/>
      <c r="I12" s="19"/>
    </row>
    <row r="13" spans="1:9" ht="69.75" customHeight="1">
      <c r="H13" s="19"/>
      <c r="I13" s="19"/>
    </row>
    <row r="14" spans="1:9">
      <c r="C14" s="168" t="s">
        <v>805</v>
      </c>
      <c r="D14" s="114">
        <f>I18</f>
        <v>0</v>
      </c>
      <c r="H14" s="19"/>
      <c r="I14" s="19"/>
    </row>
    <row r="15" spans="1:9">
      <c r="C15" s="168" t="s">
        <v>803</v>
      </c>
      <c r="D15" s="114">
        <f>I19</f>
        <v>1000</v>
      </c>
      <c r="H15" s="19"/>
      <c r="I15" s="19"/>
    </row>
    <row r="16" spans="1:9">
      <c r="H16" s="19"/>
      <c r="I16" s="19"/>
    </row>
    <row r="17" spans="1:9">
      <c r="B17" s="474"/>
      <c r="C17" s="1060"/>
      <c r="D17" s="1060"/>
    </row>
    <row r="18" spans="1:9" ht="36">
      <c r="A18" s="820" t="s">
        <v>801</v>
      </c>
      <c r="B18" s="820" t="s">
        <v>800</v>
      </c>
      <c r="C18" s="821" t="s">
        <v>798</v>
      </c>
      <c r="D18" s="822" t="s">
        <v>799</v>
      </c>
      <c r="E18" s="822" t="s">
        <v>866</v>
      </c>
      <c r="H18" s="168" t="s">
        <v>804</v>
      </c>
      <c r="I18" s="446">
        <f>IF('Enterprise Template'!G103&lt;'Enterprise Template'!G211,'Enterprise Template'!G211,'Enterprise Template'!G103)</f>
        <v>0</v>
      </c>
    </row>
    <row r="19" spans="1:9">
      <c r="A19" s="34" t="s">
        <v>802</v>
      </c>
      <c r="B19" s="41"/>
      <c r="C19" s="27"/>
      <c r="D19" s="475"/>
      <c r="E19" s="42"/>
      <c r="H19" s="168" t="s">
        <v>803</v>
      </c>
      <c r="I19" s="5">
        <f>IF(I18&lt;H21,I21,IF(I18&lt;H22,I22,IF(I18&lt;H23,I23,IF(I18&lt;H24,I24,IF(I18&lt;H25,I25,IF(I18&lt;H26,I26,IF(I18&lt;H27,I27,IF(I18&lt;H28,I28,IF(I18&lt;H30,I30,IF(I18&lt;H32,I32,IF(I18&lt;H35,I35,IF(I18&lt;H36,I36,IF(I18&lt;H37,I37,IF(I18&lt;H38,I38))))))))))))))</f>
        <v>1000</v>
      </c>
    </row>
    <row r="20" spans="1:9">
      <c r="A20" s="445" t="s">
        <v>824</v>
      </c>
      <c r="B20" s="445" t="s">
        <v>2710</v>
      </c>
      <c r="C20" s="226" t="str">
        <f>'Enterprise Template'!I33</f>
        <v/>
      </c>
      <c r="D20" s="461" t="str">
        <f>'Enterprise Template'!J33</f>
        <v/>
      </c>
      <c r="E20" s="960"/>
    </row>
    <row r="21" spans="1:9">
      <c r="A21" s="445" t="s">
        <v>824</v>
      </c>
      <c r="B21" s="444" t="s">
        <v>574</v>
      </c>
      <c r="C21" s="226" t="str">
        <f>'Enterprise Template'!I34</f>
        <v/>
      </c>
      <c r="D21" s="461" t="str">
        <f>'Enterprise Template'!J34</f>
        <v/>
      </c>
      <c r="E21" s="960"/>
      <c r="H21" s="5">
        <v>50001</v>
      </c>
      <c r="I21" s="5">
        <v>1000</v>
      </c>
    </row>
    <row r="22" spans="1:9">
      <c r="A22" s="445" t="s">
        <v>824</v>
      </c>
      <c r="B22" s="444" t="s">
        <v>161</v>
      </c>
      <c r="C22" s="226" t="str">
        <f>'Enterprise Template'!I35</f>
        <v/>
      </c>
      <c r="D22" s="461" t="str">
        <f>'Enterprise Template'!J35</f>
        <v/>
      </c>
      <c r="E22" s="824"/>
      <c r="H22" s="5">
        <v>100001</v>
      </c>
      <c r="I22" s="5">
        <v>3000</v>
      </c>
    </row>
    <row r="23" spans="1:9">
      <c r="A23" s="445" t="s">
        <v>824</v>
      </c>
      <c r="B23" s="444" t="s">
        <v>160</v>
      </c>
      <c r="C23" s="226" t="str">
        <f>'Enterprise Template'!I36</f>
        <v/>
      </c>
      <c r="D23" s="461" t="str">
        <f>'Enterprise Template'!J36</f>
        <v/>
      </c>
      <c r="E23" s="824"/>
      <c r="H23" s="5">
        <v>500001</v>
      </c>
      <c r="I23" s="5">
        <v>4000</v>
      </c>
    </row>
    <row r="24" spans="1:9">
      <c r="A24" s="445" t="s">
        <v>824</v>
      </c>
      <c r="B24" s="444" t="s">
        <v>46</v>
      </c>
      <c r="C24" s="226" t="str">
        <f>'Enterprise Template'!I37</f>
        <v/>
      </c>
      <c r="D24" s="461" t="str">
        <f>'Enterprise Template'!J37</f>
        <v/>
      </c>
      <c r="E24" s="824"/>
      <c r="H24" s="5">
        <v>1000001</v>
      </c>
      <c r="I24" s="5">
        <v>13000</v>
      </c>
    </row>
    <row r="25" spans="1:9">
      <c r="A25" s="445" t="s">
        <v>824</v>
      </c>
      <c r="B25" s="444" t="s">
        <v>188</v>
      </c>
      <c r="C25" s="226" t="str">
        <f>'Enterprise Template'!I38</f>
        <v/>
      </c>
      <c r="D25" s="461" t="str">
        <f>'Enterprise Template'!J38</f>
        <v/>
      </c>
      <c r="E25" s="824"/>
      <c r="H25" s="5">
        <v>5000001</v>
      </c>
      <c r="I25" s="5">
        <v>18000</v>
      </c>
    </row>
    <row r="26" spans="1:9">
      <c r="A26" s="445" t="s">
        <v>824</v>
      </c>
      <c r="B26" s="444" t="s">
        <v>162</v>
      </c>
      <c r="C26" s="226" t="str">
        <f>'Enterprise Template'!I42</f>
        <v/>
      </c>
      <c r="D26" s="461" t="str">
        <f>'Enterprise Template'!J42</f>
        <v/>
      </c>
      <c r="E26" s="824"/>
      <c r="H26" s="5">
        <v>10000001</v>
      </c>
      <c r="I26" s="5">
        <v>50000</v>
      </c>
    </row>
    <row r="27" spans="1:9">
      <c r="A27" s="445" t="s">
        <v>824</v>
      </c>
      <c r="B27" s="444" t="s">
        <v>569</v>
      </c>
      <c r="C27" s="226" t="str">
        <f>'Enterprise Template'!I43</f>
        <v/>
      </c>
      <c r="D27" s="461" t="str">
        <f>'Enterprise Template'!J43</f>
        <v/>
      </c>
      <c r="E27" s="824"/>
      <c r="H27" s="5">
        <v>50000001</v>
      </c>
      <c r="I27" s="5">
        <v>80000</v>
      </c>
    </row>
    <row r="28" spans="1:9">
      <c r="A28" s="445" t="s">
        <v>824</v>
      </c>
      <c r="B28" s="444" t="s">
        <v>189</v>
      </c>
      <c r="C28" s="226" t="str">
        <f>'Enterprise Template'!I44</f>
        <v/>
      </c>
      <c r="D28" s="461" t="str">
        <f>'Enterprise Template'!J44</f>
        <v/>
      </c>
      <c r="E28" s="824"/>
      <c r="H28" s="5">
        <v>100000001</v>
      </c>
      <c r="I28" s="5">
        <v>240000</v>
      </c>
    </row>
    <row r="29" spans="1:9">
      <c r="A29" s="445" t="s">
        <v>824</v>
      </c>
      <c r="B29" s="444" t="s">
        <v>2817</v>
      </c>
      <c r="C29" s="226" t="str">
        <f>'Enterprise Template'!I47</f>
        <v/>
      </c>
      <c r="D29" s="461" t="str">
        <f>'Enterprise Template'!J47</f>
        <v/>
      </c>
      <c r="E29" s="824"/>
      <c r="H29" s="5"/>
      <c r="I29" s="5"/>
    </row>
    <row r="30" spans="1:9">
      <c r="A30" s="445" t="s">
        <v>824</v>
      </c>
      <c r="B30" s="445" t="s">
        <v>2979</v>
      </c>
      <c r="C30" s="226" t="str">
        <f>'Enterprise Template'!I49</f>
        <v/>
      </c>
      <c r="D30" s="461" t="str">
        <f>'Enterprise Template'!J49</f>
        <v/>
      </c>
      <c r="E30" s="824"/>
      <c r="H30" s="5">
        <v>300000001</v>
      </c>
      <c r="I30" s="5">
        <v>365000</v>
      </c>
    </row>
    <row r="31" spans="1:9">
      <c r="A31" s="445" t="s">
        <v>824</v>
      </c>
      <c r="B31" s="445" t="s">
        <v>2978</v>
      </c>
      <c r="C31" s="226" t="str">
        <f>'Enterprise Template'!I50</f>
        <v/>
      </c>
      <c r="D31" s="461" t="str">
        <f>'Enterprise Template'!J50</f>
        <v/>
      </c>
      <c r="E31" s="824"/>
      <c r="H31" s="5"/>
      <c r="I31" s="5"/>
    </row>
    <row r="32" spans="1:9">
      <c r="A32" s="445" t="s">
        <v>824</v>
      </c>
      <c r="B32" s="445" t="s">
        <v>182</v>
      </c>
      <c r="C32" s="226" t="str">
        <f>'Enterprise Template'!I51</f>
        <v/>
      </c>
      <c r="D32" s="461" t="str">
        <f>'Enterprise Template'!J51</f>
        <v/>
      </c>
      <c r="E32" s="824"/>
      <c r="H32" s="5">
        <v>1000000001</v>
      </c>
      <c r="I32" s="5">
        <v>725000</v>
      </c>
    </row>
    <row r="33" spans="1:9">
      <c r="A33" s="445" t="s">
        <v>824</v>
      </c>
      <c r="B33" s="445" t="s">
        <v>2977</v>
      </c>
      <c r="C33" s="226" t="str">
        <f>'Enterprise Template'!I52</f>
        <v/>
      </c>
      <c r="D33" s="461" t="str">
        <f>'Enterprise Template'!J52</f>
        <v/>
      </c>
      <c r="E33" s="824"/>
      <c r="H33" s="5"/>
      <c r="I33" s="5"/>
    </row>
    <row r="34" spans="1:9">
      <c r="A34" s="445" t="s">
        <v>824</v>
      </c>
      <c r="B34" s="445" t="s">
        <v>3198</v>
      </c>
      <c r="C34" s="226" t="str">
        <f>'Enterprise Template'!I53</f>
        <v/>
      </c>
      <c r="D34" s="461" t="str">
        <f>'Enterprise Template'!J53</f>
        <v/>
      </c>
      <c r="E34" s="824"/>
      <c r="H34" s="5"/>
      <c r="I34" s="5"/>
    </row>
    <row r="35" spans="1:9">
      <c r="A35" s="445" t="s">
        <v>824</v>
      </c>
      <c r="B35" s="445" t="s">
        <v>458</v>
      </c>
      <c r="C35" s="226" t="str">
        <f>'Enterprise Template'!I54</f>
        <v/>
      </c>
      <c r="D35" s="461" t="str">
        <f>'Enterprise Template'!J54</f>
        <v/>
      </c>
      <c r="E35" s="824"/>
      <c r="H35" s="5">
        <v>3000000001</v>
      </c>
      <c r="I35" s="5">
        <v>1775000</v>
      </c>
    </row>
    <row r="36" spans="1:9">
      <c r="A36" s="445" t="s">
        <v>824</v>
      </c>
      <c r="B36" s="445" t="s">
        <v>575</v>
      </c>
      <c r="C36" s="226" t="str">
        <f>'Enterprise Template'!I57</f>
        <v/>
      </c>
      <c r="D36" s="461" t="str">
        <f>'Enterprise Template'!J57</f>
        <v/>
      </c>
      <c r="E36" s="824"/>
      <c r="H36" s="5">
        <v>10000000001</v>
      </c>
      <c r="I36" s="5">
        <v>4175000</v>
      </c>
    </row>
    <row r="37" spans="1:9">
      <c r="A37" s="445" t="s">
        <v>824</v>
      </c>
      <c r="B37" s="445" t="s">
        <v>179</v>
      </c>
      <c r="C37" s="226" t="str">
        <f>'Enterprise Template'!I58</f>
        <v/>
      </c>
      <c r="D37" s="461" t="str">
        <f>'Enterprise Template'!J58</f>
        <v/>
      </c>
      <c r="E37" s="824"/>
      <c r="H37" s="5">
        <v>30000000001</v>
      </c>
      <c r="I37" s="5">
        <v>10475000</v>
      </c>
    </row>
    <row r="38" spans="1:9">
      <c r="A38" s="445" t="s">
        <v>824</v>
      </c>
      <c r="B38" s="445" t="s">
        <v>586</v>
      </c>
      <c r="C38" s="226" t="str">
        <f>'Enterprise Template'!I61</f>
        <v/>
      </c>
      <c r="D38" s="461" t="str">
        <f>'Enterprise Template'!J61</f>
        <v/>
      </c>
      <c r="E38" s="824"/>
      <c r="H38" s="5">
        <v>100000000001</v>
      </c>
      <c r="I38" s="5">
        <v>22475000</v>
      </c>
    </row>
    <row r="39" spans="1:9">
      <c r="A39" s="445" t="s">
        <v>824</v>
      </c>
      <c r="B39" s="445" t="s">
        <v>587</v>
      </c>
      <c r="C39" s="226" t="str">
        <f>'Enterprise Template'!I62</f>
        <v/>
      </c>
      <c r="D39" s="461" t="str">
        <f>'Enterprise Template'!J62</f>
        <v/>
      </c>
      <c r="E39" s="824"/>
    </row>
    <row r="40" spans="1:9">
      <c r="A40" s="445" t="s">
        <v>824</v>
      </c>
      <c r="B40" s="445" t="s">
        <v>588</v>
      </c>
      <c r="C40" s="226" t="str">
        <f>'Enterprise Template'!I63</f>
        <v/>
      </c>
      <c r="D40" s="461" t="str">
        <f>'Enterprise Template'!J63</f>
        <v/>
      </c>
      <c r="E40" s="824"/>
    </row>
    <row r="41" spans="1:9">
      <c r="A41" s="445" t="s">
        <v>824</v>
      </c>
      <c r="B41" s="445" t="s">
        <v>589</v>
      </c>
      <c r="C41" s="226" t="str">
        <f>'Enterprise Template'!I65</f>
        <v/>
      </c>
      <c r="D41" s="461" t="str">
        <f>'Enterprise Template'!J65</f>
        <v/>
      </c>
      <c r="E41" s="824"/>
    </row>
    <row r="42" spans="1:9">
      <c r="A42" s="445" t="s">
        <v>824</v>
      </c>
      <c r="B42" s="445" t="s">
        <v>570</v>
      </c>
      <c r="C42" s="226" t="str">
        <f>'Enterprise Template'!I66</f>
        <v/>
      </c>
      <c r="D42" s="461" t="str">
        <f>'Enterprise Template'!J66</f>
        <v/>
      </c>
      <c r="E42" s="824"/>
    </row>
    <row r="43" spans="1:9">
      <c r="A43" s="445" t="s">
        <v>824</v>
      </c>
      <c r="B43" s="445" t="s">
        <v>459</v>
      </c>
      <c r="C43" s="226" t="str">
        <f>'Enterprise Template'!I68</f>
        <v/>
      </c>
      <c r="D43" s="461" t="str">
        <f>'Enterprise Template'!J68</f>
        <v/>
      </c>
      <c r="E43" s="824"/>
    </row>
    <row r="44" spans="1:9">
      <c r="A44" s="34" t="s">
        <v>266</v>
      </c>
      <c r="B44" s="41"/>
      <c r="C44" s="19"/>
      <c r="D44" s="19"/>
      <c r="E44" s="21"/>
    </row>
    <row r="45" spans="1:9">
      <c r="A45" s="445" t="s">
        <v>824</v>
      </c>
      <c r="B45" s="445" t="s">
        <v>569</v>
      </c>
      <c r="C45" s="226" t="str">
        <f>'Enterprise Template'!I75</f>
        <v/>
      </c>
      <c r="D45" s="461" t="str">
        <f>'Enterprise Template'!J75</f>
        <v/>
      </c>
      <c r="E45" s="824"/>
    </row>
    <row r="46" spans="1:9">
      <c r="A46" s="445" t="s">
        <v>824</v>
      </c>
      <c r="B46" s="445" t="s">
        <v>189</v>
      </c>
      <c r="C46" s="226" t="str">
        <f>'Enterprise Template'!I76</f>
        <v/>
      </c>
      <c r="D46" s="461" t="str">
        <f>'Enterprise Template'!J76</f>
        <v/>
      </c>
      <c r="E46" s="824"/>
    </row>
    <row r="47" spans="1:9">
      <c r="A47" s="445" t="s">
        <v>824</v>
      </c>
      <c r="B47" s="445" t="s">
        <v>2817</v>
      </c>
      <c r="C47" s="226" t="str">
        <f>'Enterprise Template'!I79</f>
        <v/>
      </c>
      <c r="D47" s="461" t="str">
        <f>'Enterprise Template'!J79</f>
        <v/>
      </c>
      <c r="E47" s="824"/>
    </row>
    <row r="48" spans="1:9">
      <c r="A48" s="445" t="s">
        <v>824</v>
      </c>
      <c r="B48" s="445" t="s">
        <v>2979</v>
      </c>
      <c r="C48" s="226" t="str">
        <f>'Enterprise Template'!I81</f>
        <v/>
      </c>
      <c r="D48" s="461" t="str">
        <f>'Enterprise Template'!J81</f>
        <v/>
      </c>
      <c r="E48" s="824"/>
    </row>
    <row r="49" spans="1:5">
      <c r="A49" s="445" t="s">
        <v>824</v>
      </c>
      <c r="B49" s="445" t="s">
        <v>2978</v>
      </c>
      <c r="C49" s="226" t="str">
        <f>'Enterprise Template'!I82</f>
        <v/>
      </c>
      <c r="D49" s="461" t="str">
        <f>'Enterprise Template'!J82</f>
        <v/>
      </c>
      <c r="E49" s="824"/>
    </row>
    <row r="50" spans="1:5">
      <c r="A50" s="445" t="s">
        <v>824</v>
      </c>
      <c r="B50" s="445" t="s">
        <v>182</v>
      </c>
      <c r="C50" s="226" t="str">
        <f>'Enterprise Template'!I83</f>
        <v/>
      </c>
      <c r="D50" s="461" t="str">
        <f>'Enterprise Template'!J83</f>
        <v/>
      </c>
      <c r="E50" s="824"/>
    </row>
    <row r="51" spans="1:5">
      <c r="A51" s="445" t="s">
        <v>824</v>
      </c>
      <c r="B51" s="445" t="s">
        <v>2977</v>
      </c>
      <c r="C51" s="226" t="str">
        <f>'Enterprise Template'!I84</f>
        <v/>
      </c>
      <c r="D51" s="461" t="str">
        <f>'Enterprise Template'!J84</f>
        <v/>
      </c>
      <c r="E51" s="824"/>
    </row>
    <row r="52" spans="1:5">
      <c r="A52" s="445" t="s">
        <v>824</v>
      </c>
      <c r="B52" s="445" t="s">
        <v>3198</v>
      </c>
      <c r="C52" s="226" t="str">
        <f>'Enterprise Template'!I85</f>
        <v/>
      </c>
      <c r="D52" s="461" t="str">
        <f>'Enterprise Template'!J85</f>
        <v/>
      </c>
      <c r="E52" s="824"/>
    </row>
    <row r="53" spans="1:5">
      <c r="A53" s="445" t="s">
        <v>824</v>
      </c>
      <c r="B53" s="445" t="s">
        <v>458</v>
      </c>
      <c r="C53" s="226" t="str">
        <f>'Enterprise Template'!I86</f>
        <v/>
      </c>
      <c r="D53" s="461" t="str">
        <f>'Enterprise Template'!J86</f>
        <v/>
      </c>
      <c r="E53" s="824"/>
    </row>
    <row r="54" spans="1:5" hidden="1">
      <c r="A54" s="445" t="s">
        <v>824</v>
      </c>
      <c r="B54" s="445" t="s">
        <v>179</v>
      </c>
      <c r="C54" s="226" t="str">
        <f>'Enterprise Template'!I87</f>
        <v/>
      </c>
      <c r="D54" s="461" t="str">
        <f>'Enterprise Template'!J87</f>
        <v/>
      </c>
      <c r="E54" s="824"/>
    </row>
    <row r="55" spans="1:5" hidden="1">
      <c r="A55" s="445" t="s">
        <v>824</v>
      </c>
      <c r="B55" s="445" t="s">
        <v>591</v>
      </c>
      <c r="C55" s="226" t="str">
        <f>'Enterprise Template'!I90</f>
        <v/>
      </c>
      <c r="D55" s="461" t="str">
        <f>'Enterprise Template'!J90</f>
        <v/>
      </c>
      <c r="E55" s="824"/>
    </row>
    <row r="56" spans="1:5">
      <c r="A56" s="445" t="s">
        <v>824</v>
      </c>
      <c r="B56" s="445" t="s">
        <v>459</v>
      </c>
      <c r="C56" s="226" t="str">
        <f>'Enterprise Template'!I91</f>
        <v/>
      </c>
      <c r="D56" s="461" t="str">
        <f>'Enterprise Template'!J91</f>
        <v/>
      </c>
      <c r="E56" s="824"/>
    </row>
    <row r="57" spans="1:5">
      <c r="A57" s="445" t="s">
        <v>824</v>
      </c>
      <c r="B57" s="445" t="s">
        <v>191</v>
      </c>
      <c r="C57" s="226" t="str">
        <f>'Enterprise Template'!I94</f>
        <v/>
      </c>
      <c r="D57" s="461" t="str">
        <f>'Enterprise Template'!J94</f>
        <v/>
      </c>
      <c r="E57" s="824"/>
    </row>
    <row r="58" spans="1:5">
      <c r="A58" s="445" t="s">
        <v>824</v>
      </c>
      <c r="B58" s="445" t="s">
        <v>3349</v>
      </c>
      <c r="C58" s="226" t="str">
        <f>'Enterprise Template'!I95</f>
        <v/>
      </c>
      <c r="D58" s="461" t="str">
        <f>'Enterprise Template'!J95</f>
        <v/>
      </c>
      <c r="E58" s="824"/>
    </row>
    <row r="59" spans="1:5">
      <c r="A59" s="195" t="s">
        <v>824</v>
      </c>
      <c r="B59" s="48" t="s">
        <v>768</v>
      </c>
      <c r="C59" s="226" t="str">
        <f>'Enterprise Template'!I101</f>
        <v/>
      </c>
      <c r="D59" s="476" t="str">
        <f>'Enterprise Template'!J101</f>
        <v/>
      </c>
      <c r="E59" s="824"/>
    </row>
    <row r="60" spans="1:5">
      <c r="A60" s="34" t="s">
        <v>267</v>
      </c>
      <c r="B60" s="19"/>
      <c r="C60" s="19"/>
      <c r="D60" s="19"/>
      <c r="E60" s="21"/>
    </row>
    <row r="61" spans="1:5">
      <c r="A61" s="445" t="s">
        <v>824</v>
      </c>
      <c r="B61" s="445" t="s">
        <v>450</v>
      </c>
      <c r="C61" s="226" t="str">
        <f>'Enterprise Template'!I113</f>
        <v/>
      </c>
      <c r="D61" s="461" t="str">
        <f>'Enterprise Template'!J113</f>
        <v/>
      </c>
      <c r="E61" s="824"/>
    </row>
    <row r="62" spans="1:5">
      <c r="A62" s="445" t="s">
        <v>824</v>
      </c>
      <c r="B62" s="445" t="s">
        <v>425</v>
      </c>
      <c r="C62" s="226" t="str">
        <f>'Enterprise Template'!I114</f>
        <v/>
      </c>
      <c r="D62" s="461" t="str">
        <f>'Enterprise Template'!J114</f>
        <v/>
      </c>
      <c r="E62" s="824"/>
    </row>
    <row r="63" spans="1:5">
      <c r="A63" s="445" t="s">
        <v>824</v>
      </c>
      <c r="B63" s="445" t="s">
        <v>451</v>
      </c>
      <c r="C63" s="226" t="str">
        <f>'Enterprise Template'!I115</f>
        <v/>
      </c>
      <c r="D63" s="461" t="str">
        <f>'Enterprise Template'!J115</f>
        <v/>
      </c>
      <c r="E63" s="824"/>
    </row>
    <row r="64" spans="1:5">
      <c r="A64" s="445" t="s">
        <v>824</v>
      </c>
      <c r="B64" s="445" t="s">
        <v>460</v>
      </c>
      <c r="C64" s="226" t="str">
        <f>'Enterprise Template'!I116</f>
        <v/>
      </c>
      <c r="D64" s="461" t="str">
        <f>'Enterprise Template'!J116</f>
        <v/>
      </c>
      <c r="E64" s="824"/>
    </row>
    <row r="65" spans="1:5">
      <c r="A65" s="445" t="s">
        <v>824</v>
      </c>
      <c r="B65" s="445" t="s">
        <v>597</v>
      </c>
      <c r="C65" s="226" t="str">
        <f>'Enterprise Template'!I119</f>
        <v/>
      </c>
      <c r="D65" s="461" t="str">
        <f>'Enterprise Template'!J119</f>
        <v/>
      </c>
      <c r="E65" s="824"/>
    </row>
    <row r="66" spans="1:5">
      <c r="A66" s="445" t="s">
        <v>824</v>
      </c>
      <c r="B66" s="445" t="s">
        <v>221</v>
      </c>
      <c r="C66" s="226" t="str">
        <f>'Enterprise Template'!I120</f>
        <v/>
      </c>
      <c r="D66" s="461" t="str">
        <f>'Enterprise Template'!J120</f>
        <v/>
      </c>
      <c r="E66" s="824"/>
    </row>
    <row r="67" spans="1:5">
      <c r="A67" s="445" t="s">
        <v>824</v>
      </c>
      <c r="B67" s="445" t="s">
        <v>596</v>
      </c>
      <c r="C67" s="226" t="str">
        <f>'Enterprise Template'!I123</f>
        <v/>
      </c>
      <c r="D67" s="461" t="str">
        <f>'Enterprise Template'!J123</f>
        <v/>
      </c>
      <c r="E67" s="824"/>
    </row>
    <row r="68" spans="1:5">
      <c r="A68" s="445" t="s">
        <v>824</v>
      </c>
      <c r="B68" s="445" t="s">
        <v>598</v>
      </c>
      <c r="C68" s="226" t="str">
        <f>'Enterprise Template'!I124</f>
        <v/>
      </c>
      <c r="D68" s="461" t="str">
        <f>'Enterprise Template'!J124</f>
        <v/>
      </c>
      <c r="E68" s="824"/>
    </row>
    <row r="69" spans="1:5">
      <c r="A69" s="445" t="s">
        <v>824</v>
      </c>
      <c r="B69" s="445" t="s">
        <v>302</v>
      </c>
      <c r="C69" s="226" t="str">
        <f>'Enterprise Template'!I125</f>
        <v/>
      </c>
      <c r="D69" s="461" t="str">
        <f>'Enterprise Template'!J125</f>
        <v/>
      </c>
      <c r="E69" s="824"/>
    </row>
    <row r="70" spans="1:5">
      <c r="A70" s="445" t="s">
        <v>824</v>
      </c>
      <c r="B70" s="445" t="s">
        <v>186</v>
      </c>
      <c r="C70" s="226" t="str">
        <f>'Enterprise Template'!I126</f>
        <v/>
      </c>
      <c r="D70" s="461" t="str">
        <f>'Enterprise Template'!J126</f>
        <v/>
      </c>
      <c r="E70" s="824"/>
    </row>
    <row r="71" spans="1:5">
      <c r="A71" s="445" t="s">
        <v>824</v>
      </c>
      <c r="B71" s="445" t="s">
        <v>745</v>
      </c>
      <c r="C71" s="226" t="str">
        <f>'Enterprise Template'!I127</f>
        <v/>
      </c>
      <c r="D71" s="461" t="str">
        <f>'Enterprise Template'!J127</f>
        <v/>
      </c>
      <c r="E71" s="824"/>
    </row>
    <row r="72" spans="1:5">
      <c r="A72" s="445" t="s">
        <v>824</v>
      </c>
      <c r="B72" s="445" t="s">
        <v>599</v>
      </c>
      <c r="C72" s="226" t="str">
        <f>'Enterprise Template'!I128</f>
        <v/>
      </c>
      <c r="D72" s="461" t="str">
        <f>'Enterprise Template'!J128</f>
        <v/>
      </c>
      <c r="E72" s="824"/>
    </row>
    <row r="73" spans="1:5">
      <c r="A73" s="445" t="s">
        <v>824</v>
      </c>
      <c r="B73" s="445" t="s">
        <v>2818</v>
      </c>
      <c r="C73" s="226" t="str">
        <f>'Enterprise Template'!I129</f>
        <v/>
      </c>
      <c r="D73" s="461" t="str">
        <f>'Enterprise Template'!J129</f>
        <v/>
      </c>
      <c r="E73" s="824"/>
    </row>
    <row r="74" spans="1:5">
      <c r="A74" s="445" t="s">
        <v>824</v>
      </c>
      <c r="B74" s="445" t="s">
        <v>600</v>
      </c>
      <c r="C74" s="226" t="str">
        <f>'Enterprise Template'!I131</f>
        <v/>
      </c>
      <c r="D74" s="461" t="str">
        <f>'Enterprise Template'!J131</f>
        <v/>
      </c>
      <c r="E74" s="824"/>
    </row>
    <row r="75" spans="1:5">
      <c r="A75" s="445" t="s">
        <v>824</v>
      </c>
      <c r="B75" s="445" t="s">
        <v>461</v>
      </c>
      <c r="C75" s="226" t="str">
        <f>'Enterprise Template'!I132</f>
        <v/>
      </c>
      <c r="D75" s="461" t="str">
        <f>'Enterprise Template'!J132</f>
        <v/>
      </c>
      <c r="E75" s="824"/>
    </row>
    <row r="76" spans="1:5">
      <c r="A76" s="445" t="s">
        <v>824</v>
      </c>
      <c r="B76" s="445" t="s">
        <v>744</v>
      </c>
      <c r="C76" s="226" t="str">
        <f>'Enterprise Template'!I133</f>
        <v/>
      </c>
      <c r="D76" s="461" t="str">
        <f>'Enterprise Template'!J133</f>
        <v/>
      </c>
      <c r="E76" s="824"/>
    </row>
    <row r="77" spans="1:5">
      <c r="A77" s="445" t="s">
        <v>824</v>
      </c>
      <c r="B77" s="445" t="s">
        <v>3195</v>
      </c>
      <c r="C77" s="226" t="str">
        <f>'Enterprise Template'!I136</f>
        <v/>
      </c>
      <c r="D77" s="461" t="str">
        <f>'Enterprise Template'!J136</f>
        <v/>
      </c>
      <c r="E77" s="824"/>
    </row>
    <row r="78" spans="1:5">
      <c r="A78" s="445" t="s">
        <v>824</v>
      </c>
      <c r="B78" s="445" t="s">
        <v>194</v>
      </c>
      <c r="C78" s="226" t="str">
        <f>'Enterprise Template'!I137</f>
        <v/>
      </c>
      <c r="D78" s="461" t="str">
        <f>'Enterprise Template'!J137</f>
        <v/>
      </c>
      <c r="E78" s="824"/>
    </row>
    <row r="79" spans="1:5">
      <c r="A79" s="445" t="s">
        <v>824</v>
      </c>
      <c r="B79" s="445" t="s">
        <v>742</v>
      </c>
      <c r="C79" s="226" t="str">
        <f>'Enterprise Template'!I138</f>
        <v/>
      </c>
      <c r="D79" s="461" t="str">
        <f>'Enterprise Template'!J138</f>
        <v/>
      </c>
      <c r="E79" s="824"/>
    </row>
    <row r="80" spans="1:5">
      <c r="A80" s="445" t="s">
        <v>824</v>
      </c>
      <c r="B80" s="445" t="s">
        <v>3357</v>
      </c>
      <c r="C80" s="226" t="str">
        <f>'Enterprise Template'!I139</f>
        <v/>
      </c>
      <c r="D80" s="461" t="str">
        <f>'Enterprise Template'!J139</f>
        <v/>
      </c>
      <c r="E80" s="824"/>
    </row>
    <row r="81" spans="1:5" ht="24">
      <c r="A81" s="445" t="s">
        <v>824</v>
      </c>
      <c r="B81" s="41" t="s">
        <v>3391</v>
      </c>
      <c r="C81" s="226" t="str">
        <f>'Enterprise Template'!I140</f>
        <v/>
      </c>
      <c r="D81" s="461" t="str">
        <f>'Enterprise Template'!J140</f>
        <v/>
      </c>
      <c r="E81" s="824"/>
    </row>
    <row r="82" spans="1:5">
      <c r="A82" s="445" t="s">
        <v>824</v>
      </c>
      <c r="B82" s="445" t="s">
        <v>747</v>
      </c>
      <c r="C82" s="226" t="str">
        <f>'Enterprise Template'!I141</f>
        <v/>
      </c>
      <c r="D82" s="461" t="str">
        <f>'Enterprise Template'!J141</f>
        <v/>
      </c>
      <c r="E82" s="824"/>
    </row>
    <row r="83" spans="1:5">
      <c r="A83" s="445" t="s">
        <v>824</v>
      </c>
      <c r="B83" s="445" t="s">
        <v>3376</v>
      </c>
      <c r="C83" s="226" t="str">
        <f>'Enterprise Template'!I142</f>
        <v/>
      </c>
      <c r="D83" s="461" t="str">
        <f>'Enterprise Template'!J142</f>
        <v/>
      </c>
      <c r="E83" s="824"/>
    </row>
    <row r="84" spans="1:5">
      <c r="A84" s="445" t="s">
        <v>824</v>
      </c>
      <c r="B84" s="445" t="s">
        <v>748</v>
      </c>
      <c r="C84" s="226" t="str">
        <f>'Enterprise Template'!I143</f>
        <v/>
      </c>
      <c r="D84" s="461" t="str">
        <f>'Enterprise Template'!J143</f>
        <v/>
      </c>
      <c r="E84" s="824"/>
    </row>
    <row r="85" spans="1:5">
      <c r="A85" s="445" t="s">
        <v>824</v>
      </c>
      <c r="B85" s="445" t="s">
        <v>462</v>
      </c>
      <c r="C85" s="226" t="str">
        <f>'Enterprise Template'!I144</f>
        <v/>
      </c>
      <c r="D85" s="461" t="str">
        <f>'Enterprise Template'!J144</f>
        <v/>
      </c>
      <c r="E85" s="824"/>
    </row>
    <row r="86" spans="1:5">
      <c r="A86" s="445" t="s">
        <v>824</v>
      </c>
      <c r="B86" s="445" t="s">
        <v>2981</v>
      </c>
      <c r="C86" s="226" t="str">
        <f>'Enterprise Template'!I145</f>
        <v/>
      </c>
      <c r="D86" s="461" t="str">
        <f>'Enterprise Template'!J145</f>
        <v/>
      </c>
      <c r="E86" s="824"/>
    </row>
    <row r="87" spans="1:5">
      <c r="A87" s="445" t="s">
        <v>824</v>
      </c>
      <c r="B87" s="445" t="s">
        <v>2982</v>
      </c>
      <c r="C87" s="226" t="str">
        <f>'Enterprise Template'!I146</f>
        <v/>
      </c>
      <c r="D87" s="461" t="str">
        <f>'Enterprise Template'!J146</f>
        <v/>
      </c>
      <c r="E87" s="824"/>
    </row>
    <row r="88" spans="1:5">
      <c r="A88" s="34" t="s">
        <v>268</v>
      </c>
      <c r="B88" s="41"/>
      <c r="C88" s="19"/>
      <c r="D88" s="19"/>
      <c r="E88" s="21"/>
    </row>
    <row r="89" spans="1:5">
      <c r="A89" s="445" t="s">
        <v>824</v>
      </c>
      <c r="B89" s="445" t="s">
        <v>598</v>
      </c>
      <c r="C89" s="226" t="str">
        <f>'Enterprise Template'!I152</f>
        <v/>
      </c>
      <c r="D89" s="461" t="str">
        <f>'Enterprise Template'!J152</f>
        <v/>
      </c>
      <c r="E89" s="824"/>
    </row>
    <row r="90" spans="1:5">
      <c r="A90" s="445" t="s">
        <v>824</v>
      </c>
      <c r="B90" s="445" t="s">
        <v>745</v>
      </c>
      <c r="C90" s="226" t="str">
        <f>'Enterprise Template'!I153</f>
        <v/>
      </c>
      <c r="D90" s="461" t="str">
        <f>'Enterprise Template'!J153</f>
        <v/>
      </c>
      <c r="E90" s="824"/>
    </row>
    <row r="91" spans="1:5">
      <c r="A91" s="445" t="s">
        <v>824</v>
      </c>
      <c r="B91" s="445" t="s">
        <v>597</v>
      </c>
      <c r="C91" s="226" t="str">
        <f>'Enterprise Template'!I154</f>
        <v/>
      </c>
      <c r="D91" s="461" t="str">
        <f>'Enterprise Template'!J154</f>
        <v/>
      </c>
      <c r="E91" s="824"/>
    </row>
    <row r="92" spans="1:5">
      <c r="A92" s="445" t="s">
        <v>824</v>
      </c>
      <c r="B92" s="445" t="s">
        <v>2818</v>
      </c>
      <c r="C92" s="226" t="str">
        <f>'Enterprise Template'!I155</f>
        <v/>
      </c>
      <c r="D92" s="461" t="str">
        <f>'Enterprise Template'!J155</f>
        <v/>
      </c>
      <c r="E92" s="824"/>
    </row>
    <row r="93" spans="1:5">
      <c r="A93" s="445" t="s">
        <v>824</v>
      </c>
      <c r="B93" s="445" t="s">
        <v>600</v>
      </c>
      <c r="C93" s="226" t="str">
        <f>'Enterprise Template'!I157</f>
        <v/>
      </c>
      <c r="D93" s="461" t="str">
        <f>'Enterprise Template'!J157</f>
        <v/>
      </c>
      <c r="E93" s="824"/>
    </row>
    <row r="94" spans="1:5">
      <c r="A94" s="445" t="s">
        <v>824</v>
      </c>
      <c r="B94" s="445" t="s">
        <v>461</v>
      </c>
      <c r="C94" s="226" t="str">
        <f>'Enterprise Template'!I158</f>
        <v/>
      </c>
      <c r="D94" s="461" t="str">
        <f>'Enterprise Template'!J158</f>
        <v/>
      </c>
      <c r="E94" s="824"/>
    </row>
    <row r="95" spans="1:5">
      <c r="A95" s="445" t="s">
        <v>824</v>
      </c>
      <c r="B95" s="445" t="s">
        <v>744</v>
      </c>
      <c r="C95" s="226" t="str">
        <f>'Enterprise Template'!I159</f>
        <v/>
      </c>
      <c r="D95" s="461" t="str">
        <f>'Enterprise Template'!J159</f>
        <v/>
      </c>
      <c r="E95" s="824"/>
    </row>
    <row r="96" spans="1:5">
      <c r="A96" s="445" t="s">
        <v>824</v>
      </c>
      <c r="B96" s="445" t="s">
        <v>3195</v>
      </c>
      <c r="C96" s="226" t="str">
        <f>'Enterprise Template'!I162</f>
        <v/>
      </c>
      <c r="D96" s="461" t="str">
        <f>'Enterprise Template'!J162</f>
        <v/>
      </c>
      <c r="E96" s="824"/>
    </row>
    <row r="97" spans="1:5">
      <c r="A97" s="445" t="s">
        <v>824</v>
      </c>
      <c r="B97" s="445" t="s">
        <v>194</v>
      </c>
      <c r="C97" s="226" t="str">
        <f>'Enterprise Template'!I163</f>
        <v/>
      </c>
      <c r="D97" s="461" t="str">
        <f>'Enterprise Template'!J163</f>
        <v/>
      </c>
      <c r="E97" s="824"/>
    </row>
    <row r="98" spans="1:5">
      <c r="A98" s="445" t="s">
        <v>824</v>
      </c>
      <c r="B98" s="445" t="s">
        <v>742</v>
      </c>
      <c r="C98" s="226" t="str">
        <f>'Enterprise Template'!I164</f>
        <v/>
      </c>
      <c r="D98" s="461" t="str">
        <f>'Enterprise Template'!J164</f>
        <v/>
      </c>
      <c r="E98" s="824"/>
    </row>
    <row r="99" spans="1:5">
      <c r="A99" s="445" t="s">
        <v>824</v>
      </c>
      <c r="B99" s="445" t="s">
        <v>3357</v>
      </c>
      <c r="C99" s="226" t="str">
        <f>'Enterprise Template'!I165</f>
        <v/>
      </c>
      <c r="D99" s="461" t="str">
        <f>'Enterprise Template'!J165</f>
        <v/>
      </c>
      <c r="E99" s="824"/>
    </row>
    <row r="100" spans="1:5" ht="24">
      <c r="A100" s="445" t="s">
        <v>824</v>
      </c>
      <c r="B100" s="41" t="s">
        <v>3391</v>
      </c>
      <c r="C100" s="226" t="str">
        <f>'Enterprise Template'!I166</f>
        <v/>
      </c>
      <c r="D100" s="461" t="str">
        <f>'Enterprise Template'!J166</f>
        <v/>
      </c>
      <c r="E100" s="824"/>
    </row>
    <row r="101" spans="1:5">
      <c r="A101" s="445" t="s">
        <v>824</v>
      </c>
      <c r="B101" s="445" t="s">
        <v>747</v>
      </c>
      <c r="C101" s="226" t="str">
        <f>'Enterprise Template'!I167</f>
        <v/>
      </c>
      <c r="D101" s="461" t="str">
        <f>'Enterprise Template'!J167</f>
        <v/>
      </c>
      <c r="E101" s="824"/>
    </row>
    <row r="102" spans="1:5">
      <c r="A102" s="445" t="s">
        <v>824</v>
      </c>
      <c r="B102" s="445" t="s">
        <v>3377</v>
      </c>
      <c r="C102" s="226" t="str">
        <f>'Enterprise Template'!I168</f>
        <v/>
      </c>
      <c r="D102" s="461" t="str">
        <f>'Enterprise Template'!J168</f>
        <v/>
      </c>
      <c r="E102" s="824"/>
    </row>
    <row r="103" spans="1:5">
      <c r="A103" s="445" t="s">
        <v>824</v>
      </c>
      <c r="B103" s="445" t="s">
        <v>748</v>
      </c>
      <c r="C103" s="226" t="str">
        <f>'Enterprise Template'!I169</f>
        <v/>
      </c>
      <c r="D103" s="461" t="str">
        <f>'Enterprise Template'!J169</f>
        <v/>
      </c>
      <c r="E103" s="824"/>
    </row>
    <row r="104" spans="1:5">
      <c r="A104" s="445" t="s">
        <v>824</v>
      </c>
      <c r="B104" s="445" t="s">
        <v>462</v>
      </c>
      <c r="C104" s="226" t="str">
        <f>'Enterprise Template'!I170</f>
        <v/>
      </c>
      <c r="D104" s="461" t="str">
        <f>'Enterprise Template'!J170</f>
        <v/>
      </c>
      <c r="E104" s="824"/>
    </row>
    <row r="105" spans="1:5">
      <c r="A105" s="445" t="s">
        <v>824</v>
      </c>
      <c r="B105" s="445" t="s">
        <v>954</v>
      </c>
      <c r="C105" s="226" t="str">
        <f>'Enterprise Template'!I171</f>
        <v/>
      </c>
      <c r="D105" s="461" t="str">
        <f>'Enterprise Template'!J171</f>
        <v/>
      </c>
      <c r="E105" s="824"/>
    </row>
    <row r="106" spans="1:5">
      <c r="A106" s="445" t="s">
        <v>824</v>
      </c>
      <c r="B106" s="445" t="s">
        <v>2981</v>
      </c>
      <c r="C106" s="226" t="str">
        <f>'Enterprise Template'!I172</f>
        <v/>
      </c>
      <c r="D106" s="461" t="str">
        <f>'Enterprise Template'!J172</f>
        <v/>
      </c>
      <c r="E106" s="824"/>
    </row>
    <row r="107" spans="1:5">
      <c r="A107" s="445" t="s">
        <v>824</v>
      </c>
      <c r="B107" s="445" t="s">
        <v>2982</v>
      </c>
      <c r="C107" s="5" t="str">
        <f>'Enterprise Template'!I173</f>
        <v/>
      </c>
      <c r="D107" s="461" t="str">
        <f>'Enterprise Template'!J173</f>
        <v/>
      </c>
      <c r="E107" s="824"/>
    </row>
    <row r="108" spans="1:5">
      <c r="A108" s="445" t="s">
        <v>824</v>
      </c>
      <c r="B108" s="48" t="s">
        <v>770</v>
      </c>
      <c r="C108" s="260" t="str">
        <f>'Enterprise Template'!I180</f>
        <v/>
      </c>
      <c r="D108" s="476" t="str">
        <f>'Enterprise Template'!J180</f>
        <v/>
      </c>
      <c r="E108" s="824"/>
    </row>
    <row r="109" spans="1:5">
      <c r="A109" s="34" t="s">
        <v>773</v>
      </c>
      <c r="B109" s="143"/>
      <c r="E109" s="21"/>
    </row>
    <row r="110" spans="1:5">
      <c r="A110" s="445" t="s">
        <v>824</v>
      </c>
      <c r="B110" s="445" t="s">
        <v>777</v>
      </c>
      <c r="C110" s="226" t="str">
        <f>'Enterprise Template'!I185</f>
        <v/>
      </c>
      <c r="D110" s="461" t="str">
        <f>'Enterprise Template'!J185</f>
        <v/>
      </c>
      <c r="E110" s="824"/>
    </row>
    <row r="111" spans="1:5">
      <c r="A111" s="445" t="s">
        <v>824</v>
      </c>
      <c r="B111" s="445" t="s">
        <v>196</v>
      </c>
      <c r="C111" s="226" t="str">
        <f>'Enterprise Template'!I186</f>
        <v/>
      </c>
      <c r="D111" s="461" t="str">
        <f>'Enterprise Template'!J186</f>
        <v/>
      </c>
      <c r="E111" s="824"/>
    </row>
    <row r="112" spans="1:5">
      <c r="A112" s="445" t="s">
        <v>824</v>
      </c>
      <c r="B112" s="445" t="s">
        <v>197</v>
      </c>
      <c r="C112" s="226" t="str">
        <f>'Enterprise Template'!I187</f>
        <v/>
      </c>
      <c r="D112" s="461" t="str">
        <f>'Enterprise Template'!J187</f>
        <v/>
      </c>
      <c r="E112" s="824"/>
    </row>
    <row r="113" spans="1:5">
      <c r="A113" s="445" t="s">
        <v>824</v>
      </c>
      <c r="B113" s="445" t="s">
        <v>198</v>
      </c>
      <c r="C113" s="226" t="str">
        <f>'Enterprise Template'!I188</f>
        <v/>
      </c>
      <c r="D113" s="461" t="str">
        <f>'Enterprise Template'!J188</f>
        <v/>
      </c>
      <c r="E113" s="824"/>
    </row>
    <row r="114" spans="1:5">
      <c r="A114" s="445" t="s">
        <v>824</v>
      </c>
      <c r="B114" s="445" t="s">
        <v>2958</v>
      </c>
      <c r="C114" s="226" t="str">
        <f>'Enterprise Template'!I189</f>
        <v/>
      </c>
      <c r="D114" s="461" t="str">
        <f>'Enterprise Template'!J189</f>
        <v/>
      </c>
      <c r="E114" s="824"/>
    </row>
    <row r="115" spans="1:5">
      <c r="A115" s="445" t="s">
        <v>824</v>
      </c>
      <c r="B115" s="445" t="s">
        <v>215</v>
      </c>
      <c r="C115" s="226" t="str">
        <f>'Enterprise Template'!I190</f>
        <v/>
      </c>
      <c r="D115" s="461" t="str">
        <f>'Enterprise Template'!J190</f>
        <v/>
      </c>
      <c r="E115" s="824"/>
    </row>
    <row r="116" spans="1:5">
      <c r="A116" s="445" t="s">
        <v>824</v>
      </c>
      <c r="B116" s="445" t="s">
        <v>1</v>
      </c>
      <c r="C116" s="226" t="str">
        <f>'Enterprise Template'!I191</f>
        <v/>
      </c>
      <c r="D116" s="461" t="str">
        <f>'Enterprise Template'!J191</f>
        <v/>
      </c>
      <c r="E116" s="824"/>
    </row>
    <row r="117" spans="1:5">
      <c r="A117" s="20" t="s">
        <v>2</v>
      </c>
      <c r="B117" s="143"/>
      <c r="E117" s="21"/>
    </row>
    <row r="118" spans="1:5">
      <c r="A118" s="445" t="s">
        <v>825</v>
      </c>
      <c r="B118" s="445" t="s">
        <v>3</v>
      </c>
      <c r="C118" s="226" t="str">
        <f>'Enterprise Template'!I202</f>
        <v/>
      </c>
      <c r="D118" s="461" t="str">
        <f>'Enterprise Template'!J202</f>
        <v/>
      </c>
      <c r="E118" s="824"/>
    </row>
    <row r="119" spans="1:5">
      <c r="A119" s="445" t="s">
        <v>825</v>
      </c>
      <c r="B119" s="445" t="s">
        <v>4</v>
      </c>
      <c r="C119" s="226" t="str">
        <f>'Enterprise Template'!I203</f>
        <v/>
      </c>
      <c r="D119" s="461" t="str">
        <f>'Enterprise Template'!J203</f>
        <v/>
      </c>
      <c r="E119" s="824"/>
    </row>
    <row r="120" spans="1:5">
      <c r="A120" s="445" t="s">
        <v>825</v>
      </c>
      <c r="B120" s="445" t="s">
        <v>199</v>
      </c>
      <c r="C120" s="226" t="str">
        <f>'Enterprise Template'!I205</f>
        <v/>
      </c>
      <c r="D120" s="461" t="str">
        <f>'Enterprise Template'!J205</f>
        <v/>
      </c>
      <c r="E120" s="824"/>
    </row>
    <row r="121" spans="1:5">
      <c r="A121" s="445" t="s">
        <v>825</v>
      </c>
      <c r="B121" s="462" t="s">
        <v>5</v>
      </c>
      <c r="C121" s="226" t="str">
        <f>'Enterprise Template'!I206</f>
        <v/>
      </c>
      <c r="D121" s="461" t="str">
        <f>'Enterprise Template'!J206</f>
        <v/>
      </c>
      <c r="E121" s="824"/>
    </row>
    <row r="122" spans="1:5">
      <c r="A122" s="445" t="s">
        <v>825</v>
      </c>
      <c r="B122" s="462" t="s">
        <v>200</v>
      </c>
      <c r="C122" s="226" t="str">
        <f>'Enterprise Template'!I207</f>
        <v/>
      </c>
      <c r="D122" s="461" t="str">
        <f>'Enterprise Template'!J207</f>
        <v/>
      </c>
      <c r="E122" s="824"/>
    </row>
    <row r="123" spans="1:5">
      <c r="A123" s="445" t="s">
        <v>825</v>
      </c>
      <c r="B123" s="462" t="s">
        <v>324</v>
      </c>
      <c r="C123" s="226" t="str">
        <f>'Enterprise Template'!I208</f>
        <v/>
      </c>
      <c r="D123" s="461" t="str">
        <f>'Enterprise Template'!J208</f>
        <v/>
      </c>
      <c r="E123" s="824"/>
    </row>
    <row r="124" spans="1:5">
      <c r="A124" s="20" t="s">
        <v>9</v>
      </c>
      <c r="B124" s="143"/>
      <c r="E124" s="21"/>
    </row>
    <row r="125" spans="1:5">
      <c r="A125" s="445" t="s">
        <v>825</v>
      </c>
      <c r="B125" s="462" t="s">
        <v>11</v>
      </c>
      <c r="C125" s="226" t="str">
        <f>'Enterprise Template'!I214</f>
        <v/>
      </c>
      <c r="D125" s="461" t="str">
        <f>'Enterprise Template'!J214</f>
        <v/>
      </c>
      <c r="E125" s="824"/>
    </row>
    <row r="126" spans="1:5">
      <c r="A126" s="445" t="s">
        <v>825</v>
      </c>
      <c r="B126" s="462" t="s">
        <v>12</v>
      </c>
      <c r="C126" s="226" t="str">
        <f>'Enterprise Template'!I216</f>
        <v/>
      </c>
      <c r="D126" s="461" t="str">
        <f>'Enterprise Template'!J216</f>
        <v/>
      </c>
      <c r="E126" s="824"/>
    </row>
    <row r="127" spans="1:5">
      <c r="A127" s="445" t="s">
        <v>825</v>
      </c>
      <c r="B127" s="462" t="s">
        <v>13</v>
      </c>
      <c r="C127" s="226" t="str">
        <f>'Enterprise Template'!I217</f>
        <v/>
      </c>
      <c r="D127" s="461" t="str">
        <f>'Enterprise Template'!J217</f>
        <v/>
      </c>
      <c r="E127" s="824"/>
    </row>
    <row r="128" spans="1:5">
      <c r="A128" s="445" t="s">
        <v>825</v>
      </c>
      <c r="B128" s="462" t="s">
        <v>3764</v>
      </c>
      <c r="C128" s="226" t="str">
        <f>'Enterprise Template'!I220</f>
        <v/>
      </c>
      <c r="D128" s="461" t="str">
        <f>'Enterprise Template'!J220</f>
        <v/>
      </c>
      <c r="E128" s="824"/>
    </row>
    <row r="129" spans="1:5">
      <c r="A129" s="445" t="s">
        <v>825</v>
      </c>
      <c r="B129" s="462" t="s">
        <v>14</v>
      </c>
      <c r="C129" s="226" t="str">
        <f>'Enterprise Template'!I221</f>
        <v/>
      </c>
      <c r="D129" s="461" t="str">
        <f>'Enterprise Template'!J221</f>
        <v/>
      </c>
      <c r="E129" s="824"/>
    </row>
    <row r="130" spans="1:5">
      <c r="A130" s="445" t="s">
        <v>825</v>
      </c>
      <c r="B130" s="462" t="s">
        <v>15</v>
      </c>
      <c r="C130" s="226" t="str">
        <f>'Enterprise Template'!I222</f>
        <v/>
      </c>
      <c r="D130" s="461" t="str">
        <f>'Enterprise Template'!J222</f>
        <v/>
      </c>
      <c r="E130" s="824"/>
    </row>
    <row r="131" spans="1:5">
      <c r="A131" s="445" t="s">
        <v>825</v>
      </c>
      <c r="B131" s="462" t="s">
        <v>16</v>
      </c>
      <c r="C131" s="226" t="str">
        <f>'Enterprise Template'!I223</f>
        <v/>
      </c>
      <c r="D131" s="461" t="str">
        <f>'Enterprise Template'!J223</f>
        <v/>
      </c>
      <c r="E131" s="824"/>
    </row>
    <row r="132" spans="1:5">
      <c r="A132" s="445" t="s">
        <v>825</v>
      </c>
      <c r="B132" s="462" t="s">
        <v>17</v>
      </c>
      <c r="C132" s="226" t="str">
        <f>'Enterprise Template'!I225</f>
        <v/>
      </c>
      <c r="D132" s="461" t="str">
        <f>'Enterprise Template'!J225</f>
        <v/>
      </c>
      <c r="E132" s="824"/>
    </row>
    <row r="133" spans="1:5" ht="24">
      <c r="A133" s="445" t="s">
        <v>825</v>
      </c>
      <c r="B133" s="21" t="s">
        <v>3601</v>
      </c>
      <c r="C133" s="226" t="str">
        <f>'Enterprise Template'!I226</f>
        <v/>
      </c>
      <c r="D133" s="461" t="str">
        <f>'Enterprise Template'!J226</f>
        <v/>
      </c>
      <c r="E133" s="824"/>
    </row>
    <row r="134" spans="1:5">
      <c r="A134" s="445" t="s">
        <v>825</v>
      </c>
      <c r="B134" s="462" t="s">
        <v>19</v>
      </c>
      <c r="C134" s="226" t="str">
        <f>'Enterprise Template'!I229</f>
        <v/>
      </c>
      <c r="D134" s="461" t="str">
        <f>'Enterprise Template'!J229</f>
        <v/>
      </c>
      <c r="E134" s="824"/>
    </row>
    <row r="135" spans="1:5">
      <c r="A135" s="445" t="s">
        <v>825</v>
      </c>
      <c r="B135" s="462" t="s">
        <v>10</v>
      </c>
      <c r="C135" s="226" t="str">
        <f>'Enterprise Template'!I230</f>
        <v/>
      </c>
      <c r="D135" s="461" t="str">
        <f>'Enterprise Template'!J230</f>
        <v/>
      </c>
      <c r="E135" s="824"/>
    </row>
    <row r="136" spans="1:5">
      <c r="A136" s="445" t="s">
        <v>825</v>
      </c>
      <c r="B136" s="462" t="s">
        <v>820</v>
      </c>
      <c r="C136" s="226" t="str">
        <f>'Enterprise Template'!I231</f>
        <v/>
      </c>
      <c r="D136" s="461" t="str">
        <f>'Enterprise Template'!J231</f>
        <v/>
      </c>
      <c r="E136" s="824"/>
    </row>
    <row r="137" spans="1:5">
      <c r="A137" s="445" t="s">
        <v>825</v>
      </c>
      <c r="B137" s="462" t="s">
        <v>201</v>
      </c>
      <c r="C137" s="226" t="str">
        <f>'Enterprise Template'!I233</f>
        <v/>
      </c>
      <c r="D137" s="461" t="str">
        <f>'Enterprise Template'!J233</f>
        <v/>
      </c>
      <c r="E137" s="824"/>
    </row>
    <row r="138" spans="1:5">
      <c r="A138" s="445" t="s">
        <v>825</v>
      </c>
      <c r="B138" s="462" t="s">
        <v>626</v>
      </c>
      <c r="C138" s="226" t="str">
        <f>'Enterprise Template'!I234</f>
        <v/>
      </c>
      <c r="D138" s="461" t="str">
        <f>'Enterprise Template'!J234</f>
        <v/>
      </c>
      <c r="E138" s="824"/>
    </row>
    <row r="139" spans="1:5">
      <c r="A139" s="445" t="s">
        <v>825</v>
      </c>
      <c r="B139" s="462" t="s">
        <v>324</v>
      </c>
      <c r="C139" s="226" t="str">
        <f>'Enterprise Template'!I235</f>
        <v/>
      </c>
      <c r="D139" s="461" t="str">
        <f>'Enterprise Template'!J235</f>
        <v/>
      </c>
      <c r="E139" s="824"/>
    </row>
    <row r="140" spans="1:5">
      <c r="A140" s="20" t="s">
        <v>23</v>
      </c>
      <c r="B140" s="143"/>
      <c r="E140" s="21"/>
    </row>
    <row r="141" spans="1:5">
      <c r="A141" s="445" t="s">
        <v>825</v>
      </c>
      <c r="B141" s="462" t="s">
        <v>28</v>
      </c>
      <c r="C141" s="226" t="str">
        <f>'Enterprise Template'!I243</f>
        <v/>
      </c>
      <c r="D141" s="461" t="str">
        <f>'Enterprise Template'!J243</f>
        <v/>
      </c>
      <c r="E141" s="824"/>
    </row>
    <row r="142" spans="1:5">
      <c r="A142" s="445" t="s">
        <v>825</v>
      </c>
      <c r="B142" s="462" t="s">
        <v>821</v>
      </c>
      <c r="C142" s="226" t="str">
        <f>'Enterprise Template'!I244</f>
        <v/>
      </c>
      <c r="D142" s="461" t="str">
        <f>'Enterprise Template'!J244</f>
        <v/>
      </c>
      <c r="E142" s="824"/>
    </row>
    <row r="143" spans="1:5">
      <c r="A143" s="445" t="s">
        <v>825</v>
      </c>
      <c r="B143" s="462" t="s">
        <v>29</v>
      </c>
      <c r="C143" s="226" t="str">
        <f>'Enterprise Template'!I245</f>
        <v/>
      </c>
      <c r="D143" s="461" t="str">
        <f>'Enterprise Template'!J245</f>
        <v/>
      </c>
      <c r="E143" s="824"/>
    </row>
    <row r="144" spans="1:5">
      <c r="A144" s="445" t="s">
        <v>825</v>
      </c>
      <c r="B144" s="462" t="s">
        <v>65</v>
      </c>
      <c r="C144" s="226" t="str">
        <f>'Enterprise Template'!I248</f>
        <v/>
      </c>
      <c r="D144" s="461" t="str">
        <f>'Enterprise Template'!J248</f>
        <v/>
      </c>
      <c r="E144" s="824"/>
    </row>
    <row r="145" spans="1:5">
      <c r="A145" s="445" t="s">
        <v>825</v>
      </c>
      <c r="B145" s="462" t="s">
        <v>308</v>
      </c>
      <c r="C145" s="226" t="str">
        <f>'Enterprise Template'!I249</f>
        <v/>
      </c>
      <c r="D145" s="461" t="str">
        <f>'Enterprise Template'!J249</f>
        <v/>
      </c>
      <c r="E145" s="824"/>
    </row>
    <row r="146" spans="1:5" hidden="1">
      <c r="A146" s="445"/>
      <c r="B146" s="462"/>
      <c r="C146" s="226" t="str">
        <f>'Enterprise Template'!I250</f>
        <v/>
      </c>
      <c r="D146" s="461" t="str">
        <f>'Enterprise Template'!J250</f>
        <v/>
      </c>
      <c r="E146" s="824"/>
    </row>
    <row r="147" spans="1:5" hidden="1">
      <c r="A147" s="445" t="s">
        <v>825</v>
      </c>
      <c r="B147" s="710" t="s">
        <v>3378</v>
      </c>
      <c r="C147" s="226" t="str">
        <f>'Enterprise Template'!I251</f>
        <v/>
      </c>
      <c r="D147" s="461" t="str">
        <f>'Enterprise Template'!J251</f>
        <v/>
      </c>
      <c r="E147" s="824"/>
    </row>
    <row r="148" spans="1:5">
      <c r="A148" s="445" t="s">
        <v>825</v>
      </c>
      <c r="B148" s="462" t="s">
        <v>30</v>
      </c>
      <c r="C148" s="226" t="str">
        <f>'Enterprise Template'!I252</f>
        <v/>
      </c>
      <c r="D148" s="461" t="str">
        <f>'Enterprise Template'!J252</f>
        <v/>
      </c>
      <c r="E148" s="824"/>
    </row>
    <row r="149" spans="1:5">
      <c r="A149" s="445" t="s">
        <v>825</v>
      </c>
      <c r="B149" s="462" t="s">
        <v>10</v>
      </c>
      <c r="C149" s="226" t="str">
        <f>'Enterprise Template'!I253</f>
        <v/>
      </c>
      <c r="D149" s="461" t="str">
        <f>'Enterprise Template'!J253</f>
        <v/>
      </c>
      <c r="E149" s="824"/>
    </row>
    <row r="150" spans="1:5" hidden="1">
      <c r="A150" s="445" t="s">
        <v>825</v>
      </c>
      <c r="B150" s="636" t="s">
        <v>796</v>
      </c>
      <c r="C150" s="226">
        <f>'Enterprise Template'!I254</f>
        <v>0</v>
      </c>
      <c r="D150" s="461" t="str">
        <f>'Enterprise Template'!J254</f>
        <v/>
      </c>
      <c r="E150" s="824"/>
    </row>
    <row r="151" spans="1:5">
      <c r="A151" s="445" t="s">
        <v>825</v>
      </c>
      <c r="B151" s="462" t="s">
        <v>324</v>
      </c>
      <c r="C151" s="226" t="str">
        <f>'Enterprise Template'!I255</f>
        <v/>
      </c>
      <c r="D151" s="461" t="str">
        <f>'Enterprise Template'!J255</f>
        <v/>
      </c>
      <c r="E151" s="824"/>
    </row>
    <row r="152" spans="1:5">
      <c r="A152" s="445" t="s">
        <v>825</v>
      </c>
      <c r="B152" s="462" t="s">
        <v>33</v>
      </c>
      <c r="C152" s="226" t="str">
        <f>'Enterprise Template'!I262</f>
        <v/>
      </c>
      <c r="D152" s="461" t="str">
        <f>'Enterprise Template'!J262</f>
        <v/>
      </c>
      <c r="E152" s="824"/>
    </row>
    <row r="153" spans="1:5">
      <c r="A153" s="445" t="s">
        <v>825</v>
      </c>
      <c r="B153" s="462" t="s">
        <v>204</v>
      </c>
      <c r="C153" s="226" t="str">
        <f>'Enterprise Template'!I263</f>
        <v/>
      </c>
      <c r="D153" s="461" t="str">
        <f>'Enterprise Template'!J263</f>
        <v/>
      </c>
      <c r="E153" s="824"/>
    </row>
    <row r="154" spans="1:5">
      <c r="A154" s="445" t="s">
        <v>825</v>
      </c>
      <c r="B154" s="462" t="s">
        <v>205</v>
      </c>
      <c r="C154" s="226" t="str">
        <f>'Enterprise Template'!I264</f>
        <v/>
      </c>
      <c r="D154" s="461" t="str">
        <f>'Enterprise Template'!J264</f>
        <v/>
      </c>
      <c r="E154" s="824"/>
    </row>
    <row r="155" spans="1:5">
      <c r="A155" s="445" t="s">
        <v>825</v>
      </c>
      <c r="B155" s="462" t="s">
        <v>559</v>
      </c>
      <c r="C155" s="226" t="str">
        <f>'Enterprise Template'!I265</f>
        <v/>
      </c>
      <c r="D155" s="461" t="str">
        <f>'Enterprise Template'!J265</f>
        <v/>
      </c>
      <c r="E155" s="824"/>
    </row>
    <row r="156" spans="1:5">
      <c r="A156" s="445" t="s">
        <v>825</v>
      </c>
      <c r="B156" s="462" t="s">
        <v>560</v>
      </c>
      <c r="C156" s="226" t="str">
        <f>IF('Enterprise Template'!I266="","",-('Enterprise Template'!I266))</f>
        <v/>
      </c>
      <c r="D156" s="461" t="str">
        <f>IF('Enterprise Template'!J266="","",IF('Enterprise Template'!J266=100%,-100%,IF('Enterprise Template'!J266=-100%,100%,-('Enterprise Template'!J266))))</f>
        <v/>
      </c>
      <c r="E156" s="824"/>
    </row>
    <row r="157" spans="1:5">
      <c r="A157" s="20" t="s">
        <v>35</v>
      </c>
      <c r="E157" s="21"/>
    </row>
    <row r="158" spans="1:5">
      <c r="A158" s="445" t="s">
        <v>826</v>
      </c>
      <c r="B158" s="462" t="s">
        <v>36</v>
      </c>
      <c r="C158" s="226" t="str">
        <f>'Enterprise Template'!I278</f>
        <v/>
      </c>
      <c r="D158" s="461" t="str">
        <f>'Enterprise Template'!J278</f>
        <v/>
      </c>
      <c r="E158" s="824"/>
    </row>
    <row r="159" spans="1:5">
      <c r="A159" s="445" t="s">
        <v>826</v>
      </c>
      <c r="B159" s="462" t="s">
        <v>206</v>
      </c>
      <c r="C159" s="226" t="str">
        <f>'Enterprise Template'!I279</f>
        <v/>
      </c>
      <c r="D159" s="461" t="str">
        <f>'Enterprise Template'!J279</f>
        <v/>
      </c>
      <c r="E159" s="824"/>
    </row>
    <row r="160" spans="1:5">
      <c r="A160" s="445" t="s">
        <v>826</v>
      </c>
      <c r="B160" s="462" t="s">
        <v>37</v>
      </c>
      <c r="C160" s="226" t="str">
        <f>'Enterprise Template'!I280</f>
        <v/>
      </c>
      <c r="D160" s="461" t="str">
        <f>'Enterprise Template'!J280</f>
        <v/>
      </c>
      <c r="E160" s="824"/>
    </row>
    <row r="161" spans="1:5">
      <c r="A161" s="445" t="s">
        <v>826</v>
      </c>
      <c r="B161" s="462" t="s">
        <v>38</v>
      </c>
      <c r="C161" s="226" t="str">
        <f>'Enterprise Template'!I281</f>
        <v/>
      </c>
      <c r="D161" s="461" t="str">
        <f>'Enterprise Template'!J281</f>
        <v/>
      </c>
      <c r="E161" s="824"/>
    </row>
    <row r="162" spans="1:5">
      <c r="A162" s="445" t="s">
        <v>826</v>
      </c>
      <c r="B162" s="462" t="s">
        <v>39</v>
      </c>
      <c r="C162" s="226" t="str">
        <f>'Enterprise Template'!I282</f>
        <v/>
      </c>
      <c r="D162" s="461" t="str">
        <f>'Enterprise Template'!J282</f>
        <v/>
      </c>
      <c r="E162" s="824"/>
    </row>
    <row r="163" spans="1:5">
      <c r="A163" s="445" t="s">
        <v>826</v>
      </c>
      <c r="B163" s="462" t="s">
        <v>209</v>
      </c>
      <c r="C163" s="226" t="str">
        <f>'Enterprise Template'!I283</f>
        <v/>
      </c>
      <c r="D163" s="461" t="str">
        <f>'Enterprise Template'!J283</f>
        <v/>
      </c>
      <c r="E163" s="824"/>
    </row>
    <row r="164" spans="1:5">
      <c r="A164" s="445" t="s">
        <v>826</v>
      </c>
      <c r="B164" s="462" t="s">
        <v>41</v>
      </c>
      <c r="C164" s="226" t="str">
        <f>'Enterprise Template'!I285</f>
        <v/>
      </c>
      <c r="D164" s="461" t="str">
        <f>'Enterprise Template'!J285</f>
        <v/>
      </c>
      <c r="E164" s="824"/>
    </row>
    <row r="165" spans="1:5">
      <c r="A165" s="445" t="s">
        <v>826</v>
      </c>
      <c r="B165" s="462" t="s">
        <v>61</v>
      </c>
      <c r="C165" s="226" t="str">
        <f>'Enterprise Template'!I286</f>
        <v/>
      </c>
      <c r="D165" s="461" t="str">
        <f>'Enterprise Template'!J286</f>
        <v/>
      </c>
      <c r="E165" s="824"/>
    </row>
    <row r="166" spans="1:5">
      <c r="A166" s="445" t="s">
        <v>826</v>
      </c>
      <c r="B166" s="462" t="s">
        <v>3765</v>
      </c>
      <c r="C166" s="226" t="str">
        <f>'Enterprise Template'!I288</f>
        <v/>
      </c>
      <c r="D166" s="461" t="str">
        <f>'Enterprise Template'!J288</f>
        <v/>
      </c>
      <c r="E166" s="824"/>
    </row>
    <row r="167" spans="1:5">
      <c r="A167" s="445" t="s">
        <v>826</v>
      </c>
      <c r="B167" s="462" t="s">
        <v>40</v>
      </c>
      <c r="C167" s="226" t="str">
        <f>'Enterprise Template'!I289</f>
        <v/>
      </c>
      <c r="D167" s="461" t="str">
        <f>'Enterprise Template'!J289</f>
        <v/>
      </c>
      <c r="E167" s="824"/>
    </row>
    <row r="168" spans="1:5">
      <c r="A168" s="445" t="s">
        <v>826</v>
      </c>
      <c r="B168" s="462" t="s">
        <v>823</v>
      </c>
      <c r="C168" s="226" t="str">
        <f>'Enterprise Template'!I290</f>
        <v/>
      </c>
      <c r="D168" s="461" t="str">
        <f>'Enterprise Template'!J290</f>
        <v/>
      </c>
      <c r="E168" s="824"/>
    </row>
    <row r="169" spans="1:5">
      <c r="A169" s="445" t="s">
        <v>826</v>
      </c>
      <c r="B169" s="462" t="s">
        <v>208</v>
      </c>
      <c r="C169" s="226" t="str">
        <f>'Enterprise Template'!I291</f>
        <v/>
      </c>
      <c r="D169" s="461" t="str">
        <f>'Enterprise Template'!J291</f>
        <v/>
      </c>
      <c r="E169" s="824"/>
    </row>
    <row r="170" spans="1:5">
      <c r="A170" s="445" t="s">
        <v>826</v>
      </c>
      <c r="B170" s="462" t="s">
        <v>223</v>
      </c>
      <c r="C170" s="226" t="str">
        <f>'Enterprise Template'!I293</f>
        <v/>
      </c>
      <c r="D170" s="461" t="str">
        <f>'Enterprise Template'!J293</f>
        <v/>
      </c>
      <c r="E170" s="824"/>
    </row>
    <row r="171" spans="1:5">
      <c r="A171" s="445" t="s">
        <v>826</v>
      </c>
      <c r="B171" s="462" t="s">
        <v>223</v>
      </c>
      <c r="C171" s="226" t="str">
        <f>'Enterprise Template'!I294</f>
        <v/>
      </c>
      <c r="D171" s="461" t="str">
        <f>'Enterprise Template'!J294</f>
        <v/>
      </c>
      <c r="E171" s="824"/>
    </row>
    <row r="172" spans="1:5">
      <c r="A172" s="445" t="s">
        <v>826</v>
      </c>
      <c r="B172" s="462" t="s">
        <v>222</v>
      </c>
      <c r="C172" s="226" t="str">
        <f>'Enterprise Template'!I297</f>
        <v/>
      </c>
      <c r="D172" s="461" t="str">
        <f>'Enterprise Template'!J297</f>
        <v/>
      </c>
      <c r="E172" s="824"/>
    </row>
    <row r="173" spans="1:5">
      <c r="A173" s="445" t="s">
        <v>826</v>
      </c>
      <c r="B173" s="462" t="s">
        <v>222</v>
      </c>
      <c r="C173" s="226" t="str">
        <f>'Enterprise Template'!I298</f>
        <v/>
      </c>
      <c r="D173" s="461" t="str">
        <f>'Enterprise Template'!J298</f>
        <v/>
      </c>
      <c r="E173" s="824"/>
    </row>
    <row r="174" spans="1:5">
      <c r="A174" s="20" t="s">
        <v>151</v>
      </c>
      <c r="E174" s="21"/>
    </row>
    <row r="175" spans="1:5">
      <c r="A175" s="445" t="s">
        <v>826</v>
      </c>
      <c r="B175" s="462" t="s">
        <v>69</v>
      </c>
      <c r="C175" s="226" t="str">
        <f>'Enterprise Template'!I304</f>
        <v/>
      </c>
      <c r="D175" s="461" t="str">
        <f>'Enterprise Template'!J304</f>
        <v/>
      </c>
      <c r="E175" s="824"/>
    </row>
    <row r="176" spans="1:5">
      <c r="A176" s="445" t="s">
        <v>826</v>
      </c>
      <c r="B176" s="462" t="s">
        <v>70</v>
      </c>
      <c r="C176" s="226" t="str">
        <f>IF('Enterprise Template'!I305="","",-('Enterprise Template'!I305))</f>
        <v/>
      </c>
      <c r="D176" s="461" t="str">
        <f>IF('Enterprise Template'!J305="","",IF('Enterprise Template'!J305=100%,-100%,IF('Enterprise Template'!J305=-100%,100%,-('Enterprise Template'!J305))))</f>
        <v/>
      </c>
      <c r="E176" s="824"/>
    </row>
    <row r="177" spans="1:5">
      <c r="A177" s="445" t="s">
        <v>826</v>
      </c>
      <c r="B177" s="462" t="s">
        <v>627</v>
      </c>
      <c r="C177" s="226" t="str">
        <f>'Enterprise Template'!I307</f>
        <v/>
      </c>
      <c r="D177" s="461" t="str">
        <f>'Enterprise Template'!J307</f>
        <v/>
      </c>
      <c r="E177" s="824"/>
    </row>
    <row r="178" spans="1:5" hidden="1">
      <c r="A178" s="445"/>
      <c r="B178" s="462"/>
      <c r="C178" s="226" t="str">
        <f>'Enterprise Template'!I308</f>
        <v/>
      </c>
      <c r="D178" s="461" t="str">
        <f>'Enterprise Template'!J308</f>
        <v/>
      </c>
      <c r="E178" s="824"/>
    </row>
    <row r="179" spans="1:5" hidden="1">
      <c r="A179" s="445" t="s">
        <v>826</v>
      </c>
      <c r="B179" s="445" t="s">
        <v>822</v>
      </c>
      <c r="C179" s="226" t="str">
        <f>'Enterprise Template'!I309</f>
        <v/>
      </c>
      <c r="D179" s="461" t="str">
        <f>'Enterprise Template'!J309</f>
        <v/>
      </c>
      <c r="E179" s="824"/>
    </row>
    <row r="180" spans="1:5">
      <c r="A180" s="445" t="s">
        <v>826</v>
      </c>
      <c r="B180" s="462" t="s">
        <v>211</v>
      </c>
      <c r="C180" s="226" t="str">
        <f>'Enterprise Template'!I310</f>
        <v/>
      </c>
      <c r="D180" s="461" t="str">
        <f>'Enterprise Template'!J310</f>
        <v/>
      </c>
      <c r="E180" s="824"/>
    </row>
    <row r="181" spans="1:5">
      <c r="A181" s="445" t="s">
        <v>826</v>
      </c>
      <c r="B181" s="462" t="s">
        <v>152</v>
      </c>
      <c r="C181" s="226" t="str">
        <f>'Enterprise Template'!I311</f>
        <v/>
      </c>
      <c r="D181" s="461" t="str">
        <f>'Enterprise Template'!J311</f>
        <v/>
      </c>
      <c r="E181" s="824"/>
    </row>
    <row r="182" spans="1:5">
      <c r="A182" s="445" t="s">
        <v>826</v>
      </c>
      <c r="B182" s="462" t="s">
        <v>152</v>
      </c>
      <c r="C182" s="226" t="str">
        <f>'Enterprise Template'!I312</f>
        <v/>
      </c>
      <c r="D182" s="461" t="str">
        <f>'Enterprise Template'!J312</f>
        <v/>
      </c>
      <c r="E182" s="824"/>
    </row>
    <row r="183" spans="1:5">
      <c r="A183" s="445" t="s">
        <v>826</v>
      </c>
      <c r="B183" s="463" t="s">
        <v>628</v>
      </c>
      <c r="C183" s="226" t="str">
        <f>'Enterprise Template'!I315</f>
        <v/>
      </c>
      <c r="D183" s="461" t="str">
        <f>'Enterprise Template'!J315</f>
        <v/>
      </c>
      <c r="E183" s="824"/>
    </row>
    <row r="184" spans="1:5">
      <c r="A184" s="445" t="s">
        <v>826</v>
      </c>
      <c r="B184" s="462" t="s">
        <v>154</v>
      </c>
      <c r="C184" s="226" t="str">
        <f>'Enterprise Template'!I316</f>
        <v/>
      </c>
      <c r="D184" s="461" t="str">
        <f>'Enterprise Template'!J316</f>
        <v/>
      </c>
      <c r="E184" s="824"/>
    </row>
    <row r="185" spans="1:5">
      <c r="A185" s="445" t="s">
        <v>826</v>
      </c>
      <c r="B185" s="462" t="s">
        <v>154</v>
      </c>
      <c r="C185" s="226" t="str">
        <f>'Enterprise Template'!I317</f>
        <v/>
      </c>
      <c r="D185" s="461" t="str">
        <f>'Enterprise Template'!J317</f>
        <v/>
      </c>
      <c r="E185" s="824"/>
    </row>
    <row r="186" spans="1:5">
      <c r="A186" s="20" t="s">
        <v>77</v>
      </c>
      <c r="E186" s="21"/>
    </row>
    <row r="187" spans="1:5">
      <c r="A187" s="445" t="s">
        <v>826</v>
      </c>
      <c r="B187" s="462" t="s">
        <v>629</v>
      </c>
      <c r="C187" s="226" t="str">
        <f>'Enterprise Template'!I331</f>
        <v/>
      </c>
      <c r="D187" s="461" t="str">
        <f>'Enterprise Template'!J331</f>
        <v/>
      </c>
      <c r="E187" s="824"/>
    </row>
    <row r="188" spans="1:5" ht="36">
      <c r="A188" s="445" t="s">
        <v>826</v>
      </c>
      <c r="B188" s="463" t="s">
        <v>3390</v>
      </c>
      <c r="C188" s="226" t="str">
        <f>'Enterprise Template'!I332</f>
        <v/>
      </c>
      <c r="D188" s="461" t="str">
        <f>'Enterprise Template'!J332</f>
        <v/>
      </c>
      <c r="E188" s="824"/>
    </row>
    <row r="189" spans="1:5">
      <c r="A189" s="445" t="s">
        <v>826</v>
      </c>
      <c r="B189" s="462" t="s">
        <v>79</v>
      </c>
      <c r="C189" s="226" t="str">
        <f>'Enterprise Template'!I333</f>
        <v/>
      </c>
      <c r="D189" s="461" t="str">
        <f>'Enterprise Template'!J333</f>
        <v/>
      </c>
      <c r="E189" s="824"/>
    </row>
    <row r="190" spans="1:5">
      <c r="A190" s="445" t="s">
        <v>826</v>
      </c>
      <c r="B190" s="462" t="s">
        <v>80</v>
      </c>
      <c r="C190" s="226" t="str">
        <f>'Enterprise Template'!I334</f>
        <v/>
      </c>
      <c r="D190" s="461" t="str">
        <f>'Enterprise Template'!J334</f>
        <v/>
      </c>
      <c r="E190" s="824"/>
    </row>
    <row r="191" spans="1:5" hidden="1">
      <c r="A191" s="637" t="s">
        <v>826</v>
      </c>
      <c r="B191" s="636" t="s">
        <v>33</v>
      </c>
      <c r="C191" s="226">
        <f>'Enterprise Template'!I335</f>
        <v>0</v>
      </c>
      <c r="D191" s="461" t="str">
        <f>'Enterprise Template'!J335</f>
        <v/>
      </c>
      <c r="E191" s="824"/>
    </row>
    <row r="192" spans="1:5" hidden="1">
      <c r="A192" s="637" t="s">
        <v>826</v>
      </c>
      <c r="B192" s="636" t="s">
        <v>796</v>
      </c>
      <c r="C192" s="226">
        <f>'Enterprise Template'!I336</f>
        <v>0</v>
      </c>
      <c r="D192" s="461" t="str">
        <f>'Enterprise Template'!J336</f>
        <v/>
      </c>
      <c r="E192" s="824"/>
    </row>
    <row r="193" spans="1:5">
      <c r="A193" s="445" t="s">
        <v>826</v>
      </c>
      <c r="B193" s="462" t="s">
        <v>322</v>
      </c>
      <c r="C193" s="226" t="str">
        <f>'Enterprise Template'!I338</f>
        <v/>
      </c>
      <c r="D193" s="461" t="str">
        <f>'Enterprise Template'!J338</f>
        <v/>
      </c>
      <c r="E193" s="824"/>
    </row>
    <row r="194" spans="1:5">
      <c r="A194" s="445" t="s">
        <v>826</v>
      </c>
      <c r="B194" s="462" t="s">
        <v>322</v>
      </c>
      <c r="C194" s="226" t="str">
        <f>'Enterprise Template'!I339</f>
        <v/>
      </c>
      <c r="D194" s="461" t="str">
        <f>'Enterprise Template'!J339</f>
        <v/>
      </c>
      <c r="E194" s="824"/>
    </row>
    <row r="195" spans="1:5">
      <c r="A195" s="445" t="s">
        <v>826</v>
      </c>
      <c r="B195" s="463" t="s">
        <v>323</v>
      </c>
      <c r="C195" s="226" t="str">
        <f>'Enterprise Template'!I343</f>
        <v/>
      </c>
      <c r="D195" s="461" t="str">
        <f>'Enterprise Template'!J343</f>
        <v/>
      </c>
      <c r="E195" s="824"/>
    </row>
    <row r="196" spans="1:5">
      <c r="A196" s="445" t="s">
        <v>826</v>
      </c>
      <c r="B196" s="463" t="s">
        <v>323</v>
      </c>
      <c r="C196" s="226" t="str">
        <f>'Enterprise Template'!I344</f>
        <v/>
      </c>
      <c r="D196" s="461" t="str">
        <f>'Enterprise Template'!J344</f>
        <v/>
      </c>
      <c r="E196" s="824"/>
    </row>
    <row r="197" spans="1:5">
      <c r="A197" s="20" t="s">
        <v>84</v>
      </c>
      <c r="E197" s="21"/>
    </row>
    <row r="198" spans="1:5">
      <c r="A198" s="445" t="s">
        <v>826</v>
      </c>
      <c r="B198" s="462" t="s">
        <v>85</v>
      </c>
      <c r="C198" s="226" t="str">
        <f>'Enterprise Template'!I350</f>
        <v/>
      </c>
      <c r="D198" s="461" t="str">
        <f>'Enterprise Template'!J350</f>
        <v/>
      </c>
      <c r="E198" s="824"/>
    </row>
    <row r="199" spans="1:5">
      <c r="A199" s="445" t="s">
        <v>826</v>
      </c>
      <c r="B199" s="462" t="s">
        <v>86</v>
      </c>
      <c r="C199" s="226" t="str">
        <f>'Enterprise Template'!I351</f>
        <v/>
      </c>
      <c r="D199" s="461" t="str">
        <f>'Enterprise Template'!J351</f>
        <v/>
      </c>
      <c r="E199" s="824"/>
    </row>
    <row r="200" spans="1:5">
      <c r="A200" s="445" t="s">
        <v>826</v>
      </c>
      <c r="B200" s="462" t="s">
        <v>87</v>
      </c>
      <c r="C200" s="226" t="str">
        <f>'Enterprise Template'!I352</f>
        <v/>
      </c>
      <c r="D200" s="461" t="str">
        <f>'Enterprise Template'!J352</f>
        <v/>
      </c>
      <c r="E200" s="824"/>
    </row>
  </sheetData>
  <sheetProtection algorithmName="SHA-512" hashValue="3L49KWwqwAd4Aayc7QIib5V5ml4KVScaj/gTBxIrYIQPH/T3Wza39HuXPU7smx2LXVwStlkiGc0YGnLpqlmrcA==" saltValue="Ly4QQF4L90UiQfEkImUnog==" spinCount="100000" sheet="1" objects="1" scenarios="1"/>
  <mergeCells count="15">
    <mergeCell ref="A7:C7"/>
    <mergeCell ref="D7:E7"/>
    <mergeCell ref="C17:D17"/>
    <mergeCell ref="A4:C4"/>
    <mergeCell ref="D4:E4"/>
    <mergeCell ref="A5:C5"/>
    <mergeCell ref="D5:E5"/>
    <mergeCell ref="A6:C6"/>
    <mergeCell ref="D6:E6"/>
    <mergeCell ref="A1:C1"/>
    <mergeCell ref="D1:E1"/>
    <mergeCell ref="A2:C2"/>
    <mergeCell ref="D2:E2"/>
    <mergeCell ref="A3:C3"/>
    <mergeCell ref="D3:E3"/>
  </mergeCells>
  <conditionalFormatting sqref="E20:E43">
    <cfRule type="cellIs" dxfId="185" priority="2" operator="equal">
      <formula>"Answer Required"</formula>
    </cfRule>
  </conditionalFormatting>
  <conditionalFormatting sqref="E45:E59 E61:E87 E89:E108 E110:E116 E118:E123 E125:E139 E141:E156 E158:E173 E175:E185 E187:E196 E198:E200">
    <cfRule type="cellIs" dxfId="184" priority="1" operator="equal">
      <formula>"Answer Required"</formula>
    </cfRule>
  </conditionalFormatting>
  <dataValidations disablePrompts="1" count="2">
    <dataValidation type="whole" allowBlank="1" showErrorMessage="1" error="Amount must be rounded to the nearest dollar._x000a_" prompt="_x000a__x000a_" sqref="H35:H37 H24:H29" xr:uid="{00000000-0002-0000-0300-000000000000}">
      <formula1>-999999999999999</formula1>
      <formula2>99999999999999900000</formula2>
    </dataValidation>
    <dataValidation type="whole" allowBlank="1" showErrorMessage="1" prompt="_x000a__x000a_" sqref="H30:H34" xr:uid="{00000000-0002-0000-0300-000001000000}">
      <formula1>0</formula1>
      <formula2>9999999999999990</formula2>
    </dataValidation>
  </dataValidations>
  <pageMargins left="0.7" right="0.7" top="0.75" bottom="0.75" header="0.3" footer="0.3"/>
  <pageSetup scale="63" orientation="landscape" cellComments="asDisplayed" r:id="rId1"/>
  <headerFooter>
    <oddHeader>&amp;C&amp;"Times New Roman,Bold"Attachment 10
Enterprise Fund Financial Statement Template
&amp;A</oddHeader>
    <oddFooter>&amp;L&amp;"Times New Roman,Regular"&amp;F\ &amp;A&amp;R&amp;"Times New Roman,Regular"Page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J217"/>
  <sheetViews>
    <sheetView showGridLines="0" showZeros="0" zoomScale="90" zoomScaleNormal="90" zoomScaleSheetLayoutView="90" workbookViewId="0">
      <selection activeCell="I158" sqref="I158"/>
    </sheetView>
  </sheetViews>
  <sheetFormatPr defaultColWidth="8.85546875" defaultRowHeight="12.75"/>
  <cols>
    <col min="1" max="1" width="9.28515625" style="12" bestFit="1" customWidth="1"/>
    <col min="2" max="2" width="20.7109375" style="12" customWidth="1"/>
    <col min="3" max="3" width="18.7109375" style="111" customWidth="1"/>
    <col min="4" max="4" width="18.7109375" style="166" customWidth="1"/>
    <col min="5" max="5" width="35.7109375" style="12" customWidth="1"/>
    <col min="6" max="7" width="29.7109375" style="12" customWidth="1"/>
    <col min="8" max="8" width="30.7109375" style="12" customWidth="1"/>
    <col min="9" max="9" width="20.7109375" style="12" customWidth="1"/>
    <col min="10" max="10" width="30.7109375" style="12" customWidth="1"/>
    <col min="11" max="16384" width="8.85546875" style="12"/>
  </cols>
  <sheetData>
    <row r="1" spans="1:9">
      <c r="A1" s="1082" t="s">
        <v>272</v>
      </c>
      <c r="B1" s="1083"/>
      <c r="C1" s="1084"/>
      <c r="D1" s="1069" t="str">
        <f>'Enterprise Template'!E1</f>
        <v/>
      </c>
      <c r="E1" s="1070"/>
      <c r="F1" s="1070"/>
      <c r="G1" s="711"/>
    </row>
    <row r="2" spans="1:9">
      <c r="A2" s="1082" t="s">
        <v>190</v>
      </c>
      <c r="B2" s="1083"/>
      <c r="C2" s="1084"/>
      <c r="D2" s="1069" t="str">
        <f>IF('Enterprise Template'!E2="","",'Enterprise Template'!E2)</f>
        <v/>
      </c>
      <c r="E2" s="1070"/>
      <c r="F2" s="1070"/>
      <c r="G2" s="711"/>
    </row>
    <row r="3" spans="1:9">
      <c r="A3" s="1082" t="s">
        <v>447</v>
      </c>
      <c r="B3" s="1083"/>
      <c r="C3" s="1084"/>
      <c r="D3" s="1096" t="str">
        <f>IF('Enterprise Template'!E3="","",'Enterprise Template'!E3)</f>
        <v/>
      </c>
      <c r="E3" s="1097"/>
      <c r="F3" s="1097"/>
      <c r="G3" s="711"/>
    </row>
    <row r="4" spans="1:9">
      <c r="A4" s="1082" t="s">
        <v>448</v>
      </c>
      <c r="B4" s="1083"/>
      <c r="C4" s="1084"/>
      <c r="D4" s="1098" t="str">
        <f>IF('Enterprise Template'!E4="","",'Enterprise Template'!E4)</f>
        <v/>
      </c>
      <c r="E4" s="1099"/>
      <c r="F4" s="1099"/>
      <c r="G4" s="711"/>
    </row>
    <row r="5" spans="1:9">
      <c r="A5" s="1082" t="s">
        <v>2847</v>
      </c>
      <c r="B5" s="1083"/>
      <c r="C5" s="1084"/>
      <c r="D5" s="1100" t="str">
        <f>IF('Enterprise Template'!E5="","",'Enterprise Template'!E5)</f>
        <v/>
      </c>
      <c r="E5" s="1101"/>
      <c r="F5" s="1101"/>
      <c r="G5" s="711"/>
    </row>
    <row r="6" spans="1:9">
      <c r="A6" s="1082" t="s">
        <v>449</v>
      </c>
      <c r="B6" s="1083"/>
      <c r="C6" s="1084"/>
      <c r="D6" s="1067" t="str">
        <f>IF('Enterprise Template'!E6="","",'Enterprise Template'!E6)</f>
        <v/>
      </c>
      <c r="E6" s="1068"/>
      <c r="F6" s="1068"/>
      <c r="G6" s="711"/>
    </row>
    <row r="7" spans="1:9">
      <c r="A7" s="1082" t="s">
        <v>224</v>
      </c>
      <c r="B7" s="1083"/>
      <c r="C7" s="1084"/>
      <c r="D7" s="1069" t="str">
        <f>'Enterprise Template'!E7</f>
        <v/>
      </c>
      <c r="E7" s="1070"/>
      <c r="F7" s="1070"/>
      <c r="G7" s="711"/>
    </row>
    <row r="8" spans="1:9">
      <c r="A8" s="13"/>
      <c r="B8" s="13"/>
      <c r="C8" s="1080"/>
      <c r="D8" s="1081"/>
      <c r="E8" s="1081"/>
      <c r="F8" s="1081"/>
      <c r="G8" s="1081"/>
      <c r="H8" s="166"/>
    </row>
    <row r="9" spans="1:9">
      <c r="A9" s="314"/>
      <c r="B9" s="712"/>
      <c r="C9" s="713"/>
      <c r="D9" s="713"/>
      <c r="E9" s="713"/>
      <c r="F9" s="713"/>
      <c r="G9" s="713"/>
      <c r="H9" s="713"/>
    </row>
    <row r="10" spans="1:9">
      <c r="A10" s="168" t="s">
        <v>131</v>
      </c>
      <c r="B10" s="12" t="s">
        <v>2712</v>
      </c>
      <c r="H10" s="714">
        <f>'Enterprise Template'!G33</f>
        <v>0</v>
      </c>
    </row>
    <row r="11" spans="1:9">
      <c r="A11" s="168"/>
      <c r="B11" s="12" t="s">
        <v>358</v>
      </c>
      <c r="G11" s="782" t="str">
        <f>IF(AND((H10 &lt; 0),(H11="")),"Answer Required ==&gt;","")</f>
        <v/>
      </c>
      <c r="H11" s="980" t="str">
        <f>IF(H10&lt;0,"Answer Required","")</f>
        <v/>
      </c>
    </row>
    <row r="12" spans="1:9">
      <c r="A12" s="168"/>
      <c r="G12" s="143"/>
      <c r="H12" s="715"/>
    </row>
    <row r="13" spans="1:9">
      <c r="A13" s="168" t="s">
        <v>132</v>
      </c>
      <c r="B13" s="12" t="s">
        <v>133</v>
      </c>
    </row>
    <row r="14" spans="1:9">
      <c r="A14" s="168"/>
      <c r="B14" s="12" t="s">
        <v>134</v>
      </c>
      <c r="H14" s="716">
        <f>'Enterprise Template'!G34</f>
        <v>0</v>
      </c>
    </row>
    <row r="15" spans="1:9" ht="15">
      <c r="A15" s="168"/>
      <c r="B15" s="12" t="s">
        <v>674</v>
      </c>
      <c r="G15" s="782"/>
      <c r="H15" s="717"/>
      <c r="I15" s="478" t="str">
        <f>IF(AND(H14&gt;0,H15=""),"Answer Required","")</f>
        <v/>
      </c>
    </row>
    <row r="16" spans="1:9">
      <c r="A16" s="168"/>
      <c r="B16" s="12" t="s">
        <v>639</v>
      </c>
      <c r="G16" s="782" t="str">
        <f>IF(AND((H14 &lt; 0),(H16="")),"Answer Required ==&gt;","")</f>
        <v/>
      </c>
      <c r="H16" s="980" t="str">
        <f>IF(H14&lt;0,"Answer Required","")</f>
        <v/>
      </c>
    </row>
    <row r="17" spans="1:9">
      <c r="A17" s="168"/>
      <c r="H17" s="715"/>
    </row>
    <row r="18" spans="1:9">
      <c r="A18" s="168" t="s">
        <v>58</v>
      </c>
      <c r="B18" s="12" t="s">
        <v>60</v>
      </c>
      <c r="G18" s="143"/>
      <c r="H18" s="715"/>
    </row>
    <row r="19" spans="1:9">
      <c r="A19" s="168"/>
      <c r="B19" s="12" t="s">
        <v>978</v>
      </c>
      <c r="G19" s="143"/>
      <c r="H19" s="715"/>
    </row>
    <row r="20" spans="1:9">
      <c r="A20" s="168"/>
      <c r="B20" s="12" t="s">
        <v>992</v>
      </c>
      <c r="G20" s="143"/>
      <c r="H20" s="717"/>
    </row>
    <row r="21" spans="1:9">
      <c r="A21" s="168"/>
      <c r="B21" s="12" t="s">
        <v>993</v>
      </c>
      <c r="G21" s="143"/>
      <c r="H21" s="717"/>
    </row>
    <row r="22" spans="1:9">
      <c r="A22" s="168"/>
      <c r="B22" s="12" t="s">
        <v>979</v>
      </c>
      <c r="G22" s="143"/>
      <c r="H22" s="718">
        <f>H20+H21</f>
        <v>0</v>
      </c>
    </row>
    <row r="23" spans="1:9">
      <c r="A23" s="168"/>
      <c r="B23" s="12" t="s">
        <v>2855</v>
      </c>
      <c r="G23" s="143"/>
      <c r="H23" s="717"/>
    </row>
    <row r="24" spans="1:9">
      <c r="A24" s="168"/>
      <c r="G24" s="143"/>
      <c r="H24" s="715"/>
    </row>
    <row r="25" spans="1:9">
      <c r="A25" s="168" t="s">
        <v>59</v>
      </c>
      <c r="B25" s="12" t="s">
        <v>2856</v>
      </c>
      <c r="G25" s="143"/>
      <c r="H25" s="719">
        <f>IFERROR(H15+H23,)</f>
        <v>0</v>
      </c>
    </row>
    <row r="26" spans="1:9">
      <c r="A26" s="168"/>
    </row>
    <row r="27" spans="1:9">
      <c r="A27" s="168" t="s">
        <v>135</v>
      </c>
      <c r="B27" s="12" t="s">
        <v>2857</v>
      </c>
      <c r="H27" s="610" t="s">
        <v>673</v>
      </c>
    </row>
    <row r="28" spans="1:9" ht="15">
      <c r="A28" s="168"/>
      <c r="B28" s="12" t="s">
        <v>2858</v>
      </c>
      <c r="H28" s="717"/>
      <c r="I28" s="478" t="str">
        <f>IF(AND(H25&gt;0,H28=""),"Answer Required","")</f>
        <v/>
      </c>
    </row>
    <row r="29" spans="1:9">
      <c r="A29" s="168"/>
      <c r="E29" s="312"/>
      <c r="F29" s="312"/>
      <c r="G29" s="312"/>
    </row>
    <row r="30" spans="1:9">
      <c r="A30" s="720"/>
      <c r="B30" s="282" t="s">
        <v>2848</v>
      </c>
      <c r="C30" s="103"/>
      <c r="D30" s="103"/>
      <c r="E30" s="312"/>
      <c r="F30" s="312"/>
      <c r="G30" s="312"/>
      <c r="H30" s="717"/>
    </row>
    <row r="31" spans="1:9">
      <c r="A31" s="168"/>
    </row>
    <row r="32" spans="1:9">
      <c r="A32" s="168"/>
      <c r="B32" s="12" t="s">
        <v>2849</v>
      </c>
      <c r="C32" s="12"/>
      <c r="D32" s="12"/>
      <c r="F32" s="610"/>
    </row>
    <row r="33" spans="1:9">
      <c r="A33" s="168"/>
      <c r="B33" s="12" t="s">
        <v>147</v>
      </c>
      <c r="C33" s="12"/>
      <c r="D33" s="12"/>
      <c r="F33" s="610"/>
      <c r="I33" s="610"/>
    </row>
    <row r="34" spans="1:9">
      <c r="A34" s="168"/>
      <c r="B34" s="12" t="s">
        <v>579</v>
      </c>
      <c r="C34" s="12"/>
      <c r="D34" s="12"/>
      <c r="H34" s="717"/>
      <c r="I34" s="721"/>
    </row>
    <row r="35" spans="1:9">
      <c r="A35" s="168"/>
      <c r="B35" s="12" t="s">
        <v>580</v>
      </c>
      <c r="C35" s="12"/>
      <c r="D35" s="12"/>
      <c r="H35" s="717"/>
      <c r="I35" s="721"/>
    </row>
    <row r="36" spans="1:9">
      <c r="A36" s="168"/>
      <c r="B36" s="12" t="s">
        <v>180</v>
      </c>
      <c r="C36" s="12"/>
      <c r="D36" s="12"/>
      <c r="H36" s="717"/>
      <c r="I36" s="721"/>
    </row>
    <row r="37" spans="1:9">
      <c r="A37" s="168"/>
      <c r="B37" s="12" t="s">
        <v>650</v>
      </c>
      <c r="C37" s="12"/>
      <c r="D37" s="12"/>
    </row>
    <row r="38" spans="1:9">
      <c r="A38" s="168"/>
      <c r="H38" s="722"/>
    </row>
    <row r="39" spans="1:9" ht="13.5" thickBot="1">
      <c r="A39" s="168"/>
      <c r="B39" s="12" t="s">
        <v>2700</v>
      </c>
      <c r="H39" s="723">
        <f>IF((H28+H30+H34+H35+H36)=H25,H28+H30+H34+H35+H36,"ERROR")</f>
        <v>0</v>
      </c>
    </row>
    <row r="40" spans="1:9" ht="13.5" thickTop="1">
      <c r="A40" s="168"/>
      <c r="G40" s="284" t="s">
        <v>89</v>
      </c>
      <c r="H40" s="724">
        <f>SUM(H28+H30+H34+H35+H36)-H25</f>
        <v>0</v>
      </c>
    </row>
    <row r="41" spans="1:9">
      <c r="A41" s="168"/>
      <c r="B41" s="12" t="s">
        <v>675</v>
      </c>
      <c r="H41" s="981" t="str">
        <f>IF($H$28&gt;250000,"Answer Required","N/A")</f>
        <v>N/A</v>
      </c>
    </row>
    <row r="42" spans="1:9">
      <c r="A42" s="168"/>
    </row>
    <row r="43" spans="1:9">
      <c r="A43" s="168" t="s">
        <v>662</v>
      </c>
      <c r="B43" s="12" t="s">
        <v>2822</v>
      </c>
    </row>
    <row r="44" spans="1:9">
      <c r="A44" s="168" t="s">
        <v>256</v>
      </c>
      <c r="B44" s="166" t="s">
        <v>2823</v>
      </c>
    </row>
    <row r="45" spans="1:9" hidden="1">
      <c r="A45" s="168" t="s">
        <v>651</v>
      </c>
    </row>
    <row r="46" spans="1:9" hidden="1">
      <c r="A46" s="168"/>
      <c r="H46" s="111"/>
    </row>
    <row r="47" spans="1:9" hidden="1">
      <c r="A47" s="168"/>
    </row>
    <row r="48" spans="1:9">
      <c r="A48" s="168"/>
      <c r="B48" s="610"/>
      <c r="C48" s="13"/>
      <c r="D48" s="13"/>
      <c r="E48" s="13"/>
      <c r="F48" s="13"/>
      <c r="G48" s="13"/>
      <c r="H48" s="610"/>
    </row>
    <row r="49" spans="1:10" ht="34.5" customHeight="1">
      <c r="A49" s="168"/>
      <c r="B49" s="610"/>
      <c r="C49" s="610"/>
      <c r="D49" s="610"/>
      <c r="E49" s="610"/>
      <c r="F49" s="1088" t="s">
        <v>2824</v>
      </c>
      <c r="G49" s="1089"/>
      <c r="H49" s="156"/>
      <c r="I49" s="610"/>
    </row>
    <row r="50" spans="1:10" s="13" customFormat="1" ht="69.95" customHeight="1">
      <c r="A50" s="730"/>
      <c r="B50" s="746" t="s">
        <v>2842</v>
      </c>
      <c r="C50" s="746" t="s">
        <v>2844</v>
      </c>
      <c r="D50" s="112" t="s">
        <v>1000</v>
      </c>
      <c r="E50" s="112" t="s">
        <v>1010</v>
      </c>
      <c r="F50" s="112" t="s">
        <v>2825</v>
      </c>
      <c r="G50" s="112" t="s">
        <v>2826</v>
      </c>
      <c r="H50" s="746" t="s">
        <v>2845</v>
      </c>
      <c r="I50" s="746" t="s">
        <v>2846</v>
      </c>
      <c r="J50" s="747" t="s">
        <v>2713</v>
      </c>
    </row>
    <row r="51" spans="1:10">
      <c r="A51" s="168"/>
      <c r="B51" s="725"/>
      <c r="C51" s="726"/>
      <c r="D51" s="726"/>
      <c r="E51" s="727" t="str">
        <f>IF(D51="","",IFERROR(VLOOKUP(D51,'Fund Vlookup'!B:C,2,FALSE),"Verify fund number and Contact DOA"))</f>
        <v/>
      </c>
      <c r="F51" s="745"/>
      <c r="G51" s="745"/>
      <c r="H51" s="745"/>
      <c r="I51" s="726" t="str">
        <f>IF(OR(F51&lt;&gt;"",G51&lt;&gt;""),"Answer Required","")</f>
        <v/>
      </c>
      <c r="J51" s="781" t="str">
        <f t="shared" ref="J51:J83" si="0">IF(I51="","",IF(I51="No", "Answer Required","N/A"))</f>
        <v/>
      </c>
    </row>
    <row r="52" spans="1:10">
      <c r="A52" s="168"/>
      <c r="B52" s="725"/>
      <c r="C52" s="726"/>
      <c r="D52" s="726"/>
      <c r="E52" s="727" t="str">
        <f>IF(D52="","",IFERROR(VLOOKUP(D52,'Fund Vlookup'!B:C,2,FALSE),"Verify fund number and Contact DOA"))</f>
        <v/>
      </c>
      <c r="F52" s="717"/>
      <c r="G52" s="717"/>
      <c r="H52" s="717"/>
      <c r="I52" s="728" t="str">
        <f t="shared" ref="I52:I83" si="1">IF(OR(F52&lt;&gt;"",G52&lt;&gt;""),"Answer Required","")</f>
        <v/>
      </c>
      <c r="J52" s="3" t="str">
        <f t="shared" si="0"/>
        <v/>
      </c>
    </row>
    <row r="53" spans="1:10">
      <c r="A53" s="168"/>
      <c r="B53" s="725"/>
      <c r="C53" s="726"/>
      <c r="D53" s="726"/>
      <c r="E53" s="727" t="str">
        <f>IF(D53="","",IFERROR(VLOOKUP(D53,'Fund Vlookup'!B:C,2,FALSE),"Verify fund number and Contact DOA"))</f>
        <v/>
      </c>
      <c r="F53" s="717"/>
      <c r="G53" s="717"/>
      <c r="H53" s="717"/>
      <c r="I53" s="728" t="str">
        <f t="shared" si="1"/>
        <v/>
      </c>
      <c r="J53" s="3" t="str">
        <f t="shared" si="0"/>
        <v/>
      </c>
    </row>
    <row r="54" spans="1:10">
      <c r="A54" s="168"/>
      <c r="B54" s="725"/>
      <c r="C54" s="726"/>
      <c r="D54" s="726"/>
      <c r="E54" s="727" t="str">
        <f>IF(D54="","",IFERROR(VLOOKUP(D54,'Fund Vlookup'!B:C,2,FALSE),"Verify fund number and Contact DOA"))</f>
        <v/>
      </c>
      <c r="F54" s="717"/>
      <c r="G54" s="717"/>
      <c r="H54" s="717"/>
      <c r="I54" s="728" t="str">
        <f t="shared" si="1"/>
        <v/>
      </c>
      <c r="J54" s="3" t="str">
        <f t="shared" si="0"/>
        <v/>
      </c>
    </row>
    <row r="55" spans="1:10">
      <c r="A55" s="168"/>
      <c r="B55" s="725"/>
      <c r="C55" s="726"/>
      <c r="D55" s="726"/>
      <c r="E55" s="727" t="str">
        <f>IF(D55="","",IFERROR(VLOOKUP(D55,'Fund Vlookup'!B:C,2,FALSE),"Verify fund number and Contact DOA"))</f>
        <v/>
      </c>
      <c r="F55" s="717"/>
      <c r="G55" s="717"/>
      <c r="H55" s="717"/>
      <c r="I55" s="728" t="str">
        <f t="shared" si="1"/>
        <v/>
      </c>
      <c r="J55" s="3" t="str">
        <f t="shared" si="0"/>
        <v/>
      </c>
    </row>
    <row r="56" spans="1:10">
      <c r="A56" s="168"/>
      <c r="B56" s="725"/>
      <c r="C56" s="726"/>
      <c r="D56" s="726"/>
      <c r="E56" s="727" t="str">
        <f>IF(D56="","",IFERROR(VLOOKUP(D56,'Fund Vlookup'!B:C,2,FALSE),"Verify fund number and Contact DOA"))</f>
        <v/>
      </c>
      <c r="F56" s="717"/>
      <c r="G56" s="717"/>
      <c r="H56" s="717"/>
      <c r="I56" s="728" t="str">
        <f t="shared" si="1"/>
        <v/>
      </c>
      <c r="J56" s="3" t="str">
        <f t="shared" si="0"/>
        <v/>
      </c>
    </row>
    <row r="57" spans="1:10">
      <c r="A57" s="168"/>
      <c r="B57" s="725"/>
      <c r="C57" s="726"/>
      <c r="D57" s="726"/>
      <c r="E57" s="727" t="str">
        <f>IF(D57="","",IFERROR(VLOOKUP(D57,'Fund Vlookup'!B:C,2,FALSE),"Verify fund number and Contact DOA"))</f>
        <v/>
      </c>
      <c r="F57" s="717"/>
      <c r="G57" s="717"/>
      <c r="H57" s="717"/>
      <c r="I57" s="728" t="str">
        <f t="shared" si="1"/>
        <v/>
      </c>
      <c r="J57" s="3" t="str">
        <f t="shared" si="0"/>
        <v/>
      </c>
    </row>
    <row r="58" spans="1:10">
      <c r="A58" s="168"/>
      <c r="B58" s="725"/>
      <c r="C58" s="726"/>
      <c r="D58" s="726"/>
      <c r="E58" s="727" t="str">
        <f>IF(D58="","",IFERROR(VLOOKUP(D58,'Fund Vlookup'!B:C,2,FALSE),"Verify fund number and Contact DOA"))</f>
        <v/>
      </c>
      <c r="F58" s="717"/>
      <c r="G58" s="717"/>
      <c r="H58" s="717"/>
      <c r="I58" s="728" t="str">
        <f t="shared" si="1"/>
        <v/>
      </c>
      <c r="J58" s="3" t="str">
        <f t="shared" si="0"/>
        <v/>
      </c>
    </row>
    <row r="59" spans="1:10">
      <c r="A59" s="168"/>
      <c r="B59" s="725"/>
      <c r="C59" s="726"/>
      <c r="D59" s="726"/>
      <c r="E59" s="727" t="str">
        <f>IF(D59="","",IFERROR(VLOOKUP(D59,'Fund Vlookup'!B:C,2,FALSE),"Verify fund number and Contact DOA"))</f>
        <v/>
      </c>
      <c r="F59" s="717"/>
      <c r="G59" s="717"/>
      <c r="H59" s="717"/>
      <c r="I59" s="728" t="str">
        <f t="shared" si="1"/>
        <v/>
      </c>
      <c r="J59" s="3" t="str">
        <f t="shared" si="0"/>
        <v/>
      </c>
    </row>
    <row r="60" spans="1:10">
      <c r="A60" s="168"/>
      <c r="B60" s="725"/>
      <c r="C60" s="726"/>
      <c r="D60" s="726"/>
      <c r="E60" s="727" t="str">
        <f>IF(D60="","",IFERROR(VLOOKUP(D60,'Fund Vlookup'!B:C,2,FALSE),"Verify fund number and Contact DOA"))</f>
        <v/>
      </c>
      <c r="F60" s="717"/>
      <c r="G60" s="717"/>
      <c r="H60" s="717"/>
      <c r="I60" s="728" t="str">
        <f t="shared" si="1"/>
        <v/>
      </c>
      <c r="J60" s="3" t="str">
        <f t="shared" si="0"/>
        <v/>
      </c>
    </row>
    <row r="61" spans="1:10">
      <c r="A61" s="168"/>
      <c r="B61" s="725"/>
      <c r="C61" s="726"/>
      <c r="D61" s="726"/>
      <c r="E61" s="727" t="str">
        <f>IF(D61="","",IFERROR(VLOOKUP(D61,'Fund Vlookup'!B:C,2,FALSE),"Verify fund number and Contact DOA"))</f>
        <v/>
      </c>
      <c r="F61" s="717"/>
      <c r="G61" s="717"/>
      <c r="H61" s="717"/>
      <c r="I61" s="728" t="str">
        <f t="shared" si="1"/>
        <v/>
      </c>
      <c r="J61" s="3" t="str">
        <f t="shared" si="0"/>
        <v/>
      </c>
    </row>
    <row r="62" spans="1:10">
      <c r="A62" s="168"/>
      <c r="B62" s="725"/>
      <c r="C62" s="726"/>
      <c r="D62" s="726"/>
      <c r="E62" s="727" t="str">
        <f>IF(D62="","",IFERROR(VLOOKUP(D62,'Fund Vlookup'!B:C,2,FALSE),"Verify fund number and Contact DOA"))</f>
        <v/>
      </c>
      <c r="F62" s="717"/>
      <c r="G62" s="717"/>
      <c r="H62" s="717"/>
      <c r="I62" s="728" t="str">
        <f t="shared" si="1"/>
        <v/>
      </c>
      <c r="J62" s="3" t="str">
        <f t="shared" si="0"/>
        <v/>
      </c>
    </row>
    <row r="63" spans="1:10">
      <c r="A63" s="168"/>
      <c r="B63" s="725"/>
      <c r="C63" s="726"/>
      <c r="D63" s="726"/>
      <c r="E63" s="727" t="str">
        <f>IF(D63="","",IFERROR(VLOOKUP(D63,'Fund Vlookup'!B:C,2,FALSE),"Verify fund number and Contact DOA"))</f>
        <v/>
      </c>
      <c r="F63" s="717"/>
      <c r="G63" s="717"/>
      <c r="H63" s="717"/>
      <c r="I63" s="728" t="str">
        <f t="shared" si="1"/>
        <v/>
      </c>
      <c r="J63" s="3" t="str">
        <f t="shared" si="0"/>
        <v/>
      </c>
    </row>
    <row r="64" spans="1:10">
      <c r="A64" s="168"/>
      <c r="B64" s="725"/>
      <c r="C64" s="726"/>
      <c r="D64" s="726"/>
      <c r="E64" s="727" t="str">
        <f>IF(D64="","",IFERROR(VLOOKUP(D64,'Fund Vlookup'!B:C,2,FALSE),"Verify fund number and Contact DOA"))</f>
        <v/>
      </c>
      <c r="F64" s="717"/>
      <c r="G64" s="717"/>
      <c r="H64" s="717"/>
      <c r="I64" s="728" t="str">
        <f t="shared" si="1"/>
        <v/>
      </c>
      <c r="J64" s="3" t="str">
        <f t="shared" si="0"/>
        <v/>
      </c>
    </row>
    <row r="65" spans="1:10">
      <c r="A65" s="168"/>
      <c r="B65" s="725"/>
      <c r="C65" s="726"/>
      <c r="D65" s="726"/>
      <c r="E65" s="727" t="str">
        <f>IF(D65="","",IFERROR(VLOOKUP(D65,'Fund Vlookup'!B:C,2,FALSE),"Verify fund number and Contact DOA"))</f>
        <v/>
      </c>
      <c r="F65" s="717"/>
      <c r="G65" s="717"/>
      <c r="H65" s="717"/>
      <c r="I65" s="728" t="str">
        <f t="shared" si="1"/>
        <v/>
      </c>
      <c r="J65" s="3" t="str">
        <f t="shared" si="0"/>
        <v/>
      </c>
    </row>
    <row r="66" spans="1:10">
      <c r="A66" s="168"/>
      <c r="B66" s="725"/>
      <c r="C66" s="726"/>
      <c r="D66" s="726"/>
      <c r="E66" s="727" t="str">
        <f>IF(D66="","",IFERROR(VLOOKUP(D66,'Fund Vlookup'!B:C,2,FALSE),"Verify fund number and Contact DOA"))</f>
        <v/>
      </c>
      <c r="F66" s="717"/>
      <c r="G66" s="717"/>
      <c r="H66" s="717"/>
      <c r="I66" s="728" t="str">
        <f t="shared" si="1"/>
        <v/>
      </c>
      <c r="J66" s="3" t="str">
        <f t="shared" si="0"/>
        <v/>
      </c>
    </row>
    <row r="67" spans="1:10">
      <c r="A67" s="168"/>
      <c r="B67" s="725"/>
      <c r="C67" s="726"/>
      <c r="D67" s="726"/>
      <c r="E67" s="727" t="str">
        <f>IF(D67="","",IFERROR(VLOOKUP(D67,'Fund Vlookup'!B:C,2,FALSE),"Verify fund number and Contact DOA"))</f>
        <v/>
      </c>
      <c r="F67" s="717"/>
      <c r="G67" s="717"/>
      <c r="H67" s="717"/>
      <c r="I67" s="728" t="str">
        <f t="shared" si="1"/>
        <v/>
      </c>
      <c r="J67" s="3" t="str">
        <f t="shared" si="0"/>
        <v/>
      </c>
    </row>
    <row r="68" spans="1:10">
      <c r="A68" s="168"/>
      <c r="B68" s="725"/>
      <c r="C68" s="726"/>
      <c r="D68" s="726"/>
      <c r="E68" s="727" t="str">
        <f>IF(D68="","",IFERROR(VLOOKUP(D68,'Fund Vlookup'!B:C,2,FALSE),"Verify fund number and Contact DOA"))</f>
        <v/>
      </c>
      <c r="F68" s="717"/>
      <c r="G68" s="717"/>
      <c r="H68" s="717"/>
      <c r="I68" s="728" t="str">
        <f t="shared" si="1"/>
        <v/>
      </c>
      <c r="J68" s="3" t="str">
        <f t="shared" si="0"/>
        <v/>
      </c>
    </row>
    <row r="69" spans="1:10">
      <c r="A69" s="168"/>
      <c r="B69" s="725"/>
      <c r="C69" s="726"/>
      <c r="D69" s="726"/>
      <c r="E69" s="727" t="str">
        <f>IF(D69="","",IFERROR(VLOOKUP(D69,'Fund Vlookup'!B:C,2,FALSE),"Verify fund number and Contact DOA"))</f>
        <v/>
      </c>
      <c r="F69" s="717"/>
      <c r="G69" s="717"/>
      <c r="H69" s="717"/>
      <c r="I69" s="728" t="str">
        <f t="shared" si="1"/>
        <v/>
      </c>
      <c r="J69" s="3" t="str">
        <f t="shared" si="0"/>
        <v/>
      </c>
    </row>
    <row r="70" spans="1:10">
      <c r="A70" s="168"/>
      <c r="B70" s="725"/>
      <c r="C70" s="726"/>
      <c r="D70" s="726"/>
      <c r="E70" s="727" t="str">
        <f>IF(D70="","",IFERROR(VLOOKUP(D70,'Fund Vlookup'!B:C,2,FALSE),"Verify fund number and Contact DOA"))</f>
        <v/>
      </c>
      <c r="F70" s="717"/>
      <c r="G70" s="717"/>
      <c r="H70" s="717"/>
      <c r="I70" s="728" t="str">
        <f t="shared" si="1"/>
        <v/>
      </c>
      <c r="J70" s="3" t="str">
        <f t="shared" si="0"/>
        <v/>
      </c>
    </row>
    <row r="71" spans="1:10">
      <c r="A71" s="168"/>
      <c r="B71" s="725"/>
      <c r="C71" s="726"/>
      <c r="D71" s="726"/>
      <c r="E71" s="727" t="str">
        <f>IF(D71="","",IFERROR(VLOOKUP(D71,'Fund Vlookup'!B:C,2,FALSE),"Verify fund number and Contact DOA"))</f>
        <v/>
      </c>
      <c r="F71" s="717"/>
      <c r="G71" s="717"/>
      <c r="H71" s="717"/>
      <c r="I71" s="728" t="str">
        <f t="shared" si="1"/>
        <v/>
      </c>
      <c r="J71" s="3" t="str">
        <f t="shared" si="0"/>
        <v/>
      </c>
    </row>
    <row r="72" spans="1:10">
      <c r="A72" s="168"/>
      <c r="B72" s="725"/>
      <c r="C72" s="726"/>
      <c r="D72" s="726"/>
      <c r="E72" s="727" t="str">
        <f>IF(D72="","",IFERROR(VLOOKUP(D72,'Fund Vlookup'!B:C,2,FALSE),"Verify fund number and Contact DOA"))</f>
        <v/>
      </c>
      <c r="F72" s="717"/>
      <c r="G72" s="717"/>
      <c r="H72" s="717"/>
      <c r="I72" s="728" t="str">
        <f t="shared" si="1"/>
        <v/>
      </c>
      <c r="J72" s="3" t="str">
        <f t="shared" si="0"/>
        <v/>
      </c>
    </row>
    <row r="73" spans="1:10">
      <c r="A73" s="168"/>
      <c r="B73" s="725"/>
      <c r="C73" s="726"/>
      <c r="D73" s="726"/>
      <c r="E73" s="727" t="str">
        <f>IF(D73="","",IFERROR(VLOOKUP(D73,'Fund Vlookup'!B:C,2,FALSE),"Verify fund number and Contact DOA"))</f>
        <v/>
      </c>
      <c r="F73" s="717"/>
      <c r="G73" s="717"/>
      <c r="H73" s="717"/>
      <c r="I73" s="728" t="str">
        <f t="shared" si="1"/>
        <v/>
      </c>
      <c r="J73" s="3" t="str">
        <f t="shared" si="0"/>
        <v/>
      </c>
    </row>
    <row r="74" spans="1:10">
      <c r="A74" s="168"/>
      <c r="B74" s="725"/>
      <c r="C74" s="726"/>
      <c r="D74" s="726"/>
      <c r="E74" s="727" t="str">
        <f>IF(D74="","",IFERROR(VLOOKUP(D74,'Fund Vlookup'!B:C,2,FALSE),"Verify fund number and Contact DOA"))</f>
        <v/>
      </c>
      <c r="F74" s="717"/>
      <c r="G74" s="717"/>
      <c r="H74" s="717"/>
      <c r="I74" s="728" t="str">
        <f t="shared" si="1"/>
        <v/>
      </c>
      <c r="J74" s="3" t="str">
        <f t="shared" si="0"/>
        <v/>
      </c>
    </row>
    <row r="75" spans="1:10">
      <c r="A75" s="168"/>
      <c r="B75" s="725"/>
      <c r="C75" s="726"/>
      <c r="D75" s="726"/>
      <c r="E75" s="727" t="str">
        <f>IF(D75="","",IFERROR(VLOOKUP(D75,'Fund Vlookup'!B:C,2,FALSE),"Verify fund number and Contact DOA"))</f>
        <v/>
      </c>
      <c r="F75" s="717"/>
      <c r="G75" s="717"/>
      <c r="H75" s="717"/>
      <c r="I75" s="728" t="str">
        <f t="shared" si="1"/>
        <v/>
      </c>
      <c r="J75" s="3" t="str">
        <f t="shared" si="0"/>
        <v/>
      </c>
    </row>
    <row r="76" spans="1:10">
      <c r="A76" s="168"/>
      <c r="B76" s="725"/>
      <c r="C76" s="726"/>
      <c r="D76" s="726"/>
      <c r="E76" s="727" t="str">
        <f>IF(D76="","",IFERROR(VLOOKUP(D76,'Fund Vlookup'!B:C,2,FALSE),"Verify fund number and Contact DOA"))</f>
        <v/>
      </c>
      <c r="F76" s="717"/>
      <c r="G76" s="717"/>
      <c r="H76" s="717"/>
      <c r="I76" s="728" t="str">
        <f t="shared" si="1"/>
        <v/>
      </c>
      <c r="J76" s="3" t="str">
        <f t="shared" si="0"/>
        <v/>
      </c>
    </row>
    <row r="77" spans="1:10">
      <c r="A77" s="168"/>
      <c r="B77" s="725"/>
      <c r="C77" s="726"/>
      <c r="D77" s="726"/>
      <c r="E77" s="727" t="str">
        <f>IF(D77="","",IFERROR(VLOOKUP(D77,'Fund Vlookup'!B:C,2,FALSE),"Verify fund number and Contact DOA"))</f>
        <v/>
      </c>
      <c r="F77" s="717"/>
      <c r="G77" s="717"/>
      <c r="H77" s="717"/>
      <c r="I77" s="728" t="str">
        <f t="shared" si="1"/>
        <v/>
      </c>
      <c r="J77" s="3" t="str">
        <f t="shared" si="0"/>
        <v/>
      </c>
    </row>
    <row r="78" spans="1:10">
      <c r="A78" s="168"/>
      <c r="B78" s="725"/>
      <c r="C78" s="726"/>
      <c r="D78" s="726"/>
      <c r="E78" s="727" t="str">
        <f>IF(D78="","",IFERROR(VLOOKUP(D78,'Fund Vlookup'!B:C,2,FALSE),"Verify fund number and Contact DOA"))</f>
        <v/>
      </c>
      <c r="F78" s="717"/>
      <c r="G78" s="717"/>
      <c r="H78" s="717"/>
      <c r="I78" s="728" t="str">
        <f t="shared" si="1"/>
        <v/>
      </c>
      <c r="J78" s="3" t="str">
        <f t="shared" si="0"/>
        <v/>
      </c>
    </row>
    <row r="79" spans="1:10">
      <c r="A79" s="168"/>
      <c r="B79" s="725"/>
      <c r="C79" s="726"/>
      <c r="D79" s="726"/>
      <c r="E79" s="727" t="str">
        <f>IF(D79="","",IFERROR(VLOOKUP(D79,'Fund Vlookup'!B:C,2,FALSE),"Verify fund number and Contact DOA"))</f>
        <v/>
      </c>
      <c r="F79" s="717"/>
      <c r="G79" s="717"/>
      <c r="H79" s="717"/>
      <c r="I79" s="728" t="str">
        <f t="shared" si="1"/>
        <v/>
      </c>
      <c r="J79" s="3" t="str">
        <f t="shared" si="0"/>
        <v/>
      </c>
    </row>
    <row r="80" spans="1:10">
      <c r="A80" s="168"/>
      <c r="B80" s="725"/>
      <c r="C80" s="726"/>
      <c r="D80" s="726"/>
      <c r="E80" s="727" t="str">
        <f>IF(D80="","",IFERROR(VLOOKUP(D80,'Fund Vlookup'!B:C,2,FALSE),"Verify fund number and Contact DOA"))</f>
        <v/>
      </c>
      <c r="F80" s="717"/>
      <c r="G80" s="717"/>
      <c r="H80" s="717"/>
      <c r="I80" s="728" t="str">
        <f t="shared" si="1"/>
        <v/>
      </c>
      <c r="J80" s="3" t="str">
        <f t="shared" si="0"/>
        <v/>
      </c>
    </row>
    <row r="81" spans="1:10">
      <c r="A81" s="168"/>
      <c r="B81" s="725"/>
      <c r="C81" s="726"/>
      <c r="D81" s="726"/>
      <c r="E81" s="727" t="str">
        <f>IF(D81="","",IFERROR(VLOOKUP(D81,'Fund Vlookup'!B:C,2,FALSE),"Verify fund number and Contact DOA"))</f>
        <v/>
      </c>
      <c r="F81" s="717"/>
      <c r="G81" s="717"/>
      <c r="H81" s="717"/>
      <c r="I81" s="728" t="str">
        <f t="shared" si="1"/>
        <v/>
      </c>
      <c r="J81" s="3" t="str">
        <f t="shared" si="0"/>
        <v/>
      </c>
    </row>
    <row r="82" spans="1:10">
      <c r="A82" s="168"/>
      <c r="B82" s="725"/>
      <c r="C82" s="726"/>
      <c r="D82" s="726"/>
      <c r="E82" s="727" t="str">
        <f>IF(D82="","",IFERROR(VLOOKUP(D82,'Fund Vlookup'!B:C,2,FALSE),"Verify fund number and Contact DOA"))</f>
        <v/>
      </c>
      <c r="F82" s="717"/>
      <c r="G82" s="717"/>
      <c r="H82" s="717"/>
      <c r="I82" s="728" t="str">
        <f t="shared" si="1"/>
        <v/>
      </c>
      <c r="J82" s="3" t="str">
        <f t="shared" si="0"/>
        <v/>
      </c>
    </row>
    <row r="83" spans="1:10">
      <c r="A83" s="168"/>
      <c r="B83" s="725"/>
      <c r="C83" s="726"/>
      <c r="D83" s="726"/>
      <c r="E83" s="727" t="str">
        <f>IF(D83="","",IFERROR(VLOOKUP(D83,'Fund Vlookup'!B:C,2,FALSE),"Verify fund number and Contact DOA"))</f>
        <v/>
      </c>
      <c r="F83" s="717"/>
      <c r="G83" s="717"/>
      <c r="H83" s="717"/>
      <c r="I83" s="728" t="str">
        <f t="shared" si="1"/>
        <v/>
      </c>
      <c r="J83" s="3" t="str">
        <f t="shared" si="0"/>
        <v/>
      </c>
    </row>
    <row r="84" spans="1:10" ht="13.5" thickBot="1">
      <c r="B84" s="111"/>
      <c r="C84" s="12"/>
      <c r="E84" s="748" t="s">
        <v>652</v>
      </c>
      <c r="F84" s="729">
        <f>SUM(F51:F83)</f>
        <v>0</v>
      </c>
      <c r="G84" s="707">
        <f>SUM(G51:G83)</f>
        <v>0</v>
      </c>
      <c r="H84" s="729">
        <f t="shared" ref="H84" si="2">SUM(H51:H83)</f>
        <v>0</v>
      </c>
    </row>
    <row r="85" spans="1:10" ht="21" customHeight="1" thickTop="1">
      <c r="A85" s="168"/>
      <c r="B85" s="111"/>
      <c r="C85" s="12"/>
      <c r="E85" s="298"/>
      <c r="F85" s="283"/>
      <c r="G85" s="283"/>
    </row>
    <row r="86" spans="1:10" ht="50.1" customHeight="1">
      <c r="A86" s="168"/>
      <c r="B86" s="730"/>
      <c r="D86" s="12"/>
      <c r="F86" s="731"/>
      <c r="G86" s="731"/>
    </row>
    <row r="87" spans="1:10">
      <c r="A87" s="168" t="s">
        <v>663</v>
      </c>
      <c r="B87" s="12" t="s">
        <v>679</v>
      </c>
      <c r="D87" s="12"/>
      <c r="F87" s="731"/>
    </row>
    <row r="88" spans="1:10">
      <c r="B88" s="166" t="s">
        <v>2697</v>
      </c>
      <c r="D88" s="12"/>
      <c r="F88" s="731"/>
    </row>
    <row r="89" spans="1:10" hidden="1">
      <c r="B89" s="730"/>
      <c r="D89" s="12"/>
      <c r="F89" s="731"/>
    </row>
    <row r="90" spans="1:10" hidden="1">
      <c r="B90" s="610"/>
      <c r="C90" s="13"/>
      <c r="D90" s="13"/>
      <c r="E90" s="13"/>
      <c r="F90" s="13"/>
      <c r="G90" s="610"/>
    </row>
    <row r="91" spans="1:10">
      <c r="B91" s="610"/>
      <c r="C91" s="610"/>
      <c r="D91" s="610"/>
      <c r="E91" s="610"/>
      <c r="F91" s="13"/>
      <c r="G91" s="610"/>
    </row>
    <row r="92" spans="1:10" ht="35.1" customHeight="1">
      <c r="B92" s="746" t="s">
        <v>2859</v>
      </c>
      <c r="C92" s="746" t="s">
        <v>2844</v>
      </c>
      <c r="D92" s="112" t="s">
        <v>1000</v>
      </c>
      <c r="E92" s="112" t="s">
        <v>1010</v>
      </c>
      <c r="F92" s="112" t="s">
        <v>110</v>
      </c>
      <c r="G92" s="746" t="s">
        <v>2843</v>
      </c>
      <c r="H92" s="747" t="s">
        <v>2713</v>
      </c>
    </row>
    <row r="93" spans="1:10">
      <c r="A93" s="168"/>
      <c r="B93" s="725"/>
      <c r="C93" s="726"/>
      <c r="D93" s="726"/>
      <c r="E93" s="727" t="str">
        <f>IF(D93="","",IFERROR(VLOOKUP(D93,'Fund Vlookup'!B:C,2,FALSE),"Verify fund number and Contact DOA"))</f>
        <v/>
      </c>
      <c r="F93" s="745"/>
      <c r="G93" s="4" t="str">
        <f t="shared" ref="G93:G102" si="3">IF(F93&lt;&gt;"","Answer Required","")</f>
        <v/>
      </c>
      <c r="H93" s="781" t="str">
        <f t="shared" ref="H93:H102" si="4">IF(G93="","",IF(G93="No", "Answer Required","N/A"))</f>
        <v/>
      </c>
    </row>
    <row r="94" spans="1:10">
      <c r="A94" s="168"/>
      <c r="B94" s="725"/>
      <c r="C94" s="726"/>
      <c r="D94" s="726"/>
      <c r="E94" s="727" t="str">
        <f>IF(D94="","",IFERROR(VLOOKUP(D94,'Fund Vlookup'!B:C,2,FALSE),"Verify fund number and Contact DOA"))</f>
        <v/>
      </c>
      <c r="F94" s="717"/>
      <c r="G94" s="4" t="str">
        <f t="shared" si="3"/>
        <v/>
      </c>
      <c r="H94" s="3" t="str">
        <f t="shared" si="4"/>
        <v/>
      </c>
    </row>
    <row r="95" spans="1:10">
      <c r="A95" s="168"/>
      <c r="B95" s="725"/>
      <c r="C95" s="726"/>
      <c r="D95" s="726"/>
      <c r="E95" s="727" t="str">
        <f>IF(D95="","",IFERROR(VLOOKUP(D95,'Fund Vlookup'!B:C,2,FALSE),"Verify fund number and Contact DOA"))</f>
        <v/>
      </c>
      <c r="F95" s="717"/>
      <c r="G95" s="4" t="str">
        <f t="shared" si="3"/>
        <v/>
      </c>
      <c r="H95" s="3" t="str">
        <f t="shared" si="4"/>
        <v/>
      </c>
    </row>
    <row r="96" spans="1:10">
      <c r="A96" s="168"/>
      <c r="B96" s="725"/>
      <c r="C96" s="726"/>
      <c r="D96" s="726"/>
      <c r="E96" s="727" t="str">
        <f>IF(D96="","",IFERROR(VLOOKUP(D96,'Fund Vlookup'!B:C,2,FALSE),"Verify fund number and Contact DOA"))</f>
        <v/>
      </c>
      <c r="F96" s="717"/>
      <c r="G96" s="4" t="str">
        <f t="shared" si="3"/>
        <v/>
      </c>
      <c r="H96" s="3" t="str">
        <f t="shared" si="4"/>
        <v/>
      </c>
    </row>
    <row r="97" spans="1:8">
      <c r="A97" s="168"/>
      <c r="B97" s="725"/>
      <c r="C97" s="726"/>
      <c r="D97" s="726"/>
      <c r="E97" s="727" t="str">
        <f>IF(D97="","",IFERROR(VLOOKUP(D97,'Fund Vlookup'!B:C,2,FALSE),"Verify fund number and Contact DOA"))</f>
        <v/>
      </c>
      <c r="F97" s="717"/>
      <c r="G97" s="4" t="str">
        <f t="shared" si="3"/>
        <v/>
      </c>
      <c r="H97" s="3" t="str">
        <f t="shared" si="4"/>
        <v/>
      </c>
    </row>
    <row r="98" spans="1:8">
      <c r="A98" s="168"/>
      <c r="B98" s="725"/>
      <c r="C98" s="726"/>
      <c r="D98" s="726"/>
      <c r="E98" s="727" t="str">
        <f>IF(D98="","",IFERROR(VLOOKUP(D98,'Fund Vlookup'!B:C,2,FALSE),"Verify fund number and Contact DOA"))</f>
        <v/>
      </c>
      <c r="F98" s="717"/>
      <c r="G98" s="4" t="str">
        <f t="shared" si="3"/>
        <v/>
      </c>
      <c r="H98" s="3" t="str">
        <f t="shared" si="4"/>
        <v/>
      </c>
    </row>
    <row r="99" spans="1:8">
      <c r="A99" s="168"/>
      <c r="B99" s="725"/>
      <c r="C99" s="726"/>
      <c r="D99" s="726"/>
      <c r="E99" s="727" t="str">
        <f>IF(D99="","",IFERROR(VLOOKUP(D99,'Fund Vlookup'!B:C,2,FALSE),"Verify fund number and Contact DOA"))</f>
        <v/>
      </c>
      <c r="F99" s="717"/>
      <c r="G99" s="4" t="str">
        <f t="shared" si="3"/>
        <v/>
      </c>
      <c r="H99" s="3" t="str">
        <f t="shared" si="4"/>
        <v/>
      </c>
    </row>
    <row r="100" spans="1:8">
      <c r="A100" s="168"/>
      <c r="B100" s="725"/>
      <c r="C100" s="726"/>
      <c r="D100" s="726"/>
      <c r="E100" s="727" t="str">
        <f>IF(D100="","",IFERROR(VLOOKUP(D100,'Fund Vlookup'!B:C,2,FALSE),"Verify fund number and Contact DOA"))</f>
        <v/>
      </c>
      <c r="F100" s="717"/>
      <c r="G100" s="4" t="str">
        <f t="shared" si="3"/>
        <v/>
      </c>
      <c r="H100" s="3" t="str">
        <f t="shared" si="4"/>
        <v/>
      </c>
    </row>
    <row r="101" spans="1:8">
      <c r="A101" s="168"/>
      <c r="B101" s="725"/>
      <c r="C101" s="726"/>
      <c r="D101" s="726"/>
      <c r="E101" s="727" t="str">
        <f>IF(D101="","",IFERROR(VLOOKUP(D101,'Fund Vlookup'!B:C,2,FALSE),"Verify fund number and Contact DOA"))</f>
        <v/>
      </c>
      <c r="F101" s="717"/>
      <c r="G101" s="4" t="str">
        <f t="shared" si="3"/>
        <v/>
      </c>
      <c r="H101" s="3" t="str">
        <f t="shared" si="4"/>
        <v/>
      </c>
    </row>
    <row r="102" spans="1:8">
      <c r="A102" s="168"/>
      <c r="B102" s="725"/>
      <c r="C102" s="726"/>
      <c r="D102" s="726"/>
      <c r="E102" s="727" t="str">
        <f>IF(D102="","",IFERROR(VLOOKUP(D102,'Fund Vlookup'!B:C,2,FALSE),"Verify fund number and Contact DOA"))</f>
        <v/>
      </c>
      <c r="F102" s="717"/>
      <c r="G102" s="4" t="str">
        <f t="shared" si="3"/>
        <v/>
      </c>
      <c r="H102" s="3" t="str">
        <f t="shared" si="4"/>
        <v/>
      </c>
    </row>
    <row r="103" spans="1:8" ht="13.5" thickBot="1">
      <c r="B103" s="111"/>
      <c r="C103" s="12"/>
      <c r="E103" s="748" t="s">
        <v>652</v>
      </c>
      <c r="F103" s="729">
        <f>SUM(F93:F102)</f>
        <v>0</v>
      </c>
    </row>
    <row r="104" spans="1:8" ht="13.5" thickTop="1">
      <c r="A104" s="168"/>
      <c r="B104" s="168"/>
      <c r="D104" s="12"/>
      <c r="F104" s="731"/>
    </row>
    <row r="105" spans="1:8">
      <c r="A105" s="168"/>
      <c r="B105" s="168"/>
      <c r="D105" s="12"/>
      <c r="F105" s="731"/>
    </row>
    <row r="106" spans="1:8">
      <c r="A106" s="168" t="s">
        <v>664</v>
      </c>
      <c r="B106" s="166" t="s">
        <v>2698</v>
      </c>
      <c r="D106" s="12"/>
      <c r="F106" s="731"/>
    </row>
    <row r="107" spans="1:8">
      <c r="B107" s="166" t="s">
        <v>3199</v>
      </c>
      <c r="D107" s="12"/>
      <c r="F107" s="731"/>
    </row>
    <row r="108" spans="1:8">
      <c r="B108" s="166" t="s">
        <v>2701</v>
      </c>
      <c r="D108" s="12"/>
      <c r="F108" s="731"/>
      <c r="G108" s="732">
        <f>'Enterprise Template'!G38+'Enterprise Template'!G44+'Enterprise Template'!G76</f>
        <v>0</v>
      </c>
    </row>
    <row r="109" spans="1:8">
      <c r="B109" s="168"/>
      <c r="D109" s="12"/>
      <c r="F109" s="731"/>
      <c r="G109" s="733" t="str">
        <f>IF(G108=SUM('Tab 1B-CE.&amp;Inv. Not w Tr '!Y:Y)+H22,"Agrees","Error")</f>
        <v>Agrees</v>
      </c>
    </row>
    <row r="110" spans="1:8">
      <c r="C110" s="12"/>
      <c r="D110" s="12"/>
      <c r="F110" s="731"/>
      <c r="G110" s="734" t="s">
        <v>89</v>
      </c>
      <c r="H110" s="735">
        <f>G108-SUM('Tab 1B-CE.&amp;Inv. Not w Tr '!Y:Y)-H22</f>
        <v>0</v>
      </c>
    </row>
    <row r="111" spans="1:8">
      <c r="B111" s="166" t="s">
        <v>2850</v>
      </c>
      <c r="D111" s="12"/>
      <c r="F111" s="731"/>
      <c r="G111" s="736"/>
    </row>
    <row r="112" spans="1:8">
      <c r="B112" s="737" t="s">
        <v>2699</v>
      </c>
      <c r="D112" s="12"/>
      <c r="F112" s="731"/>
      <c r="G112" s="4" t="str">
        <f>IF(G108=0,"N/A","Answer Required")</f>
        <v>N/A</v>
      </c>
    </row>
    <row r="113" spans="1:8">
      <c r="B113" s="166" t="s">
        <v>2851</v>
      </c>
      <c r="D113" s="12"/>
      <c r="F113" s="731"/>
      <c r="G113" s="736"/>
    </row>
    <row r="114" spans="1:8" ht="45" customHeight="1">
      <c r="B114" s="1085" t="str">
        <f>IF($G$112="Yes","Answer Required","N/A")</f>
        <v>N/A</v>
      </c>
      <c r="C114" s="1086"/>
      <c r="D114" s="1086"/>
      <c r="E114" s="1086"/>
      <c r="F114" s="1087"/>
      <c r="G114" s="736"/>
    </row>
    <row r="115" spans="1:8">
      <c r="B115" s="166"/>
      <c r="D115" s="12"/>
      <c r="F115" s="731"/>
      <c r="G115" s="736"/>
    </row>
    <row r="116" spans="1:8">
      <c r="A116" s="168" t="s">
        <v>665</v>
      </c>
      <c r="B116" s="166" t="s">
        <v>406</v>
      </c>
      <c r="D116" s="12"/>
      <c r="F116" s="731"/>
    </row>
    <row r="117" spans="1:8">
      <c r="A117" s="166"/>
      <c r="B117" s="166" t="s">
        <v>2706</v>
      </c>
      <c r="D117" s="12"/>
      <c r="F117" s="731"/>
    </row>
    <row r="118" spans="1:8">
      <c r="A118" s="166"/>
      <c r="B118" s="166" t="s">
        <v>2702</v>
      </c>
      <c r="D118" s="12"/>
      <c r="F118" s="731"/>
      <c r="G118" s="738"/>
    </row>
    <row r="119" spans="1:8">
      <c r="A119" s="166"/>
      <c r="B119" s="168"/>
      <c r="D119" s="12"/>
      <c r="F119" s="731"/>
      <c r="G119" s="733" t="str">
        <f>IF(G118='Tab 1C-Foreign Currency Inv'!BS63,"Agrees","Error")</f>
        <v>Agrees</v>
      </c>
    </row>
    <row r="120" spans="1:8">
      <c r="A120" s="166"/>
      <c r="B120" s="168"/>
      <c r="D120" s="12"/>
      <c r="F120" s="731"/>
      <c r="G120" s="734" t="s">
        <v>89</v>
      </c>
      <c r="H120" s="283">
        <f>G118-'Tab 1C-Foreign Currency Inv'!BS63</f>
        <v>0</v>
      </c>
    </row>
    <row r="121" spans="1:8">
      <c r="A121" s="166"/>
      <c r="B121" s="168"/>
      <c r="D121" s="12"/>
      <c r="F121" s="731"/>
      <c r="G121" s="610"/>
    </row>
    <row r="122" spans="1:8">
      <c r="A122" s="168" t="s">
        <v>666</v>
      </c>
      <c r="B122" s="166" t="s">
        <v>2707</v>
      </c>
      <c r="D122" s="12"/>
      <c r="F122" s="731"/>
      <c r="G122" s="610"/>
    </row>
    <row r="123" spans="1:8">
      <c r="A123" s="166"/>
      <c r="B123" s="166" t="s">
        <v>2708</v>
      </c>
      <c r="D123" s="12"/>
      <c r="F123" s="731"/>
    </row>
    <row r="124" spans="1:8">
      <c r="A124" s="166"/>
      <c r="B124" s="166" t="s">
        <v>2852</v>
      </c>
      <c r="D124" s="12"/>
      <c r="F124" s="731"/>
      <c r="G124" s="739" t="str">
        <f>IF(('Enterprise Template'!G38+'Enterprise Template'!G44)&gt;SUM('Tab 1B-CE.&amp;Inv. Not w Tr '!R:R)+H20,"Yes","No")</f>
        <v>No</v>
      </c>
    </row>
    <row r="125" spans="1:8" hidden="1">
      <c r="A125" s="166"/>
      <c r="B125" s="168"/>
      <c r="D125" s="12"/>
      <c r="F125" s="731"/>
      <c r="G125" s="610"/>
    </row>
    <row r="126" spans="1:8" hidden="1">
      <c r="A126" s="166"/>
      <c r="B126" s="166"/>
      <c r="D126" s="12"/>
      <c r="F126" s="731"/>
      <c r="G126" s="610"/>
    </row>
    <row r="127" spans="1:8" hidden="1">
      <c r="A127" s="166"/>
      <c r="B127" s="168"/>
      <c r="D127" s="12"/>
      <c r="F127" s="731"/>
      <c r="G127" s="740"/>
    </row>
    <row r="128" spans="1:8" hidden="1">
      <c r="A128" s="166"/>
      <c r="B128" s="168"/>
      <c r="D128" s="12"/>
      <c r="F128" s="731"/>
      <c r="G128" s="156"/>
    </row>
    <row r="129" spans="1:7" hidden="1">
      <c r="A129" s="166"/>
      <c r="B129" s="166"/>
      <c r="D129" s="12"/>
      <c r="F129" s="731"/>
      <c r="G129" s="741"/>
    </row>
    <row r="130" spans="1:7" hidden="1">
      <c r="A130" s="166"/>
      <c r="B130" s="166"/>
      <c r="D130" s="12"/>
      <c r="F130" s="731"/>
      <c r="G130" s="742"/>
    </row>
    <row r="131" spans="1:7">
      <c r="A131" s="166"/>
      <c r="B131" s="168"/>
      <c r="D131" s="12"/>
      <c r="F131" s="731"/>
      <c r="G131" s="610"/>
    </row>
    <row r="132" spans="1:7">
      <c r="A132" s="168" t="s">
        <v>667</v>
      </c>
      <c r="B132" s="166" t="s">
        <v>752</v>
      </c>
      <c r="D132" s="12"/>
      <c r="F132" s="731"/>
    </row>
    <row r="133" spans="1:7">
      <c r="A133" s="166" t="s">
        <v>650</v>
      </c>
      <c r="B133" s="166" t="s">
        <v>2860</v>
      </c>
      <c r="D133" s="12"/>
      <c r="F133" s="731"/>
      <c r="G133" s="4" t="str">
        <f>IF(G108=0,"N/A","Answer Required")</f>
        <v>N/A</v>
      </c>
    </row>
    <row r="134" spans="1:7">
      <c r="A134" s="166" t="s">
        <v>655</v>
      </c>
      <c r="B134" s="166" t="s">
        <v>2853</v>
      </c>
      <c r="D134" s="12"/>
      <c r="F134" s="731"/>
    </row>
    <row r="135" spans="1:7">
      <c r="C135" s="166"/>
      <c r="D135" s="12"/>
    </row>
    <row r="136" spans="1:7" ht="32.1" customHeight="1">
      <c r="B136" s="1093" t="s">
        <v>966</v>
      </c>
      <c r="C136" s="1094"/>
      <c r="D136" s="1095"/>
      <c r="E136" s="746" t="s">
        <v>2861</v>
      </c>
      <c r="F136" s="112" t="s">
        <v>967</v>
      </c>
      <c r="G136" s="743"/>
    </row>
    <row r="137" spans="1:7">
      <c r="B137" s="1090" t="str">
        <f>IF(G133="Yes","Answer Required","")</f>
        <v/>
      </c>
      <c r="C137" s="1091"/>
      <c r="D137" s="1092"/>
      <c r="E137" s="640" t="str">
        <f t="shared" ref="E137:E146" si="5">IF(B137="","","Answer Required")</f>
        <v/>
      </c>
      <c r="F137" s="749"/>
    </row>
    <row r="138" spans="1:7">
      <c r="B138" s="1090"/>
      <c r="C138" s="1091"/>
      <c r="D138" s="1092"/>
      <c r="E138" s="640" t="str">
        <f t="shared" si="5"/>
        <v/>
      </c>
      <c r="F138" s="744"/>
    </row>
    <row r="139" spans="1:7">
      <c r="B139" s="1090"/>
      <c r="C139" s="1091"/>
      <c r="D139" s="1092"/>
      <c r="E139" s="640" t="str">
        <f t="shared" si="5"/>
        <v/>
      </c>
      <c r="F139" s="744"/>
    </row>
    <row r="140" spans="1:7">
      <c r="B140" s="1090"/>
      <c r="C140" s="1091"/>
      <c r="D140" s="1092"/>
      <c r="E140" s="640" t="str">
        <f t="shared" si="5"/>
        <v/>
      </c>
      <c r="F140" s="744"/>
    </row>
    <row r="141" spans="1:7">
      <c r="B141" s="1090"/>
      <c r="C141" s="1091"/>
      <c r="D141" s="1092"/>
      <c r="E141" s="640" t="str">
        <f t="shared" si="5"/>
        <v/>
      </c>
      <c r="F141" s="744"/>
    </row>
    <row r="142" spans="1:7">
      <c r="B142" s="1090"/>
      <c r="C142" s="1091"/>
      <c r="D142" s="1092"/>
      <c r="E142" s="640" t="str">
        <f t="shared" si="5"/>
        <v/>
      </c>
      <c r="F142" s="744"/>
    </row>
    <row r="143" spans="1:7">
      <c r="B143" s="1090"/>
      <c r="C143" s="1091"/>
      <c r="D143" s="1092"/>
      <c r="E143" s="640" t="str">
        <f t="shared" si="5"/>
        <v/>
      </c>
      <c r="F143" s="744"/>
    </row>
    <row r="144" spans="1:7">
      <c r="B144" s="1090"/>
      <c r="C144" s="1091"/>
      <c r="D144" s="1092"/>
      <c r="E144" s="640" t="str">
        <f t="shared" si="5"/>
        <v/>
      </c>
      <c r="F144" s="744"/>
    </row>
    <row r="145" spans="1:7">
      <c r="B145" s="1090"/>
      <c r="C145" s="1091"/>
      <c r="D145" s="1092"/>
      <c r="E145" s="640" t="str">
        <f t="shared" si="5"/>
        <v/>
      </c>
      <c r="F145" s="744"/>
    </row>
    <row r="146" spans="1:7">
      <c r="B146" s="1090"/>
      <c r="C146" s="1091"/>
      <c r="D146" s="1092"/>
      <c r="E146" s="640" t="str">
        <f t="shared" si="5"/>
        <v/>
      </c>
      <c r="F146" s="744"/>
      <c r="G146" s="282"/>
    </row>
    <row r="147" spans="1:7" ht="13.5" thickBot="1">
      <c r="E147" s="748" t="s">
        <v>285</v>
      </c>
      <c r="F147" s="750">
        <f>SUM(F137:F146)</f>
        <v>0</v>
      </c>
      <c r="G147" s="282"/>
    </row>
    <row r="148" spans="1:7" ht="13.5" thickTop="1">
      <c r="G148" s="282"/>
    </row>
    <row r="149" spans="1:7" hidden="1">
      <c r="G149" s="282"/>
    </row>
    <row r="150" spans="1:7" hidden="1">
      <c r="G150" s="282"/>
    </row>
    <row r="151" spans="1:7" hidden="1">
      <c r="G151" s="282"/>
    </row>
    <row r="152" spans="1:7">
      <c r="A152" s="13"/>
      <c r="B152" s="111"/>
      <c r="C152" s="166"/>
      <c r="D152" s="12"/>
      <c r="G152" s="722"/>
    </row>
    <row r="153" spans="1:7">
      <c r="A153" s="168" t="s">
        <v>672</v>
      </c>
      <c r="B153" s="170" t="s">
        <v>2854</v>
      </c>
      <c r="C153" s="166"/>
      <c r="D153" s="12"/>
      <c r="G153" s="722"/>
    </row>
    <row r="154" spans="1:7">
      <c r="B154" s="166" t="s">
        <v>466</v>
      </c>
      <c r="C154" s="166"/>
      <c r="D154" s="12"/>
      <c r="G154" s="722"/>
    </row>
    <row r="155" spans="1:7">
      <c r="B155" s="166" t="s">
        <v>656</v>
      </c>
      <c r="C155" s="166"/>
      <c r="D155" s="12"/>
      <c r="G155" s="722"/>
    </row>
    <row r="156" spans="1:7">
      <c r="B156" s="1071"/>
      <c r="C156" s="1072"/>
      <c r="D156" s="1072"/>
      <c r="E156" s="1072"/>
      <c r="F156" s="1072"/>
      <c r="G156" s="1073"/>
    </row>
    <row r="157" spans="1:7">
      <c r="B157" s="1074"/>
      <c r="C157" s="1075"/>
      <c r="D157" s="1075"/>
      <c r="E157" s="1075"/>
      <c r="F157" s="1075"/>
      <c r="G157" s="1076"/>
    </row>
    <row r="158" spans="1:7">
      <c r="B158" s="1074"/>
      <c r="C158" s="1075"/>
      <c r="D158" s="1075"/>
      <c r="E158" s="1075"/>
      <c r="F158" s="1075"/>
      <c r="G158" s="1076"/>
    </row>
    <row r="159" spans="1:7">
      <c r="B159" s="1074"/>
      <c r="C159" s="1075"/>
      <c r="D159" s="1075"/>
      <c r="E159" s="1075"/>
      <c r="F159" s="1075"/>
      <c r="G159" s="1076"/>
    </row>
    <row r="160" spans="1:7">
      <c r="B160" s="1074"/>
      <c r="C160" s="1075"/>
      <c r="D160" s="1075"/>
      <c r="E160" s="1075"/>
      <c r="F160" s="1075"/>
      <c r="G160" s="1076"/>
    </row>
    <row r="161" spans="1:7">
      <c r="B161" s="1074"/>
      <c r="C161" s="1075"/>
      <c r="D161" s="1075"/>
      <c r="E161" s="1075"/>
      <c r="F161" s="1075"/>
      <c r="G161" s="1076"/>
    </row>
    <row r="162" spans="1:7">
      <c r="B162" s="1074"/>
      <c r="C162" s="1075"/>
      <c r="D162" s="1075"/>
      <c r="E162" s="1075"/>
      <c r="F162" s="1075"/>
      <c r="G162" s="1076"/>
    </row>
    <row r="163" spans="1:7">
      <c r="B163" s="1074"/>
      <c r="C163" s="1075"/>
      <c r="D163" s="1075"/>
      <c r="E163" s="1075"/>
      <c r="F163" s="1075"/>
      <c r="G163" s="1076"/>
    </row>
    <row r="164" spans="1:7">
      <c r="B164" s="1077"/>
      <c r="C164" s="1078"/>
      <c r="D164" s="1078"/>
      <c r="E164" s="1078"/>
      <c r="F164" s="1078"/>
      <c r="G164" s="1079"/>
    </row>
    <row r="165" spans="1:7">
      <c r="B165" s="102"/>
      <c r="C165" s="102"/>
      <c r="D165" s="102"/>
      <c r="E165" s="102"/>
      <c r="F165" s="102"/>
      <c r="G165" s="102"/>
    </row>
    <row r="166" spans="1:7" ht="65.099999999999994" customHeight="1">
      <c r="A166" s="778" t="s">
        <v>359</v>
      </c>
      <c r="B166" s="1102" t="s">
        <v>2994</v>
      </c>
      <c r="C166" s="1102"/>
      <c r="D166" s="1102"/>
      <c r="E166" s="1102"/>
      <c r="F166" s="1102"/>
      <c r="G166" s="1102"/>
    </row>
    <row r="167" spans="1:7" hidden="1">
      <c r="A167" s="168"/>
      <c r="B167" s="166"/>
      <c r="D167" s="12"/>
      <c r="F167" s="731"/>
    </row>
    <row r="168" spans="1:7" hidden="1">
      <c r="A168" s="168"/>
      <c r="B168" s="166"/>
      <c r="D168" s="12"/>
      <c r="F168" s="731"/>
    </row>
    <row r="169" spans="1:7">
      <c r="A169" s="168"/>
      <c r="B169" s="1071"/>
      <c r="C169" s="1072"/>
      <c r="D169" s="1072"/>
      <c r="E169" s="1072"/>
      <c r="F169" s="1072"/>
      <c r="G169" s="1073"/>
    </row>
    <row r="170" spans="1:7">
      <c r="A170" s="168"/>
      <c r="B170" s="1074"/>
      <c r="C170" s="1075"/>
      <c r="D170" s="1075"/>
      <c r="E170" s="1075"/>
      <c r="F170" s="1075"/>
      <c r="G170" s="1076"/>
    </row>
    <row r="171" spans="1:7">
      <c r="A171" s="168"/>
      <c r="B171" s="1074"/>
      <c r="C171" s="1075"/>
      <c r="D171" s="1075"/>
      <c r="E171" s="1075"/>
      <c r="F171" s="1075"/>
      <c r="G171" s="1076"/>
    </row>
    <row r="172" spans="1:7">
      <c r="A172" s="168"/>
      <c r="B172" s="1074"/>
      <c r="C172" s="1075"/>
      <c r="D172" s="1075"/>
      <c r="E172" s="1075"/>
      <c r="F172" s="1075"/>
      <c r="G172" s="1076"/>
    </row>
    <row r="173" spans="1:7">
      <c r="A173" s="168"/>
      <c r="B173" s="1074"/>
      <c r="C173" s="1075"/>
      <c r="D173" s="1075"/>
      <c r="E173" s="1075"/>
      <c r="F173" s="1075"/>
      <c r="G173" s="1076"/>
    </row>
    <row r="174" spans="1:7">
      <c r="A174" s="168"/>
      <c r="B174" s="1077"/>
      <c r="C174" s="1078"/>
      <c r="D174" s="1078"/>
      <c r="E174" s="1078"/>
      <c r="F174" s="1078"/>
      <c r="G174" s="1079"/>
    </row>
    <row r="175" spans="1:7">
      <c r="B175" s="102"/>
      <c r="C175" s="102"/>
      <c r="D175" s="102"/>
      <c r="E175" s="102"/>
      <c r="F175" s="102"/>
      <c r="G175" s="102"/>
    </row>
    <row r="176" spans="1:7">
      <c r="B176" s="102"/>
      <c r="C176" s="102"/>
      <c r="D176" s="102"/>
      <c r="E176" s="102"/>
      <c r="F176" s="102"/>
      <c r="G176" s="102"/>
    </row>
    <row r="177" ht="13.7" customHeight="1"/>
    <row r="178" ht="13.7" customHeight="1"/>
    <row r="193" spans="1:1" hidden="1">
      <c r="A193" s="12" t="s">
        <v>454</v>
      </c>
    </row>
    <row r="194" spans="1:1" hidden="1">
      <c r="A194" s="12" t="s">
        <v>455</v>
      </c>
    </row>
    <row r="195" spans="1:1" hidden="1">
      <c r="A195" s="12" t="s">
        <v>456</v>
      </c>
    </row>
    <row r="196" spans="1:1" hidden="1"/>
    <row r="197" spans="1:1" ht="15" hidden="1">
      <c r="A197" s="783" t="s">
        <v>2862</v>
      </c>
    </row>
    <row r="198" spans="1:1" ht="15" hidden="1">
      <c r="A198" s="783" t="s">
        <v>2863</v>
      </c>
    </row>
    <row r="199" spans="1:1" ht="15" hidden="1">
      <c r="A199" s="783" t="s">
        <v>2864</v>
      </c>
    </row>
    <row r="200" spans="1:1" ht="15" hidden="1">
      <c r="A200" s="783" t="s">
        <v>2865</v>
      </c>
    </row>
    <row r="201" spans="1:1" ht="15" hidden="1">
      <c r="A201" s="783" t="s">
        <v>2866</v>
      </c>
    </row>
    <row r="202" spans="1:1" ht="15" hidden="1">
      <c r="A202" s="783" t="s">
        <v>2867</v>
      </c>
    </row>
    <row r="203" spans="1:1" ht="15" hidden="1">
      <c r="A203" s="783" t="s">
        <v>2868</v>
      </c>
    </row>
    <row r="204" spans="1:1" ht="15" hidden="1">
      <c r="A204" s="783" t="s">
        <v>2869</v>
      </c>
    </row>
    <row r="205" spans="1:1" ht="15" hidden="1">
      <c r="A205" s="783" t="s">
        <v>2870</v>
      </c>
    </row>
    <row r="206" spans="1:1" ht="15" hidden="1">
      <c r="A206" s="783" t="s">
        <v>2871</v>
      </c>
    </row>
    <row r="207" spans="1:1" ht="15" hidden="1">
      <c r="A207" s="783" t="s">
        <v>2872</v>
      </c>
    </row>
    <row r="208" spans="1:1" ht="15" hidden="1">
      <c r="A208" s="783" t="s">
        <v>2873</v>
      </c>
    </row>
    <row r="209" spans="1:1" ht="15" hidden="1">
      <c r="A209" s="783" t="s">
        <v>2874</v>
      </c>
    </row>
    <row r="210" spans="1:1" ht="15" hidden="1">
      <c r="A210" s="783" t="s">
        <v>3015</v>
      </c>
    </row>
    <row r="211" spans="1:1" ht="15" hidden="1">
      <c r="A211" s="783" t="s">
        <v>2875</v>
      </c>
    </row>
    <row r="212" spans="1:1" ht="15" hidden="1">
      <c r="A212" s="783" t="s">
        <v>2876</v>
      </c>
    </row>
    <row r="213" spans="1:1" ht="15" hidden="1">
      <c r="A213" s="783" t="s">
        <v>2877</v>
      </c>
    </row>
    <row r="214" spans="1:1" ht="15" hidden="1">
      <c r="A214" s="783" t="s">
        <v>2878</v>
      </c>
    </row>
    <row r="215" spans="1:1" ht="15" hidden="1">
      <c r="A215" s="783" t="s">
        <v>2879</v>
      </c>
    </row>
    <row r="216" spans="1:1" ht="15" hidden="1">
      <c r="A216" s="783" t="s">
        <v>3016</v>
      </c>
    </row>
    <row r="217" spans="1:1" ht="15" hidden="1">
      <c r="A217" s="783" t="s">
        <v>2880</v>
      </c>
    </row>
  </sheetData>
  <sheetProtection algorithmName="SHA-512" hashValue="DN4dl3fg88Ml114kPtrU9Py59f7YoKOKz5K+8iXt03qCn6FPSqP6K6hVLAEsz4jUdJRV+EApdTb9kqB0smdMSA==" saltValue="t6Gq86J8JBLJ6K3zdNNClg==" spinCount="100000" sheet="1" objects="1" scenarios="1"/>
  <mergeCells count="31">
    <mergeCell ref="B143:D143"/>
    <mergeCell ref="B144:D144"/>
    <mergeCell ref="B145:D145"/>
    <mergeCell ref="B146:D146"/>
    <mergeCell ref="B166:G166"/>
    <mergeCell ref="D1:F1"/>
    <mergeCell ref="D2:F2"/>
    <mergeCell ref="D3:F3"/>
    <mergeCell ref="D4:F4"/>
    <mergeCell ref="D5:F5"/>
    <mergeCell ref="A1:C1"/>
    <mergeCell ref="A2:C2"/>
    <mergeCell ref="A3:C3"/>
    <mergeCell ref="A4:C4"/>
    <mergeCell ref="A5:C5"/>
    <mergeCell ref="D6:F6"/>
    <mergeCell ref="D7:F7"/>
    <mergeCell ref="B169:G174"/>
    <mergeCell ref="B156:G164"/>
    <mergeCell ref="C8:G8"/>
    <mergeCell ref="A6:C6"/>
    <mergeCell ref="A7:C7"/>
    <mergeCell ref="B114:F114"/>
    <mergeCell ref="F49:G49"/>
    <mergeCell ref="B141:D141"/>
    <mergeCell ref="B142:D142"/>
    <mergeCell ref="B136:D136"/>
    <mergeCell ref="B138:D138"/>
    <mergeCell ref="B139:D139"/>
    <mergeCell ref="B140:D140"/>
    <mergeCell ref="B137:D137"/>
  </mergeCells>
  <phoneticPr fontId="46" type="noConversion"/>
  <conditionalFormatting sqref="B137:B146">
    <cfRule type="containsText" dxfId="183" priority="22" operator="containsText" text="Answer Required">
      <formula>NOT(ISERROR(SEARCH("Answer Required",B137)))</formula>
    </cfRule>
  </conditionalFormatting>
  <conditionalFormatting sqref="B114:F114">
    <cfRule type="containsText" dxfId="182" priority="58" operator="containsText" text="Answer Required">
      <formula>NOT(ISERROR(SEARCH("Answer Required",B114)))</formula>
    </cfRule>
  </conditionalFormatting>
  <conditionalFormatting sqref="E137:F146">
    <cfRule type="containsText" dxfId="181" priority="44" operator="containsText" text="Answer Required">
      <formula>NOT(ISERROR(SEARCH("Answer Required",E137)))</formula>
    </cfRule>
  </conditionalFormatting>
  <conditionalFormatting sqref="F137:F146">
    <cfRule type="cellIs" dxfId="180" priority="45" operator="equal">
      <formula>"Answer Required"</formula>
    </cfRule>
  </conditionalFormatting>
  <conditionalFormatting sqref="G11">
    <cfRule type="cellIs" dxfId="179" priority="9" operator="equal">
      <formula>"Answer Required"</formula>
    </cfRule>
  </conditionalFormatting>
  <conditionalFormatting sqref="G16">
    <cfRule type="cellIs" dxfId="178" priority="7" operator="equal">
      <formula>"Answer Required"</formula>
    </cfRule>
  </conditionalFormatting>
  <conditionalFormatting sqref="G112">
    <cfRule type="cellIs" dxfId="177" priority="59" operator="equal">
      <formula>"Answer Required"</formula>
    </cfRule>
  </conditionalFormatting>
  <conditionalFormatting sqref="G129">
    <cfRule type="cellIs" dxfId="176" priority="64" operator="equal">
      <formula>"Answer Required"</formula>
    </cfRule>
  </conditionalFormatting>
  <conditionalFormatting sqref="G133">
    <cfRule type="cellIs" dxfId="175" priority="65" operator="equal">
      <formula>"Answer Required"</formula>
    </cfRule>
  </conditionalFormatting>
  <conditionalFormatting sqref="G93:H102">
    <cfRule type="cellIs" dxfId="174" priority="48" operator="equal">
      <formula>"Answer Required"</formula>
    </cfRule>
  </conditionalFormatting>
  <conditionalFormatting sqref="G15:I15">
    <cfRule type="cellIs" dxfId="173" priority="6" operator="equal">
      <formula>"Answer Required"</formula>
    </cfRule>
  </conditionalFormatting>
  <conditionalFormatting sqref="H11">
    <cfRule type="containsText" dxfId="172" priority="3" operator="containsText" text="Answer Required">
      <formula>NOT(ISERROR(SEARCH("Answer Required",H11)))</formula>
    </cfRule>
  </conditionalFormatting>
  <conditionalFormatting sqref="H16">
    <cfRule type="containsText" dxfId="171" priority="2" operator="containsText" text="Answer Required">
      <formula>NOT(ISERROR(SEARCH("Answer Required",H16)))</formula>
    </cfRule>
  </conditionalFormatting>
  <conditionalFormatting sqref="H41">
    <cfRule type="containsText" dxfId="170" priority="1" operator="containsText" text="Answer Required">
      <formula>NOT(ISERROR(SEARCH("Answer Required",H41)))</formula>
    </cfRule>
  </conditionalFormatting>
  <conditionalFormatting sqref="I28">
    <cfRule type="cellIs" dxfId="169" priority="5" operator="equal">
      <formula>"Answer Required"</formula>
    </cfRule>
  </conditionalFormatting>
  <conditionalFormatting sqref="I51:J83">
    <cfRule type="cellIs" dxfId="168" priority="40" operator="equal">
      <formula>"Answer Required"</formula>
    </cfRule>
  </conditionalFormatting>
  <dataValidations xWindow="659" yWindow="294" count="14">
    <dataValidation allowBlank="1" showInputMessage="1" showErrorMessage="1" errorTitle="Enter Whole Number" error="The agency did not enter a whole number, please round the amount.  Enter a whole number ONLY." promptTitle="Enter a whole number" sqref="G152 H39" xr:uid="{00000000-0002-0000-0400-000000000000}"/>
    <dataValidation type="whole" allowBlank="1" showInputMessage="1" showErrorMessage="1" errorTitle="Enter Whole Number" error="The agency did not enter a whole number, please round the amount.  Enter a whole number ONLY." promptTitle="Enter a whole number" sqref="G153:G155 H38 H40" xr:uid="{00000000-0002-0000-0400-000001000000}">
      <formula1>-9999999999</formula1>
      <formula2>9999999999</formula2>
    </dataValidation>
    <dataValidation type="whole" allowBlank="1" showInputMessage="1" showErrorMessage="1" errorTitle="Enter Whole Number" error="Please enter a whole number._x000a_" promptTitle="Enter a whole number" sqref="G108" xr:uid="{00000000-0002-0000-0400-000002000000}">
      <formula1>-99999999999999</formula1>
      <formula2>999999999999999</formula2>
    </dataValidation>
    <dataValidation type="whole" allowBlank="1" showInputMessage="1" showErrorMessage="1" errorTitle="Enter Whole Number" error="Please enter a whole number." promptTitle="Enter a whole number" sqref="H10 H14 I34:I36" xr:uid="{00000000-0002-0000-0400-000003000000}">
      <formula1>-999999999999</formula1>
      <formula2>999999999999</formula2>
    </dataValidation>
    <dataValidation type="whole" allowBlank="1" showInputMessage="1" showErrorMessage="1" error="Please enter a valid Cardinal fund number between 01000 and 99999." sqref="D51:D83 D93:D102" xr:uid="{00000000-0002-0000-0400-000004000000}">
      <formula1>1000</formula1>
      <formula2>99999</formula2>
    </dataValidation>
    <dataValidation type="list" allowBlank="1" showInputMessage="1" showErrorMessage="1" error="Use the drop-down list to answer Yes, No, or N/A." sqref="G129" xr:uid="{00000000-0002-0000-0400-000005000000}">
      <formula1>$A$193:$A$195</formula1>
    </dataValidation>
    <dataValidation type="date" allowBlank="1" showInputMessage="1" showErrorMessage="1" error="Enter a date between 6/1/03 and 12/15/03" prompt="If this submission is a revision to a previous submission for which DOA acknowledged receipt and acceptance, COMPLETE THE REVISION CONTROL LOG TAB" sqref="D9:E9 H9" xr:uid="{00000000-0002-0000-0400-000006000000}">
      <formula1>37773</formula1>
      <formula2>37970</formula2>
    </dataValidation>
    <dataValidation type="whole" allowBlank="1" showInputMessage="1" showErrorMessage="1" errorTitle="Enter Whole Number" error="Please enter a whole number." promptTitle="Enter a whole number" sqref="H34:H36 F93:F102 H20:H23 H28 H30 F51:H83" xr:uid="{00000000-0002-0000-0400-000007000000}">
      <formula1>-9999999999999</formula1>
      <formula2>9999999999999</formula2>
    </dataValidation>
    <dataValidation type="whole" allowBlank="1" showInputMessage="1" showErrorMessage="1" errorTitle="Enter Whole Number" error="Please enter a whole number." promptTitle="Enter Whole Number" sqref="F137:F146" xr:uid="{00000000-0002-0000-0400-000008000000}">
      <formula1>-9999999999999</formula1>
      <formula2>9999999999999</formula2>
    </dataValidation>
    <dataValidation type="whole" allowBlank="1" showInputMessage="1" showErrorMessage="1" errorTitle="Enter Whole Number" error="Please enter a whole number._x000a_" promptTitle="Enter a whole number" sqref="G118" xr:uid="{00000000-0002-0000-0400-000009000000}">
      <formula1>-9999999999999</formula1>
      <formula2>99999999999999</formula2>
    </dataValidation>
    <dataValidation type="list" allowBlank="1" showInputMessage="1" showErrorMessage="1" error="Use the drop-down list to enter yes or no." sqref="I51:I83 G93:G102" xr:uid="{00000000-0002-0000-0400-00000A000000}">
      <formula1>$A$193:$A$194</formula1>
    </dataValidation>
    <dataValidation type="whole" allowBlank="1" showInputMessage="1" showErrorMessage="1" error="Enter a whole number." sqref="H15" xr:uid="{00000000-0002-0000-0400-00000B000000}">
      <formula1>-9999999999999</formula1>
      <formula2>9999999999999</formula2>
    </dataValidation>
    <dataValidation type="list" allowBlank="1" showInputMessage="1" showErrorMessage="1" error="Please use the drop-down list to select Yes or No." sqref="G112 G133" xr:uid="{00000000-0002-0000-0400-00000C000000}">
      <formula1>$A$193:$A$194</formula1>
    </dataValidation>
    <dataValidation allowBlank="1" showInputMessage="1" showErrorMessage="1" error="Enter a whole number." sqref="G15:G16 G11" xr:uid="{00000000-0002-0000-0400-00000D000000}"/>
  </dataValidations>
  <pageMargins left="0.5" right="0.25" top="1.25" bottom="1" header="0.44" footer="0.5"/>
  <pageSetup scale="41" fitToHeight="0"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rowBreaks count="1" manualBreakCount="1">
    <brk id="8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dimension ref="A1:AI171"/>
  <sheetViews>
    <sheetView showGridLines="0" showZeros="0" zoomScale="90" zoomScaleNormal="90" workbookViewId="0">
      <selection activeCell="C10" sqref="C10"/>
    </sheetView>
  </sheetViews>
  <sheetFormatPr defaultColWidth="9.140625" defaultRowHeight="15"/>
  <cols>
    <col min="1" max="1" width="10.7109375" style="861" customWidth="1"/>
    <col min="2" max="2" width="60.7109375" style="861" customWidth="1"/>
    <col min="3" max="3" width="39.28515625" style="861" customWidth="1"/>
    <col min="4" max="4" width="16.7109375" style="861" customWidth="1"/>
    <col min="5" max="5" width="14.85546875" style="861" customWidth="1"/>
    <col min="6" max="8" width="18.7109375" style="861" customWidth="1"/>
    <col min="9" max="9" width="20" style="861" bestFit="1" customWidth="1"/>
    <col min="10" max="11" width="18.7109375" style="861" customWidth="1"/>
    <col min="12" max="12" width="20" style="861" bestFit="1" customWidth="1"/>
    <col min="13" max="13" width="20.7109375" style="861" customWidth="1"/>
    <col min="14" max="15" width="18.7109375" style="861" customWidth="1"/>
    <col min="16" max="16" width="20.7109375" style="861" customWidth="1"/>
    <col min="17" max="17" width="15.140625" style="861" customWidth="1"/>
    <col min="18" max="18" width="20" style="861" customWidth="1"/>
    <col min="19" max="22" width="18.7109375" style="861" customWidth="1"/>
    <col min="23" max="23" width="22.85546875" style="861" customWidth="1"/>
    <col min="24" max="24" width="18.7109375" style="861" customWidth="1"/>
    <col min="25" max="25" width="20.7109375" style="861" customWidth="1"/>
    <col min="26" max="26" width="15.140625" style="861" customWidth="1"/>
    <col min="27" max="30" width="18.7109375" style="861" customWidth="1"/>
    <col min="31" max="31" width="22.85546875" style="861" customWidth="1"/>
    <col min="32" max="32" width="20.7109375" style="861" customWidth="1"/>
    <col min="33" max="33" width="14.28515625" style="861" customWidth="1"/>
    <col min="34" max="34" width="9.5703125" style="861" customWidth="1"/>
    <col min="35" max="35" width="15.7109375" style="861" customWidth="1"/>
    <col min="36" max="16384" width="9.140625" style="861"/>
  </cols>
  <sheetData>
    <row r="1" spans="1:35">
      <c r="A1" s="1113" t="s">
        <v>272</v>
      </c>
      <c r="B1" s="1114"/>
      <c r="C1" s="1111" t="str">
        <f>'Enterprise Template'!E1</f>
        <v/>
      </c>
      <c r="D1" s="1112"/>
      <c r="E1" s="1112"/>
    </row>
    <row r="2" spans="1:35">
      <c r="A2" s="1113" t="s">
        <v>190</v>
      </c>
      <c r="B2" s="1114"/>
      <c r="C2" s="1111" t="str">
        <f>IF('Enterprise Template'!E2="","",'Enterprise Template'!E2)</f>
        <v/>
      </c>
      <c r="D2" s="1112"/>
      <c r="E2" s="1112"/>
    </row>
    <row r="3" spans="1:35">
      <c r="A3" s="1113" t="s">
        <v>447</v>
      </c>
      <c r="B3" s="1114"/>
      <c r="C3" s="1096" t="str">
        <f>IF('Enterprise Template'!E3="","",'Enterprise Template'!E3)</f>
        <v/>
      </c>
      <c r="D3" s="1097"/>
      <c r="E3" s="1097"/>
      <c r="H3" s="12"/>
    </row>
    <row r="4" spans="1:35">
      <c r="A4" s="1113" t="s">
        <v>448</v>
      </c>
      <c r="B4" s="1114"/>
      <c r="C4" s="1098" t="str">
        <f>IF('Enterprise Template'!E4="","",'Enterprise Template'!E4)</f>
        <v/>
      </c>
      <c r="D4" s="1099"/>
      <c r="E4" s="1099"/>
    </row>
    <row r="5" spans="1:35">
      <c r="A5" s="1113" t="s">
        <v>2847</v>
      </c>
      <c r="B5" s="1114"/>
      <c r="C5" s="1100" t="str">
        <f>IF('Enterprise Template'!E5="","",'Enterprise Template'!E5)</f>
        <v/>
      </c>
      <c r="D5" s="1101"/>
      <c r="E5" s="1101"/>
      <c r="Q5" s="929"/>
    </row>
    <row r="6" spans="1:35">
      <c r="A6" s="1113" t="s">
        <v>449</v>
      </c>
      <c r="B6" s="1114"/>
      <c r="C6" s="1067" t="str">
        <f>IF('Enterprise Template'!E6="","",'Enterprise Template'!E6)</f>
        <v/>
      </c>
      <c r="D6" s="1068"/>
      <c r="E6" s="1068"/>
    </row>
    <row r="7" spans="1:35" ht="18.75" customHeight="1">
      <c r="A7" s="1113" t="s">
        <v>224</v>
      </c>
      <c r="B7" s="1115"/>
      <c r="C7" s="1111" t="str">
        <f>'Enterprise Template'!E7</f>
        <v/>
      </c>
      <c r="D7" s="1112"/>
      <c r="E7" s="1112"/>
    </row>
    <row r="8" spans="1:35">
      <c r="A8" s="862"/>
      <c r="B8" s="862"/>
      <c r="C8" s="862"/>
      <c r="D8" s="862"/>
      <c r="E8" s="862"/>
    </row>
    <row r="9" spans="1:35" ht="14.25" customHeight="1">
      <c r="A9" s="863"/>
      <c r="B9" s="863"/>
      <c r="C9" s="863"/>
      <c r="D9" s="863"/>
      <c r="E9" s="863"/>
      <c r="F9" s="1103" t="s">
        <v>2895</v>
      </c>
      <c r="G9" s="1104"/>
      <c r="H9" s="1104"/>
      <c r="I9" s="1104"/>
      <c r="J9" s="1104"/>
      <c r="K9" s="1104"/>
      <c r="L9" s="1104"/>
      <c r="M9" s="1104"/>
      <c r="N9" s="1104"/>
      <c r="O9" s="1105"/>
      <c r="P9" s="864"/>
      <c r="Q9" s="863"/>
      <c r="R9" s="1106" t="s">
        <v>2896</v>
      </c>
      <c r="S9" s="1107"/>
      <c r="T9" s="1107"/>
      <c r="U9" s="1108"/>
      <c r="V9" s="1106" t="s">
        <v>2897</v>
      </c>
      <c r="W9" s="1107"/>
      <c r="X9" s="1108"/>
      <c r="Y9" s="863"/>
      <c r="Z9" s="863"/>
      <c r="AA9" s="863"/>
      <c r="AF9" s="863"/>
      <c r="AG9" s="863"/>
      <c r="AI9" s="863"/>
    </row>
    <row r="10" spans="1:35">
      <c r="A10" s="863"/>
      <c r="B10" s="863"/>
      <c r="C10" s="863"/>
      <c r="D10" s="863"/>
      <c r="E10" s="863"/>
      <c r="F10" s="865" t="s">
        <v>2898</v>
      </c>
      <c r="G10" s="866"/>
      <c r="H10" s="866"/>
      <c r="I10" s="866"/>
      <c r="J10" s="866"/>
      <c r="K10" s="866"/>
      <c r="L10" s="866"/>
      <c r="M10" s="866"/>
      <c r="N10" s="867"/>
      <c r="O10" s="868"/>
      <c r="P10" s="869"/>
      <c r="Q10" s="863"/>
      <c r="R10" s="870"/>
      <c r="S10" s="871"/>
      <c r="T10" s="871"/>
      <c r="U10" s="872"/>
      <c r="V10" s="1109" t="s">
        <v>2899</v>
      </c>
      <c r="W10" s="1110"/>
      <c r="X10" s="873"/>
      <c r="Y10" s="863"/>
      <c r="Z10" s="863"/>
      <c r="AA10" s="874"/>
      <c r="AB10" s="1107" t="s">
        <v>2900</v>
      </c>
      <c r="AC10" s="1107"/>
      <c r="AD10" s="1107"/>
      <c r="AE10" s="1108"/>
      <c r="AF10" s="863"/>
      <c r="AG10" s="863"/>
      <c r="AH10" s="875"/>
      <c r="AI10" s="863"/>
    </row>
    <row r="11" spans="1:35" ht="108.75" customHeight="1">
      <c r="A11" s="876" t="s">
        <v>2901</v>
      </c>
      <c r="B11" s="877" t="s">
        <v>2902</v>
      </c>
      <c r="C11" s="878" t="s">
        <v>2959</v>
      </c>
      <c r="D11" s="878" t="s">
        <v>2960</v>
      </c>
      <c r="E11" s="879" t="s">
        <v>2961</v>
      </c>
      <c r="F11" s="880" t="s">
        <v>2903</v>
      </c>
      <c r="G11" s="880" t="s">
        <v>2904</v>
      </c>
      <c r="H11" s="880" t="s">
        <v>2905</v>
      </c>
      <c r="I11" s="880" t="s">
        <v>2906</v>
      </c>
      <c r="J11" s="880" t="s">
        <v>2907</v>
      </c>
      <c r="K11" s="880" t="s">
        <v>2908</v>
      </c>
      <c r="L11" s="880" t="s">
        <v>2909</v>
      </c>
      <c r="M11" s="880" t="s">
        <v>2962</v>
      </c>
      <c r="N11" s="881" t="s">
        <v>2910</v>
      </c>
      <c r="O11" s="882" t="s">
        <v>2911</v>
      </c>
      <c r="P11" s="883" t="s">
        <v>3333</v>
      </c>
      <c r="Q11" s="884" t="s">
        <v>89</v>
      </c>
      <c r="R11" s="885" t="s">
        <v>2912</v>
      </c>
      <c r="S11" s="885" t="s">
        <v>2913</v>
      </c>
      <c r="T11" s="885" t="s">
        <v>2914</v>
      </c>
      <c r="U11" s="880" t="s">
        <v>2915</v>
      </c>
      <c r="V11" s="880" t="s">
        <v>2916</v>
      </c>
      <c r="W11" s="880" t="s">
        <v>2917</v>
      </c>
      <c r="X11" s="886" t="s">
        <v>2918</v>
      </c>
      <c r="Y11" s="887" t="s">
        <v>2919</v>
      </c>
      <c r="Z11" s="884" t="s">
        <v>89</v>
      </c>
      <c r="AA11" s="888" t="s">
        <v>2920</v>
      </c>
      <c r="AB11" s="889" t="s">
        <v>2921</v>
      </c>
      <c r="AC11" s="889" t="s">
        <v>971</v>
      </c>
      <c r="AD11" s="889" t="s">
        <v>972</v>
      </c>
      <c r="AE11" s="889" t="s">
        <v>2922</v>
      </c>
      <c r="AF11" s="887" t="s">
        <v>285</v>
      </c>
      <c r="AG11" s="890" t="s">
        <v>89</v>
      </c>
      <c r="AH11" s="890" t="s">
        <v>2923</v>
      </c>
      <c r="AI11" s="891" t="s">
        <v>2963</v>
      </c>
    </row>
    <row r="12" spans="1:35">
      <c r="A12" s="892" t="s">
        <v>386</v>
      </c>
      <c r="B12" s="893" t="s">
        <v>657</v>
      </c>
      <c r="C12" s="769"/>
      <c r="D12" s="863"/>
      <c r="E12" s="863"/>
      <c r="F12" s="863"/>
      <c r="G12" s="863"/>
      <c r="H12" s="863"/>
      <c r="I12" s="863"/>
      <c r="J12" s="863"/>
      <c r="K12" s="863"/>
      <c r="L12" s="863"/>
      <c r="M12" s="863"/>
      <c r="N12" s="863"/>
      <c r="O12" s="777"/>
      <c r="P12" s="894">
        <f>IF(SUM(F12:O12)=(SUM(R12:U12)),(SUM(F12:O12)))</f>
        <v>0</v>
      </c>
      <c r="Q12" s="895">
        <f>SUM(F12:O12)-SUM(R12:U12)</f>
        <v>0</v>
      </c>
      <c r="R12" s="770"/>
      <c r="S12" s="770"/>
      <c r="T12" s="770"/>
      <c r="U12" s="770"/>
      <c r="V12" s="770"/>
      <c r="W12" s="770"/>
      <c r="X12" s="770"/>
      <c r="Y12" s="896">
        <f t="shared" ref="Y12:Y107" si="0">IF(SUM(R12:U12)=SUM(V12:X12), SUM(V12:X12),"Error")</f>
        <v>0</v>
      </c>
      <c r="Z12" s="895">
        <f t="shared" ref="Z12:Z107" si="1">SUM(R12:U12)-SUM(V12:X12)</f>
        <v>0</v>
      </c>
      <c r="AA12" s="770"/>
      <c r="AB12" s="770"/>
      <c r="AC12" s="770"/>
      <c r="AD12" s="770"/>
      <c r="AE12" s="771"/>
      <c r="AF12" s="897">
        <f t="shared" ref="AF12:AF150" si="2">IF(SUM(AA12:AE12)=Y12,SUM(AA12:AE12),"Error")</f>
        <v>0</v>
      </c>
      <c r="AG12" s="895">
        <f t="shared" ref="AG12:AG150" si="3">SUM(AA12:AE12)-Y12</f>
        <v>0</v>
      </c>
      <c r="AH12" s="898" t="str">
        <f>IF(AND(P12=Y12,Y12=AF12),"","Error")</f>
        <v/>
      </c>
      <c r="AI12" s="863">
        <f>'Enterprise Template'!$E$2</f>
        <v>0</v>
      </c>
    </row>
    <row r="13" spans="1:35">
      <c r="A13" s="892"/>
      <c r="B13" s="863"/>
      <c r="C13" s="899"/>
      <c r="D13" s="863"/>
      <c r="E13" s="863"/>
      <c r="F13" s="863"/>
      <c r="G13" s="863"/>
      <c r="H13" s="863"/>
      <c r="I13" s="863"/>
      <c r="J13" s="863"/>
      <c r="K13" s="863"/>
      <c r="L13" s="863"/>
      <c r="M13" s="863"/>
      <c r="N13" s="863"/>
      <c r="O13" s="900"/>
      <c r="P13" s="863"/>
      <c r="Q13" s="901"/>
      <c r="R13" s="902"/>
      <c r="S13" s="902"/>
      <c r="T13" s="902"/>
      <c r="U13" s="902"/>
      <c r="V13" s="902"/>
      <c r="W13" s="902"/>
      <c r="X13" s="902"/>
      <c r="Y13" s="903"/>
      <c r="Z13" s="901"/>
      <c r="AA13" s="902"/>
      <c r="AB13" s="902"/>
      <c r="AC13" s="902"/>
      <c r="AD13" s="902"/>
      <c r="AE13" s="904"/>
      <c r="AF13" s="863"/>
      <c r="AG13" s="901"/>
      <c r="AH13" s="898"/>
      <c r="AI13" s="863"/>
    </row>
    <row r="14" spans="1:35">
      <c r="A14" s="892" t="s">
        <v>386</v>
      </c>
      <c r="B14" s="893" t="s">
        <v>907</v>
      </c>
      <c r="C14" s="772"/>
      <c r="D14" s="772"/>
      <c r="E14" s="772"/>
      <c r="F14" s="773"/>
      <c r="G14" s="773"/>
      <c r="H14" s="773"/>
      <c r="I14" s="773"/>
      <c r="J14" s="773"/>
      <c r="K14" s="773"/>
      <c r="L14" s="773"/>
      <c r="M14" s="773"/>
      <c r="N14" s="773"/>
      <c r="O14" s="774"/>
      <c r="P14" s="894">
        <f>IF(SUM(F14:O14)=(SUM(R14:U14)),(SUM(F14:O14)))</f>
        <v>0</v>
      </c>
      <c r="Q14" s="895">
        <f t="shared" ref="Q14:Q18" si="4">SUM(F14:O14)-SUM(R14:U14)</f>
        <v>0</v>
      </c>
      <c r="R14" s="770"/>
      <c r="S14" s="770"/>
      <c r="T14" s="770"/>
      <c r="U14" s="770"/>
      <c r="V14" s="770"/>
      <c r="W14" s="770"/>
      <c r="X14" s="770"/>
      <c r="Y14" s="905">
        <f>IF(SUM(R14:U14)=SUM(V14:X14), SUM(V14:X14),"Error")</f>
        <v>0</v>
      </c>
      <c r="Z14" s="895">
        <f t="shared" si="1"/>
        <v>0</v>
      </c>
      <c r="AA14" s="770"/>
      <c r="AB14" s="770"/>
      <c r="AC14" s="770"/>
      <c r="AD14" s="770"/>
      <c r="AE14" s="771"/>
      <c r="AF14" s="897">
        <f t="shared" si="2"/>
        <v>0</v>
      </c>
      <c r="AG14" s="895">
        <f t="shared" si="3"/>
        <v>0</v>
      </c>
      <c r="AH14" s="898" t="str">
        <f>IF(AND(P14=Y14,Y14=AF14),"","Error")</f>
        <v/>
      </c>
      <c r="AI14" s="863">
        <f>'Enterprise Template'!$E$2</f>
        <v>0</v>
      </c>
    </row>
    <row r="15" spans="1:35">
      <c r="A15" s="892" t="s">
        <v>386</v>
      </c>
      <c r="B15" s="893" t="s">
        <v>907</v>
      </c>
      <c r="C15" s="772"/>
      <c r="D15" s="772"/>
      <c r="E15" s="772"/>
      <c r="F15" s="773"/>
      <c r="G15" s="773"/>
      <c r="H15" s="773"/>
      <c r="I15" s="773"/>
      <c r="J15" s="773"/>
      <c r="K15" s="773"/>
      <c r="L15" s="773"/>
      <c r="M15" s="773"/>
      <c r="N15" s="773"/>
      <c r="O15" s="774"/>
      <c r="P15" s="894">
        <f>IF(SUM(F15:O15)=(SUM(R15:U15)),(SUM(F15:O15)))</f>
        <v>0</v>
      </c>
      <c r="Q15" s="895">
        <f t="shared" si="4"/>
        <v>0</v>
      </c>
      <c r="R15" s="770"/>
      <c r="S15" s="770"/>
      <c r="T15" s="770"/>
      <c r="U15" s="770"/>
      <c r="V15" s="770"/>
      <c r="W15" s="770"/>
      <c r="X15" s="770"/>
      <c r="Y15" s="905">
        <f t="shared" ref="Y15:Y18" si="5">IF(SUM(R15:U15)=SUM(V15:X15), SUM(V15:X15),"Error")</f>
        <v>0</v>
      </c>
      <c r="Z15" s="895">
        <f t="shared" si="1"/>
        <v>0</v>
      </c>
      <c r="AA15" s="770"/>
      <c r="AB15" s="770"/>
      <c r="AC15" s="770"/>
      <c r="AD15" s="770"/>
      <c r="AE15" s="771"/>
      <c r="AF15" s="897">
        <f t="shared" si="2"/>
        <v>0</v>
      </c>
      <c r="AG15" s="895">
        <f t="shared" si="3"/>
        <v>0</v>
      </c>
      <c r="AH15" s="898" t="str">
        <f>IF(AND(P15=Y15,Y15=AF15),"","Error")</f>
        <v/>
      </c>
      <c r="AI15" s="863">
        <f>'Enterprise Template'!$E$2</f>
        <v>0</v>
      </c>
    </row>
    <row r="16" spans="1:35">
      <c r="A16" s="892" t="s">
        <v>386</v>
      </c>
      <c r="B16" s="893" t="s">
        <v>907</v>
      </c>
      <c r="C16" s="772"/>
      <c r="D16" s="772"/>
      <c r="E16" s="772"/>
      <c r="F16" s="773"/>
      <c r="G16" s="773"/>
      <c r="H16" s="773"/>
      <c r="I16" s="773"/>
      <c r="J16" s="773"/>
      <c r="K16" s="773"/>
      <c r="L16" s="773"/>
      <c r="M16" s="773"/>
      <c r="N16" s="773"/>
      <c r="O16" s="774"/>
      <c r="P16" s="894">
        <f>IF(SUM(F16:O16)=(SUM(R16:U16)),(SUM(F16:O16)))</f>
        <v>0</v>
      </c>
      <c r="Q16" s="895">
        <f t="shared" si="4"/>
        <v>0</v>
      </c>
      <c r="R16" s="770"/>
      <c r="S16" s="770"/>
      <c r="T16" s="770"/>
      <c r="U16" s="770"/>
      <c r="V16" s="770"/>
      <c r="W16" s="770"/>
      <c r="X16" s="770"/>
      <c r="Y16" s="905">
        <f t="shared" si="5"/>
        <v>0</v>
      </c>
      <c r="Z16" s="895">
        <f t="shared" si="1"/>
        <v>0</v>
      </c>
      <c r="AA16" s="770"/>
      <c r="AB16" s="770"/>
      <c r="AC16" s="770"/>
      <c r="AD16" s="770"/>
      <c r="AE16" s="771"/>
      <c r="AF16" s="897">
        <f t="shared" si="2"/>
        <v>0</v>
      </c>
      <c r="AG16" s="895">
        <f t="shared" si="3"/>
        <v>0</v>
      </c>
      <c r="AH16" s="898" t="str">
        <f>IF(AND(P16=Y16,Y16=AF16),"","Error")</f>
        <v/>
      </c>
      <c r="AI16" s="863">
        <f>'Enterprise Template'!$E$2</f>
        <v>0</v>
      </c>
    </row>
    <row r="17" spans="1:35">
      <c r="A17" s="892" t="s">
        <v>386</v>
      </c>
      <c r="B17" s="893" t="s">
        <v>907</v>
      </c>
      <c r="C17" s="772"/>
      <c r="D17" s="772"/>
      <c r="E17" s="772"/>
      <c r="F17" s="773"/>
      <c r="G17" s="773"/>
      <c r="H17" s="773"/>
      <c r="I17" s="773"/>
      <c r="J17" s="773"/>
      <c r="K17" s="773"/>
      <c r="L17" s="773"/>
      <c r="M17" s="773"/>
      <c r="N17" s="773"/>
      <c r="O17" s="774"/>
      <c r="P17" s="894">
        <f>IF(SUM(F17:O17)=(SUM(R17:U17)),(SUM(F17:O17)))</f>
        <v>0</v>
      </c>
      <c r="Q17" s="895">
        <f t="shared" si="4"/>
        <v>0</v>
      </c>
      <c r="R17" s="770"/>
      <c r="S17" s="770"/>
      <c r="T17" s="770"/>
      <c r="U17" s="770"/>
      <c r="V17" s="770"/>
      <c r="W17" s="770"/>
      <c r="X17" s="770"/>
      <c r="Y17" s="905">
        <f t="shared" si="5"/>
        <v>0</v>
      </c>
      <c r="Z17" s="895">
        <f t="shared" si="1"/>
        <v>0</v>
      </c>
      <c r="AA17" s="770"/>
      <c r="AB17" s="770"/>
      <c r="AC17" s="770"/>
      <c r="AD17" s="770"/>
      <c r="AE17" s="771"/>
      <c r="AF17" s="897">
        <f t="shared" si="2"/>
        <v>0</v>
      </c>
      <c r="AG17" s="895">
        <f t="shared" si="3"/>
        <v>0</v>
      </c>
      <c r="AH17" s="898" t="str">
        <f>IF(AND(P17=Y17,Y17=AF17),"","Error")</f>
        <v/>
      </c>
      <c r="AI17" s="863">
        <f>'Enterprise Template'!$E$2</f>
        <v>0</v>
      </c>
    </row>
    <row r="18" spans="1:35">
      <c r="A18" s="892" t="s">
        <v>386</v>
      </c>
      <c r="B18" s="893" t="s">
        <v>907</v>
      </c>
      <c r="C18" s="772"/>
      <c r="D18" s="772"/>
      <c r="E18" s="772"/>
      <c r="F18" s="773"/>
      <c r="G18" s="773"/>
      <c r="H18" s="773"/>
      <c r="I18" s="773"/>
      <c r="J18" s="773"/>
      <c r="K18" s="773"/>
      <c r="L18" s="773"/>
      <c r="M18" s="773"/>
      <c r="N18" s="773"/>
      <c r="O18" s="774"/>
      <c r="P18" s="894">
        <f>IF(SUM(F18:O18)=(SUM(R18:U18)),(SUM(F18:O18)))</f>
        <v>0</v>
      </c>
      <c r="Q18" s="895">
        <f t="shared" si="4"/>
        <v>0</v>
      </c>
      <c r="R18" s="770"/>
      <c r="S18" s="770"/>
      <c r="T18" s="770"/>
      <c r="U18" s="770"/>
      <c r="V18" s="770"/>
      <c r="W18" s="770"/>
      <c r="X18" s="770"/>
      <c r="Y18" s="905">
        <f t="shared" si="5"/>
        <v>0</v>
      </c>
      <c r="Z18" s="895">
        <f t="shared" si="1"/>
        <v>0</v>
      </c>
      <c r="AA18" s="770"/>
      <c r="AB18" s="770"/>
      <c r="AC18" s="770"/>
      <c r="AD18" s="770"/>
      <c r="AE18" s="771"/>
      <c r="AF18" s="897">
        <f t="shared" si="2"/>
        <v>0</v>
      </c>
      <c r="AG18" s="895">
        <f t="shared" si="3"/>
        <v>0</v>
      </c>
      <c r="AH18" s="898" t="str">
        <f>IF(AND(P18=Y18,Y18=AF18),"","Error")</f>
        <v/>
      </c>
      <c r="AI18" s="863">
        <f>'Enterprise Template'!$E$2</f>
        <v>0</v>
      </c>
    </row>
    <row r="19" spans="1:35">
      <c r="A19" s="892"/>
      <c r="B19" s="863"/>
      <c r="C19" s="899"/>
      <c r="D19" s="863"/>
      <c r="E19" s="863"/>
      <c r="F19" s="863"/>
      <c r="G19" s="863"/>
      <c r="H19" s="863"/>
      <c r="I19" s="863"/>
      <c r="J19" s="863"/>
      <c r="K19" s="863"/>
      <c r="L19" s="863"/>
      <c r="M19" s="863"/>
      <c r="N19" s="863"/>
      <c r="O19" s="900"/>
      <c r="P19" s="863"/>
      <c r="Q19" s="901"/>
      <c r="R19" s="902"/>
      <c r="S19" s="902"/>
      <c r="T19" s="902"/>
      <c r="U19" s="902"/>
      <c r="V19" s="902"/>
      <c r="W19" s="902"/>
      <c r="X19" s="902"/>
      <c r="Y19" s="903"/>
      <c r="Z19" s="901"/>
      <c r="AA19" s="902"/>
      <c r="AB19" s="902"/>
      <c r="AC19" s="902"/>
      <c r="AD19" s="902"/>
      <c r="AE19" s="904"/>
      <c r="AF19" s="863"/>
      <c r="AG19" s="901"/>
      <c r="AH19" s="898"/>
      <c r="AI19" s="863"/>
    </row>
    <row r="20" spans="1:35">
      <c r="A20" s="892" t="s">
        <v>386</v>
      </c>
      <c r="B20" s="893" t="s">
        <v>2696</v>
      </c>
      <c r="C20" s="772"/>
      <c r="D20" s="772"/>
      <c r="E20" s="772"/>
      <c r="F20" s="773"/>
      <c r="G20" s="773"/>
      <c r="H20" s="773"/>
      <c r="I20" s="773"/>
      <c r="J20" s="773"/>
      <c r="K20" s="773"/>
      <c r="L20" s="773"/>
      <c r="M20" s="773"/>
      <c r="N20" s="773"/>
      <c r="O20" s="774"/>
      <c r="P20" s="894">
        <f>IF(SUM(F20:O20)=(SUM(R20:U20)),(SUM(F20:O20)))</f>
        <v>0</v>
      </c>
      <c r="Q20" s="895">
        <f t="shared" ref="Q20:Q24" si="6">SUM(F20:O20)-SUM(R20:U20)</f>
        <v>0</v>
      </c>
      <c r="R20" s="770"/>
      <c r="S20" s="770"/>
      <c r="T20" s="770"/>
      <c r="U20" s="770"/>
      <c r="V20" s="770"/>
      <c r="W20" s="770"/>
      <c r="X20" s="770"/>
      <c r="Y20" s="905">
        <f t="shared" si="0"/>
        <v>0</v>
      </c>
      <c r="Z20" s="895">
        <f t="shared" si="1"/>
        <v>0</v>
      </c>
      <c r="AA20" s="770"/>
      <c r="AB20" s="770"/>
      <c r="AC20" s="770"/>
      <c r="AD20" s="770"/>
      <c r="AE20" s="771"/>
      <c r="AF20" s="897">
        <f t="shared" si="2"/>
        <v>0</v>
      </c>
      <c r="AG20" s="895">
        <f t="shared" si="3"/>
        <v>0</v>
      </c>
      <c r="AH20" s="898" t="str">
        <f>IF(AND(P20=Y20,Y20=AF20),"","Error")</f>
        <v/>
      </c>
      <c r="AI20" s="863">
        <f>'Enterprise Template'!$E$2</f>
        <v>0</v>
      </c>
    </row>
    <row r="21" spans="1:35">
      <c r="A21" s="892" t="s">
        <v>386</v>
      </c>
      <c r="B21" s="893" t="s">
        <v>2696</v>
      </c>
      <c r="C21" s="772"/>
      <c r="D21" s="772"/>
      <c r="E21" s="772"/>
      <c r="F21" s="773"/>
      <c r="G21" s="773"/>
      <c r="H21" s="773"/>
      <c r="I21" s="773"/>
      <c r="J21" s="773"/>
      <c r="K21" s="773"/>
      <c r="L21" s="773"/>
      <c r="M21" s="773"/>
      <c r="N21" s="773"/>
      <c r="O21" s="774"/>
      <c r="P21" s="894">
        <f>IF(SUM(F21:O21)=(SUM(R21:U21)),(SUM(F21:O21)))</f>
        <v>0</v>
      </c>
      <c r="Q21" s="895">
        <f t="shared" si="6"/>
        <v>0</v>
      </c>
      <c r="R21" s="770"/>
      <c r="S21" s="770"/>
      <c r="T21" s="770"/>
      <c r="U21" s="770"/>
      <c r="V21" s="770"/>
      <c r="W21" s="770"/>
      <c r="X21" s="770"/>
      <c r="Y21" s="905">
        <f t="shared" ref="Y21:Y24" si="7">IF(SUM(R21:U21)=SUM(V21:X21), SUM(V21:X21),"Error")</f>
        <v>0</v>
      </c>
      <c r="Z21" s="895">
        <f t="shared" si="1"/>
        <v>0</v>
      </c>
      <c r="AA21" s="770"/>
      <c r="AB21" s="770"/>
      <c r="AC21" s="770"/>
      <c r="AD21" s="770"/>
      <c r="AE21" s="771"/>
      <c r="AF21" s="897">
        <f t="shared" si="2"/>
        <v>0</v>
      </c>
      <c r="AG21" s="895">
        <f t="shared" si="3"/>
        <v>0</v>
      </c>
      <c r="AH21" s="898" t="str">
        <f>IF(AND(P21=Y21,Y21=AF21),"","Error")</f>
        <v/>
      </c>
      <c r="AI21" s="863">
        <f>'Enterprise Template'!$E$2</f>
        <v>0</v>
      </c>
    </row>
    <row r="22" spans="1:35">
      <c r="A22" s="892" t="s">
        <v>386</v>
      </c>
      <c r="B22" s="893" t="s">
        <v>2696</v>
      </c>
      <c r="C22" s="772"/>
      <c r="D22" s="772"/>
      <c r="E22" s="772"/>
      <c r="F22" s="773"/>
      <c r="G22" s="773"/>
      <c r="H22" s="773"/>
      <c r="I22" s="773"/>
      <c r="J22" s="773"/>
      <c r="K22" s="773"/>
      <c r="L22" s="773"/>
      <c r="M22" s="773"/>
      <c r="N22" s="773"/>
      <c r="O22" s="774"/>
      <c r="P22" s="894">
        <f>IF(SUM(F22:O22)=(SUM(R22:U22)),(SUM(F22:O22)))</f>
        <v>0</v>
      </c>
      <c r="Q22" s="895">
        <f t="shared" si="6"/>
        <v>0</v>
      </c>
      <c r="R22" s="770"/>
      <c r="S22" s="770"/>
      <c r="T22" s="770"/>
      <c r="U22" s="770"/>
      <c r="V22" s="770"/>
      <c r="W22" s="770"/>
      <c r="X22" s="770"/>
      <c r="Y22" s="905">
        <f t="shared" si="7"/>
        <v>0</v>
      </c>
      <c r="Z22" s="895">
        <f t="shared" si="1"/>
        <v>0</v>
      </c>
      <c r="AA22" s="770"/>
      <c r="AB22" s="770"/>
      <c r="AC22" s="770"/>
      <c r="AD22" s="770"/>
      <c r="AE22" s="771"/>
      <c r="AF22" s="897">
        <f t="shared" si="2"/>
        <v>0</v>
      </c>
      <c r="AG22" s="895">
        <f t="shared" si="3"/>
        <v>0</v>
      </c>
      <c r="AH22" s="898" t="str">
        <f>IF(AND(P22=Y22,Y22=AF22),"","Error")</f>
        <v/>
      </c>
      <c r="AI22" s="863">
        <f>'Enterprise Template'!$E$2</f>
        <v>0</v>
      </c>
    </row>
    <row r="23" spans="1:35">
      <c r="A23" s="892" t="s">
        <v>386</v>
      </c>
      <c r="B23" s="893" t="s">
        <v>2696</v>
      </c>
      <c r="C23" s="772"/>
      <c r="D23" s="772"/>
      <c r="E23" s="772"/>
      <c r="F23" s="773"/>
      <c r="G23" s="773"/>
      <c r="H23" s="773"/>
      <c r="I23" s="773"/>
      <c r="J23" s="773"/>
      <c r="K23" s="773"/>
      <c r="L23" s="773"/>
      <c r="M23" s="773"/>
      <c r="N23" s="773"/>
      <c r="O23" s="774"/>
      <c r="P23" s="894">
        <f>IF(SUM(F23:O23)=(SUM(R23:U23)),(SUM(F23:O23)))</f>
        <v>0</v>
      </c>
      <c r="Q23" s="895">
        <f t="shared" si="6"/>
        <v>0</v>
      </c>
      <c r="R23" s="770"/>
      <c r="S23" s="770"/>
      <c r="T23" s="770"/>
      <c r="U23" s="770"/>
      <c r="V23" s="770"/>
      <c r="W23" s="770"/>
      <c r="X23" s="770"/>
      <c r="Y23" s="905">
        <f t="shared" si="7"/>
        <v>0</v>
      </c>
      <c r="Z23" s="895">
        <f t="shared" si="1"/>
        <v>0</v>
      </c>
      <c r="AA23" s="770"/>
      <c r="AB23" s="770"/>
      <c r="AC23" s="770"/>
      <c r="AD23" s="770"/>
      <c r="AE23" s="771"/>
      <c r="AF23" s="897">
        <f t="shared" si="2"/>
        <v>0</v>
      </c>
      <c r="AG23" s="895">
        <f t="shared" si="3"/>
        <v>0</v>
      </c>
      <c r="AH23" s="898" t="str">
        <f>IF(AND(P23=Y23,Y23=AF23),"","Error")</f>
        <v/>
      </c>
      <c r="AI23" s="863">
        <f>'Enterprise Template'!$E$2</f>
        <v>0</v>
      </c>
    </row>
    <row r="24" spans="1:35">
      <c r="A24" s="892" t="s">
        <v>386</v>
      </c>
      <c r="B24" s="893" t="s">
        <v>2696</v>
      </c>
      <c r="C24" s="772"/>
      <c r="D24" s="772"/>
      <c r="E24" s="772"/>
      <c r="F24" s="773"/>
      <c r="G24" s="773"/>
      <c r="H24" s="773"/>
      <c r="I24" s="773"/>
      <c r="J24" s="773"/>
      <c r="K24" s="773"/>
      <c r="L24" s="773"/>
      <c r="M24" s="773"/>
      <c r="N24" s="773"/>
      <c r="O24" s="774"/>
      <c r="P24" s="894">
        <f>IF(SUM(F24:O24)=(SUM(R24:U24)),(SUM(F24:O24)))</f>
        <v>0</v>
      </c>
      <c r="Q24" s="895">
        <f t="shared" si="6"/>
        <v>0</v>
      </c>
      <c r="R24" s="770"/>
      <c r="S24" s="770"/>
      <c r="T24" s="770"/>
      <c r="U24" s="770"/>
      <c r="V24" s="770"/>
      <c r="W24" s="770"/>
      <c r="X24" s="770"/>
      <c r="Y24" s="905">
        <f t="shared" si="7"/>
        <v>0</v>
      </c>
      <c r="Z24" s="895">
        <f t="shared" si="1"/>
        <v>0</v>
      </c>
      <c r="AA24" s="770"/>
      <c r="AB24" s="770"/>
      <c r="AC24" s="770"/>
      <c r="AD24" s="770"/>
      <c r="AE24" s="771"/>
      <c r="AF24" s="897">
        <f t="shared" si="2"/>
        <v>0</v>
      </c>
      <c r="AG24" s="895">
        <f t="shared" si="3"/>
        <v>0</v>
      </c>
      <c r="AH24" s="898" t="str">
        <f>IF(AND(P24=Y24,Y24=AF24),"","Error")</f>
        <v/>
      </c>
      <c r="AI24" s="863">
        <f>'Enterprise Template'!$E$2</f>
        <v>0</v>
      </c>
    </row>
    <row r="25" spans="1:35">
      <c r="A25" s="892"/>
      <c r="B25" s="863"/>
      <c r="C25" s="899"/>
      <c r="D25" s="863"/>
      <c r="E25" s="863"/>
      <c r="F25" s="863"/>
      <c r="G25" s="863"/>
      <c r="H25" s="863"/>
      <c r="I25" s="863"/>
      <c r="J25" s="863"/>
      <c r="K25" s="863"/>
      <c r="L25" s="863"/>
      <c r="M25" s="863"/>
      <c r="N25" s="863"/>
      <c r="O25" s="900"/>
      <c r="P25" s="863"/>
      <c r="Q25" s="901"/>
      <c r="R25" s="902"/>
      <c r="S25" s="902"/>
      <c r="T25" s="902"/>
      <c r="U25" s="902"/>
      <c r="V25" s="902"/>
      <c r="W25" s="902"/>
      <c r="X25" s="902"/>
      <c r="Y25" s="903"/>
      <c r="Z25" s="901"/>
      <c r="AA25" s="902"/>
      <c r="AB25" s="902"/>
      <c r="AC25" s="902"/>
      <c r="AD25" s="902"/>
      <c r="AE25" s="904"/>
      <c r="AF25" s="863"/>
      <c r="AG25" s="901"/>
      <c r="AH25" s="898"/>
      <c r="AI25" s="863"/>
    </row>
    <row r="26" spans="1:35">
      <c r="A26" s="892" t="s">
        <v>386</v>
      </c>
      <c r="B26" s="893" t="s">
        <v>682</v>
      </c>
      <c r="C26" s="772"/>
      <c r="D26" s="772"/>
      <c r="E26" s="772"/>
      <c r="F26" s="773"/>
      <c r="G26" s="773"/>
      <c r="H26" s="773"/>
      <c r="I26" s="773"/>
      <c r="J26" s="773"/>
      <c r="K26" s="773"/>
      <c r="L26" s="773"/>
      <c r="M26" s="773"/>
      <c r="N26" s="773"/>
      <c r="O26" s="774"/>
      <c r="P26" s="894">
        <f>IF(SUM(F26:O26)=(SUM(R26:U26)),(SUM(F26:O26)))</f>
        <v>0</v>
      </c>
      <c r="Q26" s="895">
        <f t="shared" ref="Q26:Q30" si="8">SUM(F26:O26)-SUM(R26:U26)</f>
        <v>0</v>
      </c>
      <c r="R26" s="770"/>
      <c r="S26" s="770"/>
      <c r="T26" s="770"/>
      <c r="U26" s="770"/>
      <c r="V26" s="770"/>
      <c r="W26" s="770"/>
      <c r="X26" s="770"/>
      <c r="Y26" s="905">
        <f t="shared" si="0"/>
        <v>0</v>
      </c>
      <c r="Z26" s="895">
        <f t="shared" si="1"/>
        <v>0</v>
      </c>
      <c r="AA26" s="770"/>
      <c r="AB26" s="770"/>
      <c r="AC26" s="770"/>
      <c r="AD26" s="770"/>
      <c r="AE26" s="771"/>
      <c r="AF26" s="897">
        <f t="shared" si="2"/>
        <v>0</v>
      </c>
      <c r="AG26" s="895">
        <f t="shared" si="3"/>
        <v>0</v>
      </c>
      <c r="AH26" s="898" t="str">
        <f>IF(AND(P26=Y26,Y26=AF26),"","Error")</f>
        <v/>
      </c>
      <c r="AI26" s="863">
        <f>'Enterprise Template'!$E$2</f>
        <v>0</v>
      </c>
    </row>
    <row r="27" spans="1:35">
      <c r="A27" s="892" t="s">
        <v>386</v>
      </c>
      <c r="B27" s="893" t="s">
        <v>682</v>
      </c>
      <c r="C27" s="772"/>
      <c r="D27" s="772"/>
      <c r="E27" s="772"/>
      <c r="F27" s="773"/>
      <c r="G27" s="773"/>
      <c r="H27" s="773"/>
      <c r="I27" s="773"/>
      <c r="J27" s="773"/>
      <c r="K27" s="773"/>
      <c r="L27" s="773"/>
      <c r="M27" s="773"/>
      <c r="N27" s="773"/>
      <c r="O27" s="774"/>
      <c r="P27" s="894">
        <f>IF(SUM(F27:O27)=(SUM(R27:U27)),(SUM(F27:O27)))</f>
        <v>0</v>
      </c>
      <c r="Q27" s="895">
        <f t="shared" si="8"/>
        <v>0</v>
      </c>
      <c r="R27" s="770"/>
      <c r="S27" s="770"/>
      <c r="T27" s="770"/>
      <c r="U27" s="770"/>
      <c r="V27" s="770"/>
      <c r="W27" s="770"/>
      <c r="X27" s="770"/>
      <c r="Y27" s="905">
        <f t="shared" ref="Y27:Y30" si="9">IF(SUM(R27:U27)=SUM(V27:X27), SUM(V27:X27),"Error")</f>
        <v>0</v>
      </c>
      <c r="Z27" s="895">
        <f t="shared" si="1"/>
        <v>0</v>
      </c>
      <c r="AA27" s="770"/>
      <c r="AB27" s="770"/>
      <c r="AC27" s="770"/>
      <c r="AD27" s="770"/>
      <c r="AE27" s="771"/>
      <c r="AF27" s="897">
        <f t="shared" si="2"/>
        <v>0</v>
      </c>
      <c r="AG27" s="895">
        <f t="shared" si="3"/>
        <v>0</v>
      </c>
      <c r="AH27" s="898" t="str">
        <f>IF(AND(P27=Y27,Y27=AF27),"","Error")</f>
        <v/>
      </c>
      <c r="AI27" s="863">
        <f>'Enterprise Template'!$E$2</f>
        <v>0</v>
      </c>
    </row>
    <row r="28" spans="1:35">
      <c r="A28" s="892" t="s">
        <v>386</v>
      </c>
      <c r="B28" s="893" t="s">
        <v>682</v>
      </c>
      <c r="C28" s="772"/>
      <c r="D28" s="772"/>
      <c r="E28" s="772"/>
      <c r="F28" s="773"/>
      <c r="G28" s="773"/>
      <c r="H28" s="773"/>
      <c r="I28" s="773"/>
      <c r="J28" s="773"/>
      <c r="K28" s="773"/>
      <c r="L28" s="773"/>
      <c r="M28" s="773"/>
      <c r="N28" s="773"/>
      <c r="O28" s="774"/>
      <c r="P28" s="894">
        <f>IF(SUM(F28:O28)=(SUM(R28:U28)),(SUM(F28:O28)))</f>
        <v>0</v>
      </c>
      <c r="Q28" s="895">
        <f t="shared" si="8"/>
        <v>0</v>
      </c>
      <c r="R28" s="770"/>
      <c r="S28" s="770"/>
      <c r="T28" s="770"/>
      <c r="U28" s="770"/>
      <c r="V28" s="770"/>
      <c r="W28" s="770"/>
      <c r="X28" s="770"/>
      <c r="Y28" s="905">
        <f t="shared" si="9"/>
        <v>0</v>
      </c>
      <c r="Z28" s="895">
        <f t="shared" si="1"/>
        <v>0</v>
      </c>
      <c r="AA28" s="770"/>
      <c r="AB28" s="770"/>
      <c r="AC28" s="770"/>
      <c r="AD28" s="770"/>
      <c r="AE28" s="771"/>
      <c r="AF28" s="897">
        <f t="shared" si="2"/>
        <v>0</v>
      </c>
      <c r="AG28" s="895">
        <f t="shared" si="3"/>
        <v>0</v>
      </c>
      <c r="AH28" s="898" t="str">
        <f>IF(AND(P28=Y28,Y28=AF28),"","Error")</f>
        <v/>
      </c>
      <c r="AI28" s="863">
        <f>'Enterprise Template'!$E$2</f>
        <v>0</v>
      </c>
    </row>
    <row r="29" spans="1:35">
      <c r="A29" s="892" t="s">
        <v>386</v>
      </c>
      <c r="B29" s="893" t="s">
        <v>682</v>
      </c>
      <c r="C29" s="772"/>
      <c r="D29" s="772"/>
      <c r="E29" s="772"/>
      <c r="F29" s="773"/>
      <c r="G29" s="773"/>
      <c r="H29" s="773"/>
      <c r="I29" s="773"/>
      <c r="J29" s="773"/>
      <c r="K29" s="773"/>
      <c r="L29" s="773"/>
      <c r="M29" s="773"/>
      <c r="N29" s="773"/>
      <c r="O29" s="774"/>
      <c r="P29" s="894">
        <f>IF(SUM(F29:O29)=(SUM(R29:U29)),(SUM(F29:O29)))</f>
        <v>0</v>
      </c>
      <c r="Q29" s="895">
        <f t="shared" si="8"/>
        <v>0</v>
      </c>
      <c r="R29" s="770"/>
      <c r="S29" s="770"/>
      <c r="T29" s="770"/>
      <c r="U29" s="770"/>
      <c r="V29" s="770"/>
      <c r="W29" s="770"/>
      <c r="X29" s="770"/>
      <c r="Y29" s="905">
        <f t="shared" si="9"/>
        <v>0</v>
      </c>
      <c r="Z29" s="895">
        <f t="shared" si="1"/>
        <v>0</v>
      </c>
      <c r="AA29" s="770"/>
      <c r="AB29" s="770"/>
      <c r="AC29" s="770"/>
      <c r="AD29" s="770"/>
      <c r="AE29" s="771"/>
      <c r="AF29" s="897">
        <f t="shared" si="2"/>
        <v>0</v>
      </c>
      <c r="AG29" s="895">
        <f t="shared" si="3"/>
        <v>0</v>
      </c>
      <c r="AH29" s="898" t="str">
        <f>IF(AND(P29=Y29,Y29=AF29),"","Error")</f>
        <v/>
      </c>
      <c r="AI29" s="863">
        <f>'Enterprise Template'!$E$2</f>
        <v>0</v>
      </c>
    </row>
    <row r="30" spans="1:35">
      <c r="A30" s="892" t="s">
        <v>386</v>
      </c>
      <c r="B30" s="893" t="s">
        <v>682</v>
      </c>
      <c r="C30" s="772"/>
      <c r="D30" s="772"/>
      <c r="E30" s="772"/>
      <c r="F30" s="773"/>
      <c r="G30" s="773"/>
      <c r="H30" s="773"/>
      <c r="I30" s="773"/>
      <c r="J30" s="773"/>
      <c r="K30" s="773"/>
      <c r="L30" s="773"/>
      <c r="M30" s="773"/>
      <c r="N30" s="773"/>
      <c r="O30" s="774"/>
      <c r="P30" s="894">
        <f>IF(SUM(F30:O30)=(SUM(R30:U30)),(SUM(F30:O30)))</f>
        <v>0</v>
      </c>
      <c r="Q30" s="895">
        <f t="shared" si="8"/>
        <v>0</v>
      </c>
      <c r="R30" s="770"/>
      <c r="S30" s="770"/>
      <c r="T30" s="770"/>
      <c r="U30" s="770"/>
      <c r="V30" s="770"/>
      <c r="W30" s="770"/>
      <c r="X30" s="770"/>
      <c r="Y30" s="905">
        <f t="shared" si="9"/>
        <v>0</v>
      </c>
      <c r="Z30" s="895">
        <f t="shared" si="1"/>
        <v>0</v>
      </c>
      <c r="AA30" s="770"/>
      <c r="AB30" s="770"/>
      <c r="AC30" s="770"/>
      <c r="AD30" s="770"/>
      <c r="AE30" s="771"/>
      <c r="AF30" s="897">
        <f t="shared" si="2"/>
        <v>0</v>
      </c>
      <c r="AG30" s="895">
        <f t="shared" si="3"/>
        <v>0</v>
      </c>
      <c r="AH30" s="898" t="str">
        <f>IF(AND(P30=Y30,Y30=AF30),"","Error")</f>
        <v/>
      </c>
      <c r="AI30" s="863">
        <f>'Enterprise Template'!$E$2</f>
        <v>0</v>
      </c>
    </row>
    <row r="31" spans="1:35">
      <c r="A31" s="892"/>
      <c r="B31" s="863"/>
      <c r="C31" s="899"/>
      <c r="D31" s="863"/>
      <c r="E31" s="863"/>
      <c r="F31" s="863"/>
      <c r="G31" s="863"/>
      <c r="H31" s="863"/>
      <c r="I31" s="863"/>
      <c r="J31" s="863"/>
      <c r="K31" s="863"/>
      <c r="L31" s="863"/>
      <c r="M31" s="863"/>
      <c r="N31" s="863"/>
      <c r="O31" s="900"/>
      <c r="P31" s="863"/>
      <c r="Q31" s="895"/>
      <c r="R31" s="902"/>
      <c r="S31" s="902"/>
      <c r="T31" s="902"/>
      <c r="U31" s="902"/>
      <c r="V31" s="902"/>
      <c r="W31" s="902"/>
      <c r="X31" s="902"/>
      <c r="Y31" s="905"/>
      <c r="Z31" s="895"/>
      <c r="AA31" s="902"/>
      <c r="AB31" s="902"/>
      <c r="AC31" s="902"/>
      <c r="AD31" s="902"/>
      <c r="AE31" s="904"/>
      <c r="AF31" s="863"/>
      <c r="AG31" s="901"/>
      <c r="AH31" s="898"/>
      <c r="AI31" s="863"/>
    </row>
    <row r="32" spans="1:35">
      <c r="A32" s="892" t="s">
        <v>386</v>
      </c>
      <c r="B32" s="893" t="s">
        <v>685</v>
      </c>
      <c r="C32" s="772"/>
      <c r="D32" s="772"/>
      <c r="E32" s="772"/>
      <c r="F32" s="773"/>
      <c r="G32" s="773"/>
      <c r="H32" s="773"/>
      <c r="I32" s="773"/>
      <c r="J32" s="773"/>
      <c r="K32" s="773"/>
      <c r="L32" s="773"/>
      <c r="M32" s="773"/>
      <c r="N32" s="773"/>
      <c r="O32" s="774"/>
      <c r="P32" s="894">
        <f>IF(SUM(F32:O32)=(SUM(R32:U32)),(SUM(F32:O32)))</f>
        <v>0</v>
      </c>
      <c r="Q32" s="895">
        <f t="shared" ref="Q32:Q36" si="10">SUM(F32:O32)-SUM(R32:U32)</f>
        <v>0</v>
      </c>
      <c r="R32" s="770"/>
      <c r="S32" s="770"/>
      <c r="T32" s="770"/>
      <c r="U32" s="770"/>
      <c r="V32" s="770"/>
      <c r="W32" s="770"/>
      <c r="X32" s="770"/>
      <c r="Y32" s="905">
        <f t="shared" si="0"/>
        <v>0</v>
      </c>
      <c r="Z32" s="895">
        <f t="shared" si="1"/>
        <v>0</v>
      </c>
      <c r="AA32" s="770"/>
      <c r="AB32" s="770"/>
      <c r="AC32" s="770"/>
      <c r="AD32" s="770"/>
      <c r="AE32" s="771"/>
      <c r="AF32" s="897">
        <f t="shared" si="2"/>
        <v>0</v>
      </c>
      <c r="AG32" s="895">
        <f t="shared" si="3"/>
        <v>0</v>
      </c>
      <c r="AH32" s="898" t="str">
        <f>IF(AND(P32=Y32,Y32=AF32),"","Error")</f>
        <v/>
      </c>
      <c r="AI32" s="863">
        <f>'Enterprise Template'!$E$2</f>
        <v>0</v>
      </c>
    </row>
    <row r="33" spans="1:35">
      <c r="A33" s="892" t="s">
        <v>386</v>
      </c>
      <c r="B33" s="893" t="s">
        <v>685</v>
      </c>
      <c r="C33" s="772"/>
      <c r="D33" s="772"/>
      <c r="E33" s="772"/>
      <c r="F33" s="773"/>
      <c r="G33" s="773"/>
      <c r="H33" s="773"/>
      <c r="I33" s="773"/>
      <c r="J33" s="773"/>
      <c r="K33" s="773"/>
      <c r="L33" s="773"/>
      <c r="M33" s="773"/>
      <c r="N33" s="773"/>
      <c r="O33" s="774"/>
      <c r="P33" s="894">
        <f>IF(SUM(F33:O33)=(SUM(R33:U33)),(SUM(F33:O33)))</f>
        <v>0</v>
      </c>
      <c r="Q33" s="895">
        <f t="shared" si="10"/>
        <v>0</v>
      </c>
      <c r="R33" s="770"/>
      <c r="S33" s="770"/>
      <c r="T33" s="770"/>
      <c r="U33" s="770"/>
      <c r="V33" s="770"/>
      <c r="W33" s="770"/>
      <c r="X33" s="770"/>
      <c r="Y33" s="905">
        <f t="shared" ref="Y33:Y36" si="11">IF(SUM(R33:U33)=SUM(V33:X33), SUM(V33:X33),"Error")</f>
        <v>0</v>
      </c>
      <c r="Z33" s="895">
        <f t="shared" si="1"/>
        <v>0</v>
      </c>
      <c r="AA33" s="770"/>
      <c r="AB33" s="770"/>
      <c r="AC33" s="770"/>
      <c r="AD33" s="770"/>
      <c r="AE33" s="771"/>
      <c r="AF33" s="897">
        <f t="shared" si="2"/>
        <v>0</v>
      </c>
      <c r="AG33" s="895">
        <f t="shared" si="3"/>
        <v>0</v>
      </c>
      <c r="AH33" s="898" t="str">
        <f>IF(AND(P33=Y33,Y33=AF33),"","Error")</f>
        <v/>
      </c>
      <c r="AI33" s="863">
        <f>'Enterprise Template'!$E$2</f>
        <v>0</v>
      </c>
    </row>
    <row r="34" spans="1:35">
      <c r="A34" s="892" t="s">
        <v>386</v>
      </c>
      <c r="B34" s="893" t="s">
        <v>685</v>
      </c>
      <c r="C34" s="772"/>
      <c r="D34" s="772"/>
      <c r="E34" s="772"/>
      <c r="F34" s="773"/>
      <c r="G34" s="773"/>
      <c r="H34" s="773"/>
      <c r="I34" s="773"/>
      <c r="J34" s="773"/>
      <c r="K34" s="773"/>
      <c r="L34" s="773"/>
      <c r="M34" s="773"/>
      <c r="N34" s="773"/>
      <c r="O34" s="774"/>
      <c r="P34" s="894">
        <f>IF(SUM(F34:O34)=(SUM(R34:U34)),(SUM(F34:O34)))</f>
        <v>0</v>
      </c>
      <c r="Q34" s="895">
        <f t="shared" si="10"/>
        <v>0</v>
      </c>
      <c r="R34" s="770"/>
      <c r="S34" s="770"/>
      <c r="T34" s="770"/>
      <c r="U34" s="770"/>
      <c r="V34" s="770"/>
      <c r="W34" s="770"/>
      <c r="X34" s="770"/>
      <c r="Y34" s="905">
        <f t="shared" si="11"/>
        <v>0</v>
      </c>
      <c r="Z34" s="895">
        <f t="shared" si="1"/>
        <v>0</v>
      </c>
      <c r="AA34" s="770"/>
      <c r="AB34" s="770"/>
      <c r="AC34" s="770"/>
      <c r="AD34" s="770"/>
      <c r="AE34" s="771"/>
      <c r="AF34" s="897">
        <f t="shared" si="2"/>
        <v>0</v>
      </c>
      <c r="AG34" s="895">
        <f t="shared" si="3"/>
        <v>0</v>
      </c>
      <c r="AH34" s="898" t="str">
        <f>IF(AND(P34=Y34,Y34=AF34),"","Error")</f>
        <v/>
      </c>
      <c r="AI34" s="863">
        <f>'Enterprise Template'!$E$2</f>
        <v>0</v>
      </c>
    </row>
    <row r="35" spans="1:35">
      <c r="A35" s="892" t="s">
        <v>386</v>
      </c>
      <c r="B35" s="893" t="s">
        <v>685</v>
      </c>
      <c r="C35" s="772"/>
      <c r="D35" s="772"/>
      <c r="E35" s="772"/>
      <c r="F35" s="773"/>
      <c r="G35" s="773"/>
      <c r="H35" s="773"/>
      <c r="I35" s="773"/>
      <c r="J35" s="773"/>
      <c r="K35" s="773"/>
      <c r="L35" s="773"/>
      <c r="M35" s="773"/>
      <c r="N35" s="773"/>
      <c r="O35" s="774"/>
      <c r="P35" s="894">
        <f>IF(SUM(F35:O35)=(SUM(R35:U35)),(SUM(F35:O35)))</f>
        <v>0</v>
      </c>
      <c r="Q35" s="895">
        <f t="shared" si="10"/>
        <v>0</v>
      </c>
      <c r="R35" s="770"/>
      <c r="S35" s="770"/>
      <c r="T35" s="770"/>
      <c r="U35" s="770"/>
      <c r="V35" s="770"/>
      <c r="W35" s="770"/>
      <c r="X35" s="770"/>
      <c r="Y35" s="905">
        <f t="shared" si="11"/>
        <v>0</v>
      </c>
      <c r="Z35" s="895">
        <f t="shared" si="1"/>
        <v>0</v>
      </c>
      <c r="AA35" s="770"/>
      <c r="AB35" s="770"/>
      <c r="AC35" s="770"/>
      <c r="AD35" s="770"/>
      <c r="AE35" s="771"/>
      <c r="AF35" s="897">
        <f t="shared" si="2"/>
        <v>0</v>
      </c>
      <c r="AG35" s="895">
        <f t="shared" si="3"/>
        <v>0</v>
      </c>
      <c r="AH35" s="898" t="str">
        <f>IF(AND(P35=Y35,Y35=AF35),"","Error")</f>
        <v/>
      </c>
      <c r="AI35" s="863">
        <f>'Enterprise Template'!$E$2</f>
        <v>0</v>
      </c>
    </row>
    <row r="36" spans="1:35">
      <c r="A36" s="892" t="s">
        <v>386</v>
      </c>
      <c r="B36" s="893" t="s">
        <v>685</v>
      </c>
      <c r="C36" s="772"/>
      <c r="D36" s="772"/>
      <c r="E36" s="772"/>
      <c r="F36" s="773"/>
      <c r="G36" s="773"/>
      <c r="H36" s="773"/>
      <c r="I36" s="773"/>
      <c r="J36" s="773"/>
      <c r="K36" s="773"/>
      <c r="L36" s="773"/>
      <c r="M36" s="773"/>
      <c r="N36" s="773"/>
      <c r="O36" s="774"/>
      <c r="P36" s="894">
        <f>IF(SUM(F36:O36)=(SUM(R36:U36)),(SUM(F36:O36)))</f>
        <v>0</v>
      </c>
      <c r="Q36" s="895">
        <f t="shared" si="10"/>
        <v>0</v>
      </c>
      <c r="R36" s="770"/>
      <c r="S36" s="770"/>
      <c r="T36" s="770"/>
      <c r="U36" s="770"/>
      <c r="V36" s="770"/>
      <c r="W36" s="770"/>
      <c r="X36" s="770"/>
      <c r="Y36" s="905">
        <f t="shared" si="11"/>
        <v>0</v>
      </c>
      <c r="Z36" s="895">
        <f t="shared" si="1"/>
        <v>0</v>
      </c>
      <c r="AA36" s="770"/>
      <c r="AB36" s="770"/>
      <c r="AC36" s="770"/>
      <c r="AD36" s="770"/>
      <c r="AE36" s="771"/>
      <c r="AF36" s="897">
        <f t="shared" si="2"/>
        <v>0</v>
      </c>
      <c r="AG36" s="895">
        <f t="shared" si="3"/>
        <v>0</v>
      </c>
      <c r="AH36" s="898" t="str">
        <f>IF(AND(P36=Y36,Y36=AF36),"","Error")</f>
        <v/>
      </c>
      <c r="AI36" s="863">
        <f>'Enterprise Template'!$E$2</f>
        <v>0</v>
      </c>
    </row>
    <row r="37" spans="1:35">
      <c r="A37" s="892"/>
      <c r="B37" s="863"/>
      <c r="C37" s="899"/>
      <c r="D37" s="863"/>
      <c r="E37" s="863"/>
      <c r="F37" s="863"/>
      <c r="G37" s="863"/>
      <c r="H37" s="863"/>
      <c r="I37" s="863"/>
      <c r="J37" s="863"/>
      <c r="K37" s="863"/>
      <c r="L37" s="863"/>
      <c r="M37" s="863"/>
      <c r="N37" s="863"/>
      <c r="O37" s="900"/>
      <c r="P37" s="863"/>
      <c r="Q37" s="901"/>
      <c r="R37" s="902"/>
      <c r="S37" s="902"/>
      <c r="T37" s="902"/>
      <c r="U37" s="902"/>
      <c r="V37" s="871"/>
      <c r="W37" s="871"/>
      <c r="X37" s="902"/>
      <c r="Y37" s="903"/>
      <c r="Z37" s="901"/>
      <c r="AA37" s="902"/>
      <c r="AB37" s="902"/>
      <c r="AC37" s="902"/>
      <c r="AD37" s="902"/>
      <c r="AE37" s="904"/>
      <c r="AF37" s="863"/>
      <c r="AG37" s="901"/>
      <c r="AH37" s="898"/>
      <c r="AI37" s="863"/>
    </row>
    <row r="38" spans="1:35">
      <c r="A38" s="892" t="s">
        <v>386</v>
      </c>
      <c r="B38" s="893" t="s">
        <v>686</v>
      </c>
      <c r="C38" s="772"/>
      <c r="D38" s="772"/>
      <c r="E38" s="772"/>
      <c r="F38" s="773"/>
      <c r="G38" s="773"/>
      <c r="H38" s="773"/>
      <c r="I38" s="773"/>
      <c r="J38" s="773"/>
      <c r="K38" s="773"/>
      <c r="L38" s="773"/>
      <c r="M38" s="773"/>
      <c r="N38" s="773"/>
      <c r="O38" s="774"/>
      <c r="P38" s="894">
        <f>IF(SUM(F38:O38)=(SUM(R38:U38)),(SUM(F38:O38)))</f>
        <v>0</v>
      </c>
      <c r="Q38" s="895">
        <f t="shared" ref="Q38:Q42" si="12">SUM(F38:O38)-SUM(R38:U38)</f>
        <v>0</v>
      </c>
      <c r="R38" s="770"/>
      <c r="S38" s="770"/>
      <c r="T38" s="770"/>
      <c r="U38" s="770"/>
      <c r="V38" s="894"/>
      <c r="W38" s="906"/>
      <c r="X38" s="770"/>
      <c r="Y38" s="905">
        <f t="shared" si="0"/>
        <v>0</v>
      </c>
      <c r="Z38" s="895">
        <f t="shared" si="1"/>
        <v>0</v>
      </c>
      <c r="AA38" s="770"/>
      <c r="AB38" s="770"/>
      <c r="AC38" s="770"/>
      <c r="AD38" s="770"/>
      <c r="AE38" s="771"/>
      <c r="AF38" s="897">
        <f t="shared" si="2"/>
        <v>0</v>
      </c>
      <c r="AG38" s="895">
        <f t="shared" si="3"/>
        <v>0</v>
      </c>
      <c r="AH38" s="898" t="str">
        <f>IF(AND(P38=Y38,Y38=AF38),"","Error")</f>
        <v/>
      </c>
      <c r="AI38" s="863">
        <f>'Enterprise Template'!$E$2</f>
        <v>0</v>
      </c>
    </row>
    <row r="39" spans="1:35">
      <c r="A39" s="892" t="s">
        <v>386</v>
      </c>
      <c r="B39" s="893" t="s">
        <v>686</v>
      </c>
      <c r="C39" s="772"/>
      <c r="D39" s="772"/>
      <c r="E39" s="772"/>
      <c r="F39" s="773"/>
      <c r="G39" s="773"/>
      <c r="H39" s="773"/>
      <c r="I39" s="773"/>
      <c r="J39" s="773"/>
      <c r="K39" s="773"/>
      <c r="L39" s="773"/>
      <c r="M39" s="773"/>
      <c r="N39" s="773"/>
      <c r="O39" s="774"/>
      <c r="P39" s="894">
        <f>IF(SUM(F39:O39)=(SUM(R39:U39)),(SUM(F39:O39)))</f>
        <v>0</v>
      </c>
      <c r="Q39" s="895">
        <f t="shared" si="12"/>
        <v>0</v>
      </c>
      <c r="R39" s="770"/>
      <c r="S39" s="770"/>
      <c r="T39" s="770"/>
      <c r="U39" s="770"/>
      <c r="V39" s="894"/>
      <c r="W39" s="906"/>
      <c r="X39" s="770"/>
      <c r="Y39" s="905">
        <f t="shared" ref="Y39:Y42" si="13">IF(SUM(R39:U39)=SUM(V39:X39), SUM(V39:X39),"Error")</f>
        <v>0</v>
      </c>
      <c r="Z39" s="895">
        <f t="shared" si="1"/>
        <v>0</v>
      </c>
      <c r="AA39" s="770"/>
      <c r="AB39" s="770"/>
      <c r="AC39" s="770"/>
      <c r="AD39" s="770"/>
      <c r="AE39" s="771"/>
      <c r="AF39" s="897">
        <f t="shared" si="2"/>
        <v>0</v>
      </c>
      <c r="AG39" s="895">
        <f t="shared" si="3"/>
        <v>0</v>
      </c>
      <c r="AH39" s="898" t="str">
        <f>IF(AND(P39=Y39,Y39=AF39),"","Error")</f>
        <v/>
      </c>
      <c r="AI39" s="863">
        <f>'Enterprise Template'!$E$2</f>
        <v>0</v>
      </c>
    </row>
    <row r="40" spans="1:35">
      <c r="A40" s="892" t="s">
        <v>386</v>
      </c>
      <c r="B40" s="893" t="s">
        <v>686</v>
      </c>
      <c r="C40" s="772"/>
      <c r="D40" s="772"/>
      <c r="E40" s="772"/>
      <c r="F40" s="773"/>
      <c r="G40" s="773"/>
      <c r="H40" s="773"/>
      <c r="I40" s="773"/>
      <c r="J40" s="773"/>
      <c r="K40" s="773"/>
      <c r="L40" s="773"/>
      <c r="M40" s="773"/>
      <c r="N40" s="773"/>
      <c r="O40" s="774"/>
      <c r="P40" s="894">
        <f>IF(SUM(F40:O40)=(SUM(R40:U40)),(SUM(F40:O40)))</f>
        <v>0</v>
      </c>
      <c r="Q40" s="895">
        <f t="shared" si="12"/>
        <v>0</v>
      </c>
      <c r="R40" s="770"/>
      <c r="S40" s="770"/>
      <c r="T40" s="770"/>
      <c r="U40" s="770"/>
      <c r="V40" s="894"/>
      <c r="W40" s="906"/>
      <c r="X40" s="770"/>
      <c r="Y40" s="905">
        <f t="shared" si="13"/>
        <v>0</v>
      </c>
      <c r="Z40" s="895">
        <f t="shared" si="1"/>
        <v>0</v>
      </c>
      <c r="AA40" s="770"/>
      <c r="AB40" s="770"/>
      <c r="AC40" s="770"/>
      <c r="AD40" s="770"/>
      <c r="AE40" s="771"/>
      <c r="AF40" s="897">
        <f t="shared" si="2"/>
        <v>0</v>
      </c>
      <c r="AG40" s="895">
        <f t="shared" si="3"/>
        <v>0</v>
      </c>
      <c r="AH40" s="898" t="str">
        <f>IF(AND(P40=Y40,Y40=AF40),"","Error")</f>
        <v/>
      </c>
      <c r="AI40" s="863">
        <f>'Enterprise Template'!$E$2</f>
        <v>0</v>
      </c>
    </row>
    <row r="41" spans="1:35">
      <c r="A41" s="892" t="s">
        <v>386</v>
      </c>
      <c r="B41" s="893" t="s">
        <v>686</v>
      </c>
      <c r="C41" s="772"/>
      <c r="D41" s="772"/>
      <c r="E41" s="772"/>
      <c r="F41" s="773"/>
      <c r="G41" s="773"/>
      <c r="H41" s="773"/>
      <c r="I41" s="773"/>
      <c r="J41" s="773"/>
      <c r="K41" s="773"/>
      <c r="L41" s="773"/>
      <c r="M41" s="773"/>
      <c r="N41" s="773"/>
      <c r="O41" s="774"/>
      <c r="P41" s="894">
        <f>IF(SUM(F41:O41)=(SUM(R41:U41)),(SUM(F41:O41)))</f>
        <v>0</v>
      </c>
      <c r="Q41" s="895">
        <f t="shared" si="12"/>
        <v>0</v>
      </c>
      <c r="R41" s="770"/>
      <c r="S41" s="770"/>
      <c r="T41" s="770"/>
      <c r="U41" s="770"/>
      <c r="V41" s="894"/>
      <c r="W41" s="906"/>
      <c r="X41" s="770"/>
      <c r="Y41" s="905">
        <f t="shared" si="13"/>
        <v>0</v>
      </c>
      <c r="Z41" s="895">
        <f t="shared" si="1"/>
        <v>0</v>
      </c>
      <c r="AA41" s="770"/>
      <c r="AB41" s="770"/>
      <c r="AC41" s="770"/>
      <c r="AD41" s="770"/>
      <c r="AE41" s="771"/>
      <c r="AF41" s="897">
        <f t="shared" si="2"/>
        <v>0</v>
      </c>
      <c r="AG41" s="895">
        <f t="shared" si="3"/>
        <v>0</v>
      </c>
      <c r="AH41" s="898" t="str">
        <f>IF(AND(P41=Y41,Y41=AF41),"","Error")</f>
        <v/>
      </c>
      <c r="AI41" s="863">
        <f>'Enterprise Template'!$E$2</f>
        <v>0</v>
      </c>
    </row>
    <row r="42" spans="1:35">
      <c r="A42" s="892" t="s">
        <v>386</v>
      </c>
      <c r="B42" s="893" t="s">
        <v>686</v>
      </c>
      <c r="C42" s="772"/>
      <c r="D42" s="772"/>
      <c r="E42" s="772"/>
      <c r="F42" s="773"/>
      <c r="G42" s="773"/>
      <c r="H42" s="773"/>
      <c r="I42" s="773"/>
      <c r="J42" s="773"/>
      <c r="K42" s="773"/>
      <c r="L42" s="773"/>
      <c r="M42" s="773"/>
      <c r="N42" s="773"/>
      <c r="O42" s="774"/>
      <c r="P42" s="894">
        <f>IF(SUM(F42:O42)=(SUM(R42:U42)),(SUM(F42:O42)))</f>
        <v>0</v>
      </c>
      <c r="Q42" s="895">
        <f t="shared" si="12"/>
        <v>0</v>
      </c>
      <c r="R42" s="770"/>
      <c r="S42" s="770"/>
      <c r="T42" s="770"/>
      <c r="U42" s="770"/>
      <c r="V42" s="894"/>
      <c r="W42" s="906"/>
      <c r="X42" s="770"/>
      <c r="Y42" s="905">
        <f t="shared" si="13"/>
        <v>0</v>
      </c>
      <c r="Z42" s="895">
        <f t="shared" si="1"/>
        <v>0</v>
      </c>
      <c r="AA42" s="770"/>
      <c r="AB42" s="770"/>
      <c r="AC42" s="770"/>
      <c r="AD42" s="770"/>
      <c r="AE42" s="771"/>
      <c r="AF42" s="897">
        <f t="shared" si="2"/>
        <v>0</v>
      </c>
      <c r="AG42" s="895">
        <f t="shared" si="3"/>
        <v>0</v>
      </c>
      <c r="AH42" s="898" t="str">
        <f>IF(AND(P42=Y42,Y42=AF42),"","Error")</f>
        <v/>
      </c>
      <c r="AI42" s="863">
        <f>'Enterprise Template'!$E$2</f>
        <v>0</v>
      </c>
    </row>
    <row r="43" spans="1:35">
      <c r="A43" s="892"/>
      <c r="B43" s="863"/>
      <c r="C43" s="899"/>
      <c r="D43" s="863"/>
      <c r="E43" s="863"/>
      <c r="F43" s="863"/>
      <c r="G43" s="863"/>
      <c r="H43" s="863"/>
      <c r="I43" s="863"/>
      <c r="J43" s="863"/>
      <c r="K43" s="863"/>
      <c r="L43" s="863"/>
      <c r="M43" s="863"/>
      <c r="N43" s="863"/>
      <c r="O43" s="900"/>
      <c r="P43" s="863"/>
      <c r="Q43" s="901"/>
      <c r="R43" s="902"/>
      <c r="S43" s="902"/>
      <c r="T43" s="902"/>
      <c r="U43" s="902"/>
      <c r="V43" s="907"/>
      <c r="W43" s="907"/>
      <c r="X43" s="902"/>
      <c r="Y43" s="903"/>
      <c r="Z43" s="901"/>
      <c r="AA43" s="902"/>
      <c r="AB43" s="902"/>
      <c r="AC43" s="902"/>
      <c r="AD43" s="902"/>
      <c r="AE43" s="904"/>
      <c r="AF43" s="863"/>
      <c r="AG43" s="901"/>
      <c r="AH43" s="898"/>
      <c r="AI43" s="863"/>
    </row>
    <row r="44" spans="1:35">
      <c r="A44" s="892" t="s">
        <v>386</v>
      </c>
      <c r="B44" s="893" t="s">
        <v>687</v>
      </c>
      <c r="C44" s="772"/>
      <c r="D44" s="772"/>
      <c r="E44" s="772"/>
      <c r="F44" s="773"/>
      <c r="G44" s="773"/>
      <c r="H44" s="773"/>
      <c r="I44" s="773"/>
      <c r="J44" s="773"/>
      <c r="K44" s="773"/>
      <c r="L44" s="773"/>
      <c r="M44" s="773"/>
      <c r="N44" s="773"/>
      <c r="O44" s="774"/>
      <c r="P44" s="894">
        <f>IF(SUM(F44:O44)=(SUM(R44:U44)),(SUM(F44:O44)))</f>
        <v>0</v>
      </c>
      <c r="Q44" s="895">
        <f t="shared" ref="Q44:Q48" si="14">SUM(F44:O44)-SUM(R44:U44)</f>
        <v>0</v>
      </c>
      <c r="R44" s="770"/>
      <c r="S44" s="770"/>
      <c r="T44" s="770"/>
      <c r="U44" s="770"/>
      <c r="V44" s="770"/>
      <c r="W44" s="770"/>
      <c r="X44" s="770"/>
      <c r="Y44" s="905">
        <f t="shared" si="0"/>
        <v>0</v>
      </c>
      <c r="Z44" s="895">
        <f t="shared" si="1"/>
        <v>0</v>
      </c>
      <c r="AA44" s="770"/>
      <c r="AB44" s="770"/>
      <c r="AC44" s="770"/>
      <c r="AD44" s="770"/>
      <c r="AE44" s="771"/>
      <c r="AF44" s="897">
        <f t="shared" si="2"/>
        <v>0</v>
      </c>
      <c r="AG44" s="895">
        <f t="shared" si="3"/>
        <v>0</v>
      </c>
      <c r="AH44" s="898" t="str">
        <f>IF(AND(P44=Y44,Y44=AF44),"","Error")</f>
        <v/>
      </c>
      <c r="AI44" s="863">
        <f>'Enterprise Template'!$E$2</f>
        <v>0</v>
      </c>
    </row>
    <row r="45" spans="1:35">
      <c r="A45" s="892" t="s">
        <v>386</v>
      </c>
      <c r="B45" s="893" t="s">
        <v>687</v>
      </c>
      <c r="C45" s="772"/>
      <c r="D45" s="772"/>
      <c r="E45" s="772"/>
      <c r="F45" s="773"/>
      <c r="G45" s="773"/>
      <c r="H45" s="773"/>
      <c r="I45" s="773"/>
      <c r="J45" s="773"/>
      <c r="K45" s="773"/>
      <c r="L45" s="773"/>
      <c r="M45" s="773"/>
      <c r="N45" s="773"/>
      <c r="O45" s="774"/>
      <c r="P45" s="894">
        <f>IF(SUM(F45:O45)=(SUM(R45:U45)),(SUM(F45:O45)))</f>
        <v>0</v>
      </c>
      <c r="Q45" s="895">
        <f t="shared" si="14"/>
        <v>0</v>
      </c>
      <c r="R45" s="770"/>
      <c r="S45" s="770"/>
      <c r="T45" s="770"/>
      <c r="U45" s="770"/>
      <c r="V45" s="770"/>
      <c r="W45" s="770"/>
      <c r="X45" s="770"/>
      <c r="Y45" s="905">
        <f t="shared" ref="Y45:Y48" si="15">IF(SUM(R45:U45)=SUM(V45:X45), SUM(V45:X45),"Error")</f>
        <v>0</v>
      </c>
      <c r="Z45" s="895">
        <f t="shared" si="1"/>
        <v>0</v>
      </c>
      <c r="AA45" s="770"/>
      <c r="AB45" s="770"/>
      <c r="AC45" s="770"/>
      <c r="AD45" s="770"/>
      <c r="AE45" s="771"/>
      <c r="AF45" s="897">
        <f t="shared" si="2"/>
        <v>0</v>
      </c>
      <c r="AG45" s="895">
        <f t="shared" si="3"/>
        <v>0</v>
      </c>
      <c r="AH45" s="898" t="str">
        <f>IF(AND(P45=Y45,Y45=AF45),"","Error")</f>
        <v/>
      </c>
      <c r="AI45" s="863">
        <f>'Enterprise Template'!$E$2</f>
        <v>0</v>
      </c>
    </row>
    <row r="46" spans="1:35">
      <c r="A46" s="892" t="s">
        <v>386</v>
      </c>
      <c r="B46" s="893" t="s">
        <v>687</v>
      </c>
      <c r="C46" s="772"/>
      <c r="D46" s="772"/>
      <c r="E46" s="772"/>
      <c r="F46" s="773"/>
      <c r="G46" s="773"/>
      <c r="H46" s="773"/>
      <c r="I46" s="773"/>
      <c r="J46" s="773"/>
      <c r="K46" s="773"/>
      <c r="L46" s="773"/>
      <c r="M46" s="773"/>
      <c r="N46" s="773"/>
      <c r="O46" s="774"/>
      <c r="P46" s="894">
        <f>IF(SUM(F46:O46)=(SUM(R46:U46)),(SUM(F46:O46)))</f>
        <v>0</v>
      </c>
      <c r="Q46" s="895">
        <f t="shared" si="14"/>
        <v>0</v>
      </c>
      <c r="R46" s="770"/>
      <c r="S46" s="770"/>
      <c r="T46" s="770"/>
      <c r="U46" s="770"/>
      <c r="V46" s="770"/>
      <c r="W46" s="770"/>
      <c r="X46" s="770"/>
      <c r="Y46" s="905">
        <f t="shared" si="15"/>
        <v>0</v>
      </c>
      <c r="Z46" s="895">
        <f t="shared" si="1"/>
        <v>0</v>
      </c>
      <c r="AA46" s="770"/>
      <c r="AB46" s="770"/>
      <c r="AC46" s="770"/>
      <c r="AD46" s="770"/>
      <c r="AE46" s="771"/>
      <c r="AF46" s="897">
        <f t="shared" si="2"/>
        <v>0</v>
      </c>
      <c r="AG46" s="895">
        <f t="shared" si="3"/>
        <v>0</v>
      </c>
      <c r="AH46" s="898" t="str">
        <f>IF(AND(P46=Y46,Y46=AF46),"","Error")</f>
        <v/>
      </c>
      <c r="AI46" s="863">
        <f>'Enterprise Template'!$E$2</f>
        <v>0</v>
      </c>
    </row>
    <row r="47" spans="1:35">
      <c r="A47" s="892" t="s">
        <v>386</v>
      </c>
      <c r="B47" s="893" t="s">
        <v>687</v>
      </c>
      <c r="C47" s="772"/>
      <c r="D47" s="772"/>
      <c r="E47" s="772"/>
      <c r="F47" s="773"/>
      <c r="G47" s="773"/>
      <c r="H47" s="773"/>
      <c r="I47" s="773"/>
      <c r="J47" s="773"/>
      <c r="K47" s="773"/>
      <c r="L47" s="773"/>
      <c r="M47" s="773"/>
      <c r="N47" s="773"/>
      <c r="O47" s="774"/>
      <c r="P47" s="894">
        <f>IF(SUM(F47:O47)=(SUM(R47:U47)),(SUM(F47:O47)))</f>
        <v>0</v>
      </c>
      <c r="Q47" s="895">
        <f t="shared" si="14"/>
        <v>0</v>
      </c>
      <c r="R47" s="770"/>
      <c r="S47" s="770"/>
      <c r="T47" s="770"/>
      <c r="U47" s="770"/>
      <c r="V47" s="770"/>
      <c r="W47" s="770"/>
      <c r="X47" s="770"/>
      <c r="Y47" s="905">
        <f t="shared" si="15"/>
        <v>0</v>
      </c>
      <c r="Z47" s="895">
        <f t="shared" si="1"/>
        <v>0</v>
      </c>
      <c r="AA47" s="770"/>
      <c r="AB47" s="770"/>
      <c r="AC47" s="770"/>
      <c r="AD47" s="770"/>
      <c r="AE47" s="771"/>
      <c r="AF47" s="897">
        <f t="shared" si="2"/>
        <v>0</v>
      </c>
      <c r="AG47" s="895">
        <f t="shared" si="3"/>
        <v>0</v>
      </c>
      <c r="AH47" s="898" t="str">
        <f>IF(AND(P47=Y47,Y47=AF47),"","Error")</f>
        <v/>
      </c>
      <c r="AI47" s="863">
        <f>'Enterprise Template'!$E$2</f>
        <v>0</v>
      </c>
    </row>
    <row r="48" spans="1:35">
      <c r="A48" s="892" t="s">
        <v>386</v>
      </c>
      <c r="B48" s="893" t="s">
        <v>687</v>
      </c>
      <c r="C48" s="772"/>
      <c r="D48" s="772"/>
      <c r="E48" s="772"/>
      <c r="F48" s="773"/>
      <c r="G48" s="773"/>
      <c r="H48" s="773"/>
      <c r="I48" s="773"/>
      <c r="J48" s="773"/>
      <c r="K48" s="773"/>
      <c r="L48" s="773"/>
      <c r="M48" s="773"/>
      <c r="N48" s="773"/>
      <c r="O48" s="774"/>
      <c r="P48" s="894">
        <f>IF(SUM(F48:O48)=(SUM(R48:U48)),(SUM(F48:O48)))</f>
        <v>0</v>
      </c>
      <c r="Q48" s="895">
        <f t="shared" si="14"/>
        <v>0</v>
      </c>
      <c r="R48" s="770"/>
      <c r="S48" s="770"/>
      <c r="T48" s="770"/>
      <c r="U48" s="770"/>
      <c r="V48" s="770"/>
      <c r="W48" s="770"/>
      <c r="X48" s="770"/>
      <c r="Y48" s="905">
        <f t="shared" si="15"/>
        <v>0</v>
      </c>
      <c r="Z48" s="895">
        <f t="shared" si="1"/>
        <v>0</v>
      </c>
      <c r="AA48" s="770"/>
      <c r="AB48" s="770"/>
      <c r="AC48" s="770"/>
      <c r="AD48" s="770"/>
      <c r="AE48" s="771"/>
      <c r="AF48" s="897">
        <f t="shared" si="2"/>
        <v>0</v>
      </c>
      <c r="AG48" s="895">
        <f t="shared" si="3"/>
        <v>0</v>
      </c>
      <c r="AH48" s="898" t="str">
        <f>IF(AND(P48=Y48,Y48=AF48),"","Error")</f>
        <v/>
      </c>
      <c r="AI48" s="863">
        <f>'Enterprise Template'!$E$2</f>
        <v>0</v>
      </c>
    </row>
    <row r="49" spans="1:35">
      <c r="A49" s="892"/>
      <c r="B49" s="863"/>
      <c r="C49" s="899"/>
      <c r="D49" s="863"/>
      <c r="E49" s="863"/>
      <c r="F49" s="863"/>
      <c r="G49" s="863"/>
      <c r="H49" s="863"/>
      <c r="I49" s="863"/>
      <c r="J49" s="863"/>
      <c r="K49" s="863"/>
      <c r="L49" s="863"/>
      <c r="M49" s="863"/>
      <c r="N49" s="863"/>
      <c r="O49" s="900"/>
      <c r="P49" s="863"/>
      <c r="Q49" s="901"/>
      <c r="R49" s="902"/>
      <c r="S49" s="902"/>
      <c r="T49" s="902"/>
      <c r="U49" s="902"/>
      <c r="V49" s="902"/>
      <c r="W49" s="902"/>
      <c r="X49" s="902"/>
      <c r="Y49" s="903"/>
      <c r="Z49" s="901"/>
      <c r="AA49" s="902"/>
      <c r="AB49" s="902"/>
      <c r="AC49" s="902"/>
      <c r="AD49" s="902"/>
      <c r="AE49" s="904"/>
      <c r="AF49" s="863"/>
      <c r="AG49" s="901"/>
      <c r="AH49" s="898"/>
      <c r="AI49" s="863"/>
    </row>
    <row r="50" spans="1:35">
      <c r="A50" s="892" t="s">
        <v>386</v>
      </c>
      <c r="B50" s="893" t="s">
        <v>688</v>
      </c>
      <c r="C50" s="772"/>
      <c r="D50" s="772"/>
      <c r="E50" s="772"/>
      <c r="F50" s="773"/>
      <c r="G50" s="773"/>
      <c r="H50" s="773"/>
      <c r="I50" s="773"/>
      <c r="J50" s="773"/>
      <c r="K50" s="773"/>
      <c r="L50" s="773"/>
      <c r="M50" s="773"/>
      <c r="N50" s="773"/>
      <c r="O50" s="774"/>
      <c r="P50" s="894">
        <f>IF(SUM(F50:O50)=(SUM(R50:U50)),(SUM(F50:O50)))</f>
        <v>0</v>
      </c>
      <c r="Q50" s="895">
        <f t="shared" ref="Q50:Q54" si="16">SUM(F50:O50)-SUM(R50:U50)</f>
        <v>0</v>
      </c>
      <c r="R50" s="770"/>
      <c r="S50" s="770"/>
      <c r="T50" s="770"/>
      <c r="U50" s="770"/>
      <c r="V50" s="770"/>
      <c r="W50" s="770"/>
      <c r="X50" s="770"/>
      <c r="Y50" s="905">
        <f t="shared" si="0"/>
        <v>0</v>
      </c>
      <c r="Z50" s="895">
        <f t="shared" si="1"/>
        <v>0</v>
      </c>
      <c r="AA50" s="770"/>
      <c r="AB50" s="770"/>
      <c r="AC50" s="770"/>
      <c r="AD50" s="770"/>
      <c r="AE50" s="771"/>
      <c r="AF50" s="897">
        <f t="shared" si="2"/>
        <v>0</v>
      </c>
      <c r="AG50" s="895">
        <f t="shared" si="3"/>
        <v>0</v>
      </c>
      <c r="AH50" s="898" t="str">
        <f>IF(AND(P50=Y50,Y50=AF50),"","Error")</f>
        <v/>
      </c>
      <c r="AI50" s="863">
        <f>'Enterprise Template'!$E$2</f>
        <v>0</v>
      </c>
    </row>
    <row r="51" spans="1:35">
      <c r="A51" s="892" t="s">
        <v>386</v>
      </c>
      <c r="B51" s="893" t="s">
        <v>688</v>
      </c>
      <c r="C51" s="772"/>
      <c r="D51" s="772"/>
      <c r="E51" s="772"/>
      <c r="F51" s="773"/>
      <c r="G51" s="773"/>
      <c r="H51" s="773"/>
      <c r="I51" s="773"/>
      <c r="J51" s="773"/>
      <c r="K51" s="773"/>
      <c r="L51" s="773"/>
      <c r="M51" s="773"/>
      <c r="N51" s="773"/>
      <c r="O51" s="774"/>
      <c r="P51" s="894">
        <f>IF(SUM(F51:O51)=(SUM(R51:U51)),(SUM(F51:O51)))</f>
        <v>0</v>
      </c>
      <c r="Q51" s="895">
        <f t="shared" si="16"/>
        <v>0</v>
      </c>
      <c r="R51" s="770"/>
      <c r="S51" s="770"/>
      <c r="T51" s="770"/>
      <c r="U51" s="770"/>
      <c r="V51" s="770"/>
      <c r="W51" s="770"/>
      <c r="X51" s="770"/>
      <c r="Y51" s="905">
        <f t="shared" ref="Y51:Y54" si="17">IF(SUM(R51:U51)=SUM(V51:X51), SUM(V51:X51),"Error")</f>
        <v>0</v>
      </c>
      <c r="Z51" s="895">
        <f t="shared" si="1"/>
        <v>0</v>
      </c>
      <c r="AA51" s="770"/>
      <c r="AB51" s="770"/>
      <c r="AC51" s="770"/>
      <c r="AD51" s="770"/>
      <c r="AE51" s="771"/>
      <c r="AF51" s="897">
        <f t="shared" si="2"/>
        <v>0</v>
      </c>
      <c r="AG51" s="895">
        <f t="shared" si="3"/>
        <v>0</v>
      </c>
      <c r="AH51" s="898" t="str">
        <f>IF(AND(P51=Y51,Y51=AF51),"","Error")</f>
        <v/>
      </c>
      <c r="AI51" s="863">
        <f>'Enterprise Template'!$E$2</f>
        <v>0</v>
      </c>
    </row>
    <row r="52" spans="1:35">
      <c r="A52" s="892" t="s">
        <v>386</v>
      </c>
      <c r="B52" s="893" t="s">
        <v>688</v>
      </c>
      <c r="C52" s="772"/>
      <c r="D52" s="772"/>
      <c r="E52" s="772"/>
      <c r="F52" s="773"/>
      <c r="G52" s="773"/>
      <c r="H52" s="773"/>
      <c r="I52" s="773"/>
      <c r="J52" s="773"/>
      <c r="K52" s="773"/>
      <c r="L52" s="773"/>
      <c r="M52" s="773"/>
      <c r="N52" s="773"/>
      <c r="O52" s="774"/>
      <c r="P52" s="894">
        <f>IF(SUM(F52:O52)=(SUM(R52:U52)),(SUM(F52:O52)))</f>
        <v>0</v>
      </c>
      <c r="Q52" s="895">
        <f t="shared" si="16"/>
        <v>0</v>
      </c>
      <c r="R52" s="770"/>
      <c r="S52" s="770"/>
      <c r="T52" s="770"/>
      <c r="U52" s="770"/>
      <c r="V52" s="770"/>
      <c r="W52" s="770"/>
      <c r="X52" s="770"/>
      <c r="Y52" s="905">
        <f t="shared" si="17"/>
        <v>0</v>
      </c>
      <c r="Z52" s="895">
        <f t="shared" si="1"/>
        <v>0</v>
      </c>
      <c r="AA52" s="770"/>
      <c r="AB52" s="770"/>
      <c r="AC52" s="770"/>
      <c r="AD52" s="770"/>
      <c r="AE52" s="771"/>
      <c r="AF52" s="897">
        <f t="shared" si="2"/>
        <v>0</v>
      </c>
      <c r="AG52" s="895">
        <f t="shared" si="3"/>
        <v>0</v>
      </c>
      <c r="AH52" s="898" t="str">
        <f>IF(AND(P52=Y52,Y52=AF52),"","Error")</f>
        <v/>
      </c>
      <c r="AI52" s="863">
        <f>'Enterprise Template'!$E$2</f>
        <v>0</v>
      </c>
    </row>
    <row r="53" spans="1:35">
      <c r="A53" s="892" t="s">
        <v>386</v>
      </c>
      <c r="B53" s="893" t="s">
        <v>688</v>
      </c>
      <c r="C53" s="772"/>
      <c r="D53" s="772"/>
      <c r="E53" s="772"/>
      <c r="F53" s="773"/>
      <c r="G53" s="773"/>
      <c r="H53" s="773"/>
      <c r="I53" s="773"/>
      <c r="J53" s="773"/>
      <c r="K53" s="773"/>
      <c r="L53" s="773"/>
      <c r="M53" s="773"/>
      <c r="N53" s="773"/>
      <c r="O53" s="774"/>
      <c r="P53" s="894">
        <f>IF(SUM(F53:O53)=(SUM(R53:U53)),(SUM(F53:O53)))</f>
        <v>0</v>
      </c>
      <c r="Q53" s="895">
        <f t="shared" si="16"/>
        <v>0</v>
      </c>
      <c r="R53" s="770"/>
      <c r="S53" s="770"/>
      <c r="T53" s="770"/>
      <c r="U53" s="770"/>
      <c r="V53" s="770"/>
      <c r="W53" s="770"/>
      <c r="X53" s="770"/>
      <c r="Y53" s="905">
        <f t="shared" si="17"/>
        <v>0</v>
      </c>
      <c r="Z53" s="895">
        <f t="shared" si="1"/>
        <v>0</v>
      </c>
      <c r="AA53" s="770"/>
      <c r="AB53" s="770"/>
      <c r="AC53" s="770"/>
      <c r="AD53" s="770"/>
      <c r="AE53" s="771"/>
      <c r="AF53" s="897">
        <f t="shared" si="2"/>
        <v>0</v>
      </c>
      <c r="AG53" s="895">
        <f t="shared" si="3"/>
        <v>0</v>
      </c>
      <c r="AH53" s="898" t="str">
        <f>IF(AND(P53=Y53,Y53=AF53),"","Error")</f>
        <v/>
      </c>
      <c r="AI53" s="863">
        <f>'Enterprise Template'!$E$2</f>
        <v>0</v>
      </c>
    </row>
    <row r="54" spans="1:35">
      <c r="A54" s="892" t="s">
        <v>386</v>
      </c>
      <c r="B54" s="893" t="s">
        <v>688</v>
      </c>
      <c r="C54" s="772"/>
      <c r="D54" s="772"/>
      <c r="E54" s="772"/>
      <c r="F54" s="773"/>
      <c r="G54" s="773"/>
      <c r="H54" s="773"/>
      <c r="I54" s="773"/>
      <c r="J54" s="773"/>
      <c r="K54" s="773"/>
      <c r="L54" s="773"/>
      <c r="M54" s="773"/>
      <c r="N54" s="773"/>
      <c r="O54" s="774"/>
      <c r="P54" s="894">
        <f>IF(SUM(F54:O54)=(SUM(R54:U54)),(SUM(F54:O54)))</f>
        <v>0</v>
      </c>
      <c r="Q54" s="895">
        <f t="shared" si="16"/>
        <v>0</v>
      </c>
      <c r="R54" s="770"/>
      <c r="S54" s="770"/>
      <c r="T54" s="770"/>
      <c r="U54" s="770"/>
      <c r="V54" s="770"/>
      <c r="W54" s="770"/>
      <c r="X54" s="770"/>
      <c r="Y54" s="905">
        <f t="shared" si="17"/>
        <v>0</v>
      </c>
      <c r="Z54" s="895">
        <f t="shared" si="1"/>
        <v>0</v>
      </c>
      <c r="AA54" s="770"/>
      <c r="AB54" s="770"/>
      <c r="AC54" s="770"/>
      <c r="AD54" s="770"/>
      <c r="AE54" s="771"/>
      <c r="AF54" s="897">
        <f t="shared" si="2"/>
        <v>0</v>
      </c>
      <c r="AG54" s="895">
        <f t="shared" si="3"/>
        <v>0</v>
      </c>
      <c r="AH54" s="898" t="str">
        <f>IF(AND(P54=Y54,Y54=AF54),"","Error")</f>
        <v/>
      </c>
      <c r="AI54" s="863">
        <f>'Enterprise Template'!$E$2</f>
        <v>0</v>
      </c>
    </row>
    <row r="55" spans="1:35">
      <c r="A55" s="892"/>
      <c r="B55" s="863"/>
      <c r="C55" s="899"/>
      <c r="D55" s="863"/>
      <c r="E55" s="863"/>
      <c r="F55" s="863"/>
      <c r="G55" s="863"/>
      <c r="H55" s="863"/>
      <c r="I55" s="863"/>
      <c r="J55" s="863"/>
      <c r="K55" s="863"/>
      <c r="L55" s="863"/>
      <c r="M55" s="863"/>
      <c r="N55" s="863"/>
      <c r="O55" s="900"/>
      <c r="P55" s="863"/>
      <c r="Q55" s="901"/>
      <c r="R55" s="902"/>
      <c r="S55" s="902"/>
      <c r="T55" s="902"/>
      <c r="U55" s="902"/>
      <c r="V55" s="902"/>
      <c r="W55" s="902"/>
      <c r="X55" s="902"/>
      <c r="Y55" s="903"/>
      <c r="Z55" s="901"/>
      <c r="AA55" s="902"/>
      <c r="AB55" s="902"/>
      <c r="AC55" s="902"/>
      <c r="AD55" s="902"/>
      <c r="AE55" s="904"/>
      <c r="AF55" s="863"/>
      <c r="AG55" s="901"/>
      <c r="AH55" s="898"/>
      <c r="AI55" s="863"/>
    </row>
    <row r="56" spans="1:35">
      <c r="A56" s="892" t="s">
        <v>386</v>
      </c>
      <c r="B56" s="893" t="s">
        <v>689</v>
      </c>
      <c r="C56" s="772"/>
      <c r="D56" s="772"/>
      <c r="E56" s="772"/>
      <c r="F56" s="773"/>
      <c r="G56" s="773"/>
      <c r="H56" s="773"/>
      <c r="I56" s="773"/>
      <c r="J56" s="773"/>
      <c r="K56" s="773"/>
      <c r="L56" s="773"/>
      <c r="M56" s="773"/>
      <c r="N56" s="773"/>
      <c r="O56" s="774"/>
      <c r="P56" s="894">
        <f>IF(SUM(F56:O56)=(SUM(R56:U56)),(SUM(F56:O56)))</f>
        <v>0</v>
      </c>
      <c r="Q56" s="895">
        <f t="shared" ref="Q56:Q60" si="18">SUM(F56:O56)-SUM(R56:U56)</f>
        <v>0</v>
      </c>
      <c r="R56" s="770"/>
      <c r="S56" s="770"/>
      <c r="T56" s="770"/>
      <c r="U56" s="770"/>
      <c r="V56" s="770"/>
      <c r="W56" s="770"/>
      <c r="X56" s="770"/>
      <c r="Y56" s="905">
        <f t="shared" si="0"/>
        <v>0</v>
      </c>
      <c r="Z56" s="895">
        <f t="shared" si="1"/>
        <v>0</v>
      </c>
      <c r="AA56" s="770"/>
      <c r="AB56" s="770"/>
      <c r="AC56" s="770"/>
      <c r="AD56" s="770"/>
      <c r="AE56" s="771"/>
      <c r="AF56" s="897">
        <f t="shared" si="2"/>
        <v>0</v>
      </c>
      <c r="AG56" s="895">
        <f t="shared" si="3"/>
        <v>0</v>
      </c>
      <c r="AH56" s="898" t="str">
        <f>IF(AND(P56=Y56,Y56=AF56),"","Error")</f>
        <v/>
      </c>
      <c r="AI56" s="863">
        <f>'Enterprise Template'!$E$2</f>
        <v>0</v>
      </c>
    </row>
    <row r="57" spans="1:35">
      <c r="A57" s="892" t="s">
        <v>386</v>
      </c>
      <c r="B57" s="893" t="s">
        <v>689</v>
      </c>
      <c r="C57" s="772"/>
      <c r="D57" s="772"/>
      <c r="E57" s="772"/>
      <c r="F57" s="773"/>
      <c r="G57" s="773"/>
      <c r="H57" s="773"/>
      <c r="I57" s="773"/>
      <c r="J57" s="773"/>
      <c r="K57" s="773"/>
      <c r="L57" s="773"/>
      <c r="M57" s="773"/>
      <c r="N57" s="773"/>
      <c r="O57" s="774"/>
      <c r="P57" s="894">
        <f>IF(SUM(F57:O57)=(SUM(R57:U57)),(SUM(F57:O57)))</f>
        <v>0</v>
      </c>
      <c r="Q57" s="895">
        <f t="shared" si="18"/>
        <v>0</v>
      </c>
      <c r="R57" s="770"/>
      <c r="S57" s="770"/>
      <c r="T57" s="770"/>
      <c r="U57" s="770"/>
      <c r="V57" s="770"/>
      <c r="W57" s="770"/>
      <c r="X57" s="770"/>
      <c r="Y57" s="905">
        <f t="shared" ref="Y57:Y60" si="19">IF(SUM(R57:U57)=SUM(V57:X57), SUM(V57:X57),"Error")</f>
        <v>0</v>
      </c>
      <c r="Z57" s="895">
        <f t="shared" si="1"/>
        <v>0</v>
      </c>
      <c r="AA57" s="770"/>
      <c r="AB57" s="770"/>
      <c r="AC57" s="770"/>
      <c r="AD57" s="770"/>
      <c r="AE57" s="771"/>
      <c r="AF57" s="897">
        <f t="shared" si="2"/>
        <v>0</v>
      </c>
      <c r="AG57" s="895">
        <f t="shared" si="3"/>
        <v>0</v>
      </c>
      <c r="AH57" s="898" t="str">
        <f>IF(AND(P57=Y57,Y57=AF57),"","Error")</f>
        <v/>
      </c>
      <c r="AI57" s="863">
        <f>'Enterprise Template'!$E$2</f>
        <v>0</v>
      </c>
    </row>
    <row r="58" spans="1:35">
      <c r="A58" s="892" t="s">
        <v>386</v>
      </c>
      <c r="B58" s="893" t="s">
        <v>689</v>
      </c>
      <c r="C58" s="772"/>
      <c r="D58" s="772"/>
      <c r="E58" s="772"/>
      <c r="F58" s="773"/>
      <c r="G58" s="773"/>
      <c r="H58" s="773"/>
      <c r="I58" s="773"/>
      <c r="J58" s="773"/>
      <c r="K58" s="773"/>
      <c r="L58" s="773"/>
      <c r="M58" s="773"/>
      <c r="N58" s="773"/>
      <c r="O58" s="774"/>
      <c r="P58" s="894">
        <f>IF(SUM(F58:O58)=(SUM(R58:U58)),(SUM(F58:O58)))</f>
        <v>0</v>
      </c>
      <c r="Q58" s="895">
        <f t="shared" si="18"/>
        <v>0</v>
      </c>
      <c r="R58" s="770"/>
      <c r="S58" s="770"/>
      <c r="T58" s="770"/>
      <c r="U58" s="770"/>
      <c r="V58" s="770"/>
      <c r="W58" s="770"/>
      <c r="X58" s="770"/>
      <c r="Y58" s="905">
        <f t="shared" si="19"/>
        <v>0</v>
      </c>
      <c r="Z58" s="895">
        <f t="shared" si="1"/>
        <v>0</v>
      </c>
      <c r="AA58" s="770"/>
      <c r="AB58" s="770"/>
      <c r="AC58" s="770"/>
      <c r="AD58" s="770"/>
      <c r="AE58" s="771"/>
      <c r="AF58" s="897">
        <f t="shared" si="2"/>
        <v>0</v>
      </c>
      <c r="AG58" s="895">
        <f t="shared" si="3"/>
        <v>0</v>
      </c>
      <c r="AH58" s="898" t="str">
        <f>IF(AND(P58=Y58,Y58=AF58),"","Error")</f>
        <v/>
      </c>
      <c r="AI58" s="863">
        <f>'Enterprise Template'!$E$2</f>
        <v>0</v>
      </c>
    </row>
    <row r="59" spans="1:35">
      <c r="A59" s="892" t="s">
        <v>386</v>
      </c>
      <c r="B59" s="893" t="s">
        <v>689</v>
      </c>
      <c r="C59" s="772"/>
      <c r="D59" s="772"/>
      <c r="E59" s="772"/>
      <c r="F59" s="773"/>
      <c r="G59" s="773"/>
      <c r="H59" s="773"/>
      <c r="I59" s="773"/>
      <c r="J59" s="773"/>
      <c r="K59" s="773"/>
      <c r="L59" s="773"/>
      <c r="M59" s="773"/>
      <c r="N59" s="773"/>
      <c r="O59" s="774"/>
      <c r="P59" s="894">
        <f>IF(SUM(F59:O59)=(SUM(R59:U59)),(SUM(F59:O59)))</f>
        <v>0</v>
      </c>
      <c r="Q59" s="895">
        <f t="shared" si="18"/>
        <v>0</v>
      </c>
      <c r="R59" s="770"/>
      <c r="S59" s="770"/>
      <c r="T59" s="770"/>
      <c r="U59" s="770"/>
      <c r="V59" s="770"/>
      <c r="W59" s="770"/>
      <c r="X59" s="770"/>
      <c r="Y59" s="905">
        <f t="shared" si="19"/>
        <v>0</v>
      </c>
      <c r="Z59" s="895">
        <f t="shared" si="1"/>
        <v>0</v>
      </c>
      <c r="AA59" s="770"/>
      <c r="AB59" s="770"/>
      <c r="AC59" s="770"/>
      <c r="AD59" s="770"/>
      <c r="AE59" s="771"/>
      <c r="AF59" s="897">
        <f t="shared" si="2"/>
        <v>0</v>
      </c>
      <c r="AG59" s="895">
        <f t="shared" si="3"/>
        <v>0</v>
      </c>
      <c r="AH59" s="898" t="str">
        <f>IF(AND(P59=Y59,Y59=AF59),"","Error")</f>
        <v/>
      </c>
      <c r="AI59" s="863">
        <f>'Enterprise Template'!$E$2</f>
        <v>0</v>
      </c>
    </row>
    <row r="60" spans="1:35">
      <c r="A60" s="892" t="s">
        <v>386</v>
      </c>
      <c r="B60" s="893" t="s">
        <v>689</v>
      </c>
      <c r="C60" s="772"/>
      <c r="D60" s="772"/>
      <c r="E60" s="772"/>
      <c r="F60" s="773"/>
      <c r="G60" s="773"/>
      <c r="H60" s="773"/>
      <c r="I60" s="773"/>
      <c r="J60" s="773"/>
      <c r="K60" s="773"/>
      <c r="L60" s="773"/>
      <c r="M60" s="773"/>
      <c r="N60" s="773"/>
      <c r="O60" s="774"/>
      <c r="P60" s="894">
        <f>IF(SUM(F60:O60)=(SUM(R60:U60)),(SUM(F60:O60)))</f>
        <v>0</v>
      </c>
      <c r="Q60" s="895">
        <f t="shared" si="18"/>
        <v>0</v>
      </c>
      <c r="R60" s="770"/>
      <c r="S60" s="770"/>
      <c r="T60" s="770"/>
      <c r="U60" s="770"/>
      <c r="V60" s="770"/>
      <c r="W60" s="770"/>
      <c r="X60" s="770"/>
      <c r="Y60" s="905">
        <f t="shared" si="19"/>
        <v>0</v>
      </c>
      <c r="Z60" s="895">
        <f t="shared" si="1"/>
        <v>0</v>
      </c>
      <c r="AA60" s="770"/>
      <c r="AB60" s="770"/>
      <c r="AC60" s="770"/>
      <c r="AD60" s="770"/>
      <c r="AE60" s="771"/>
      <c r="AF60" s="897">
        <f t="shared" si="2"/>
        <v>0</v>
      </c>
      <c r="AG60" s="895">
        <f t="shared" si="3"/>
        <v>0</v>
      </c>
      <c r="AH60" s="898" t="str">
        <f>IF(AND(P60=Y60,Y60=AF60),"","Error")</f>
        <v/>
      </c>
      <c r="AI60" s="863">
        <f>'Enterprise Template'!$E$2</f>
        <v>0</v>
      </c>
    </row>
    <row r="61" spans="1:35">
      <c r="A61" s="892"/>
      <c r="B61" s="863"/>
      <c r="C61" s="899"/>
      <c r="D61" s="863"/>
      <c r="E61" s="863"/>
      <c r="F61" s="863"/>
      <c r="G61" s="863"/>
      <c r="H61" s="863"/>
      <c r="I61" s="863"/>
      <c r="J61" s="863"/>
      <c r="K61" s="863"/>
      <c r="L61" s="863"/>
      <c r="M61" s="863"/>
      <c r="N61" s="863"/>
      <c r="O61" s="900"/>
      <c r="P61" s="863"/>
      <c r="Q61" s="901"/>
      <c r="R61" s="902"/>
      <c r="S61" s="902"/>
      <c r="T61" s="902"/>
      <c r="U61" s="902"/>
      <c r="V61" s="902"/>
      <c r="W61" s="902"/>
      <c r="X61" s="902"/>
      <c r="Y61" s="903"/>
      <c r="Z61" s="901"/>
      <c r="AA61" s="902"/>
      <c r="AB61" s="902"/>
      <c r="AC61" s="902"/>
      <c r="AD61" s="902"/>
      <c r="AE61" s="904"/>
      <c r="AF61" s="863"/>
      <c r="AG61" s="901"/>
      <c r="AH61" s="898"/>
      <c r="AI61" s="863"/>
    </row>
    <row r="62" spans="1:35">
      <c r="A62" s="892" t="s">
        <v>386</v>
      </c>
      <c r="B62" s="893" t="s">
        <v>327</v>
      </c>
      <c r="C62" s="772"/>
      <c r="D62" s="772"/>
      <c r="E62" s="772"/>
      <c r="F62" s="773"/>
      <c r="G62" s="773"/>
      <c r="H62" s="773"/>
      <c r="I62" s="773"/>
      <c r="J62" s="773"/>
      <c r="K62" s="773"/>
      <c r="L62" s="773"/>
      <c r="M62" s="773"/>
      <c r="N62" s="773"/>
      <c r="O62" s="774"/>
      <c r="P62" s="894">
        <f>IF(SUM(F62:O62)=(SUM(R62:U62)),(SUM(F62:O62)))</f>
        <v>0</v>
      </c>
      <c r="Q62" s="895">
        <f t="shared" ref="Q62:Q66" si="20">SUM(F62:O62)-SUM(R62:U62)</f>
        <v>0</v>
      </c>
      <c r="R62" s="770"/>
      <c r="S62" s="770"/>
      <c r="T62" s="770"/>
      <c r="U62" s="770"/>
      <c r="V62" s="770"/>
      <c r="W62" s="770"/>
      <c r="X62" s="770"/>
      <c r="Y62" s="905">
        <f t="shared" si="0"/>
        <v>0</v>
      </c>
      <c r="Z62" s="895">
        <f t="shared" si="1"/>
        <v>0</v>
      </c>
      <c r="AA62" s="770"/>
      <c r="AB62" s="770"/>
      <c r="AC62" s="770"/>
      <c r="AD62" s="770"/>
      <c r="AE62" s="771"/>
      <c r="AF62" s="897">
        <f t="shared" si="2"/>
        <v>0</v>
      </c>
      <c r="AG62" s="895">
        <f t="shared" si="3"/>
        <v>0</v>
      </c>
      <c r="AH62" s="898" t="str">
        <f>IF(AND(P62=Y62,Y62=AF62),"","Error")</f>
        <v/>
      </c>
      <c r="AI62" s="863">
        <f>'Enterprise Template'!$E$2</f>
        <v>0</v>
      </c>
    </row>
    <row r="63" spans="1:35">
      <c r="A63" s="892" t="s">
        <v>386</v>
      </c>
      <c r="B63" s="893" t="s">
        <v>327</v>
      </c>
      <c r="C63" s="772"/>
      <c r="D63" s="772"/>
      <c r="E63" s="772"/>
      <c r="F63" s="773"/>
      <c r="G63" s="773"/>
      <c r="H63" s="773"/>
      <c r="I63" s="773"/>
      <c r="J63" s="773"/>
      <c r="K63" s="773"/>
      <c r="L63" s="773"/>
      <c r="M63" s="773"/>
      <c r="N63" s="773"/>
      <c r="O63" s="774"/>
      <c r="P63" s="894">
        <f>IF(SUM(F63:O63)=(SUM(R63:U63)),(SUM(F63:O63)))</f>
        <v>0</v>
      </c>
      <c r="Q63" s="895">
        <f t="shared" si="20"/>
        <v>0</v>
      </c>
      <c r="R63" s="770"/>
      <c r="S63" s="770"/>
      <c r="T63" s="770"/>
      <c r="U63" s="770"/>
      <c r="V63" s="770"/>
      <c r="W63" s="770"/>
      <c r="X63" s="770"/>
      <c r="Y63" s="905">
        <f t="shared" ref="Y63:Y66" si="21">IF(SUM(R63:U63)=SUM(V63:X63), SUM(V63:X63),"Error")</f>
        <v>0</v>
      </c>
      <c r="Z63" s="895">
        <f t="shared" si="1"/>
        <v>0</v>
      </c>
      <c r="AA63" s="770"/>
      <c r="AB63" s="770"/>
      <c r="AC63" s="770"/>
      <c r="AD63" s="770"/>
      <c r="AE63" s="771"/>
      <c r="AF63" s="897">
        <f t="shared" si="2"/>
        <v>0</v>
      </c>
      <c r="AG63" s="895">
        <f t="shared" si="3"/>
        <v>0</v>
      </c>
      <c r="AH63" s="898" t="str">
        <f>IF(AND(P63=Y63,Y63=AF63),"","Error")</f>
        <v/>
      </c>
      <c r="AI63" s="863">
        <f>'Enterprise Template'!$E$2</f>
        <v>0</v>
      </c>
    </row>
    <row r="64" spans="1:35">
      <c r="A64" s="892" t="s">
        <v>386</v>
      </c>
      <c r="B64" s="893" t="s">
        <v>327</v>
      </c>
      <c r="C64" s="772"/>
      <c r="D64" s="772"/>
      <c r="E64" s="772"/>
      <c r="F64" s="773"/>
      <c r="G64" s="773"/>
      <c r="H64" s="773"/>
      <c r="I64" s="773"/>
      <c r="J64" s="773"/>
      <c r="K64" s="773"/>
      <c r="L64" s="773"/>
      <c r="M64" s="773"/>
      <c r="N64" s="773"/>
      <c r="O64" s="774"/>
      <c r="P64" s="894">
        <f>IF(SUM(F64:O64)=(SUM(R64:U64)),(SUM(F64:O64)))</f>
        <v>0</v>
      </c>
      <c r="Q64" s="895">
        <f t="shared" si="20"/>
        <v>0</v>
      </c>
      <c r="R64" s="770"/>
      <c r="S64" s="770"/>
      <c r="T64" s="770"/>
      <c r="U64" s="770"/>
      <c r="V64" s="770"/>
      <c r="W64" s="770"/>
      <c r="X64" s="770"/>
      <c r="Y64" s="905">
        <f t="shared" si="21"/>
        <v>0</v>
      </c>
      <c r="Z64" s="895">
        <f t="shared" si="1"/>
        <v>0</v>
      </c>
      <c r="AA64" s="770"/>
      <c r="AB64" s="770"/>
      <c r="AC64" s="770"/>
      <c r="AD64" s="770"/>
      <c r="AE64" s="771"/>
      <c r="AF64" s="897">
        <f t="shared" si="2"/>
        <v>0</v>
      </c>
      <c r="AG64" s="895">
        <f t="shared" si="3"/>
        <v>0</v>
      </c>
      <c r="AH64" s="898" t="str">
        <f>IF(AND(P64=Y64,Y64=AF64),"","Error")</f>
        <v/>
      </c>
      <c r="AI64" s="863">
        <f>'Enterprise Template'!$E$2</f>
        <v>0</v>
      </c>
    </row>
    <row r="65" spans="1:35">
      <c r="A65" s="892" t="s">
        <v>386</v>
      </c>
      <c r="B65" s="893" t="s">
        <v>327</v>
      </c>
      <c r="C65" s="772"/>
      <c r="D65" s="772"/>
      <c r="E65" s="772"/>
      <c r="F65" s="773"/>
      <c r="G65" s="773"/>
      <c r="H65" s="773"/>
      <c r="I65" s="773"/>
      <c r="J65" s="773"/>
      <c r="K65" s="773"/>
      <c r="L65" s="773"/>
      <c r="M65" s="773"/>
      <c r="N65" s="773"/>
      <c r="O65" s="774"/>
      <c r="P65" s="894">
        <f>IF(SUM(F65:O65)=(SUM(R65:U65)),(SUM(F65:O65)))</f>
        <v>0</v>
      </c>
      <c r="Q65" s="895">
        <f t="shared" si="20"/>
        <v>0</v>
      </c>
      <c r="R65" s="770"/>
      <c r="S65" s="770"/>
      <c r="T65" s="770"/>
      <c r="U65" s="770"/>
      <c r="V65" s="770"/>
      <c r="W65" s="770"/>
      <c r="X65" s="770"/>
      <c r="Y65" s="905">
        <f t="shared" si="21"/>
        <v>0</v>
      </c>
      <c r="Z65" s="895">
        <f t="shared" si="1"/>
        <v>0</v>
      </c>
      <c r="AA65" s="770"/>
      <c r="AB65" s="770"/>
      <c r="AC65" s="770"/>
      <c r="AD65" s="770"/>
      <c r="AE65" s="771"/>
      <c r="AF65" s="897">
        <f t="shared" si="2"/>
        <v>0</v>
      </c>
      <c r="AG65" s="895">
        <f t="shared" si="3"/>
        <v>0</v>
      </c>
      <c r="AH65" s="898" t="str">
        <f>IF(AND(P65=Y65,Y65=AF65),"","Error")</f>
        <v/>
      </c>
      <c r="AI65" s="863">
        <f>'Enterprise Template'!$E$2</f>
        <v>0</v>
      </c>
    </row>
    <row r="66" spans="1:35">
      <c r="A66" s="892" t="s">
        <v>386</v>
      </c>
      <c r="B66" s="893" t="s">
        <v>327</v>
      </c>
      <c r="C66" s="772"/>
      <c r="D66" s="772"/>
      <c r="E66" s="772"/>
      <c r="F66" s="773"/>
      <c r="G66" s="773"/>
      <c r="H66" s="773"/>
      <c r="I66" s="773"/>
      <c r="J66" s="773"/>
      <c r="K66" s="773"/>
      <c r="L66" s="773"/>
      <c r="M66" s="773"/>
      <c r="N66" s="773"/>
      <c r="O66" s="774"/>
      <c r="P66" s="894">
        <f>IF(SUM(F66:O66)=(SUM(R66:U66)),(SUM(F66:O66)))</f>
        <v>0</v>
      </c>
      <c r="Q66" s="895">
        <f t="shared" si="20"/>
        <v>0</v>
      </c>
      <c r="R66" s="770"/>
      <c r="S66" s="770"/>
      <c r="T66" s="770"/>
      <c r="U66" s="770"/>
      <c r="V66" s="770"/>
      <c r="W66" s="770"/>
      <c r="X66" s="770"/>
      <c r="Y66" s="905">
        <f t="shared" si="21"/>
        <v>0</v>
      </c>
      <c r="Z66" s="895">
        <f t="shared" si="1"/>
        <v>0</v>
      </c>
      <c r="AA66" s="770"/>
      <c r="AB66" s="770"/>
      <c r="AC66" s="770"/>
      <c r="AD66" s="770"/>
      <c r="AE66" s="771"/>
      <c r="AF66" s="897">
        <f t="shared" si="2"/>
        <v>0</v>
      </c>
      <c r="AG66" s="895">
        <f t="shared" si="3"/>
        <v>0</v>
      </c>
      <c r="AH66" s="898" t="str">
        <f>IF(AND(P66=Y66,Y66=AF66),"","Error")</f>
        <v/>
      </c>
      <c r="AI66" s="863">
        <f>'Enterprise Template'!$E$2</f>
        <v>0</v>
      </c>
    </row>
    <row r="67" spans="1:35">
      <c r="A67" s="892"/>
      <c r="B67" s="863"/>
      <c r="C67" s="899"/>
      <c r="D67" s="863"/>
      <c r="E67" s="863"/>
      <c r="F67" s="863"/>
      <c r="G67" s="863"/>
      <c r="H67" s="863"/>
      <c r="I67" s="863"/>
      <c r="J67" s="863"/>
      <c r="K67" s="863"/>
      <c r="L67" s="863"/>
      <c r="M67" s="863"/>
      <c r="N67" s="863"/>
      <c r="O67" s="900"/>
      <c r="P67" s="863"/>
      <c r="Q67" s="901"/>
      <c r="R67" s="902"/>
      <c r="S67" s="902"/>
      <c r="T67" s="902"/>
      <c r="U67" s="902"/>
      <c r="V67" s="902"/>
      <c r="W67" s="902"/>
      <c r="X67" s="902"/>
      <c r="Y67" s="903"/>
      <c r="Z67" s="901"/>
      <c r="AA67" s="902"/>
      <c r="AB67" s="902"/>
      <c r="AC67" s="902"/>
      <c r="AD67" s="902"/>
      <c r="AE67" s="904"/>
      <c r="AF67" s="863"/>
      <c r="AG67" s="901"/>
      <c r="AH67" s="898"/>
      <c r="AI67" s="863"/>
    </row>
    <row r="68" spans="1:35">
      <c r="A68" s="892" t="s">
        <v>386</v>
      </c>
      <c r="B68" s="893" t="s">
        <v>326</v>
      </c>
      <c r="C68" s="772"/>
      <c r="D68" s="772"/>
      <c r="E68" s="772"/>
      <c r="F68" s="773"/>
      <c r="G68" s="773"/>
      <c r="H68" s="773"/>
      <c r="I68" s="773"/>
      <c r="J68" s="773"/>
      <c r="K68" s="773"/>
      <c r="L68" s="773"/>
      <c r="M68" s="773"/>
      <c r="N68" s="773"/>
      <c r="O68" s="774"/>
      <c r="P68" s="894">
        <f>IF(SUM(F68:O68)=(SUM(R68:U68)),(SUM(F68:O68)))</f>
        <v>0</v>
      </c>
      <c r="Q68" s="895">
        <f t="shared" ref="Q68:Q72" si="22">SUM(F68:O68)-SUM(R68:U68)</f>
        <v>0</v>
      </c>
      <c r="R68" s="770"/>
      <c r="S68" s="770"/>
      <c r="T68" s="770"/>
      <c r="U68" s="770"/>
      <c r="V68" s="770"/>
      <c r="W68" s="770"/>
      <c r="X68" s="770"/>
      <c r="Y68" s="905">
        <f t="shared" si="0"/>
        <v>0</v>
      </c>
      <c r="Z68" s="895">
        <f t="shared" si="1"/>
        <v>0</v>
      </c>
      <c r="AA68" s="770"/>
      <c r="AB68" s="770"/>
      <c r="AC68" s="770"/>
      <c r="AD68" s="770"/>
      <c r="AE68" s="771"/>
      <c r="AF68" s="897">
        <f t="shared" si="2"/>
        <v>0</v>
      </c>
      <c r="AG68" s="895">
        <f t="shared" si="3"/>
        <v>0</v>
      </c>
      <c r="AH68" s="898" t="str">
        <f>IF(AND(P68=Y68,Y68=AF68),"","Error")</f>
        <v/>
      </c>
      <c r="AI68" s="863">
        <f>'Enterprise Template'!$E$2</f>
        <v>0</v>
      </c>
    </row>
    <row r="69" spans="1:35">
      <c r="A69" s="892" t="s">
        <v>386</v>
      </c>
      <c r="B69" s="893" t="s">
        <v>326</v>
      </c>
      <c r="C69" s="772"/>
      <c r="D69" s="772"/>
      <c r="E69" s="772"/>
      <c r="F69" s="773"/>
      <c r="G69" s="773"/>
      <c r="H69" s="773"/>
      <c r="I69" s="773"/>
      <c r="J69" s="773"/>
      <c r="K69" s="773"/>
      <c r="L69" s="773"/>
      <c r="M69" s="773"/>
      <c r="N69" s="773"/>
      <c r="O69" s="774"/>
      <c r="P69" s="894">
        <f>IF(SUM(F69:O69)=(SUM(R69:U69)),(SUM(F69:O69)))</f>
        <v>0</v>
      </c>
      <c r="Q69" s="895">
        <f t="shared" si="22"/>
        <v>0</v>
      </c>
      <c r="R69" s="770"/>
      <c r="S69" s="770"/>
      <c r="T69" s="770"/>
      <c r="U69" s="770"/>
      <c r="V69" s="770"/>
      <c r="W69" s="770"/>
      <c r="X69" s="770"/>
      <c r="Y69" s="905">
        <f t="shared" ref="Y69:Y72" si="23">IF(SUM(R69:U69)=SUM(V69:X69), SUM(V69:X69),"Error")</f>
        <v>0</v>
      </c>
      <c r="Z69" s="895">
        <f t="shared" si="1"/>
        <v>0</v>
      </c>
      <c r="AA69" s="770"/>
      <c r="AB69" s="770"/>
      <c r="AC69" s="770"/>
      <c r="AD69" s="770"/>
      <c r="AE69" s="771"/>
      <c r="AF69" s="897">
        <f t="shared" si="2"/>
        <v>0</v>
      </c>
      <c r="AG69" s="895">
        <f t="shared" si="3"/>
        <v>0</v>
      </c>
      <c r="AH69" s="898" t="str">
        <f>IF(AND(P69=Y69,Y69=AF69),"","Error")</f>
        <v/>
      </c>
      <c r="AI69" s="863">
        <f>'Enterprise Template'!$E$2</f>
        <v>0</v>
      </c>
    </row>
    <row r="70" spans="1:35">
      <c r="A70" s="892" t="s">
        <v>386</v>
      </c>
      <c r="B70" s="893" t="s">
        <v>326</v>
      </c>
      <c r="C70" s="772"/>
      <c r="D70" s="772"/>
      <c r="E70" s="772"/>
      <c r="F70" s="773"/>
      <c r="G70" s="773"/>
      <c r="H70" s="773"/>
      <c r="I70" s="773"/>
      <c r="J70" s="773"/>
      <c r="K70" s="773"/>
      <c r="L70" s="773"/>
      <c r="M70" s="773"/>
      <c r="N70" s="773"/>
      <c r="O70" s="774"/>
      <c r="P70" s="894">
        <f>IF(SUM(F70:O70)=(SUM(R70:U70)),(SUM(F70:O70)))</f>
        <v>0</v>
      </c>
      <c r="Q70" s="895">
        <f t="shared" si="22"/>
        <v>0</v>
      </c>
      <c r="R70" s="770"/>
      <c r="S70" s="770"/>
      <c r="T70" s="770"/>
      <c r="U70" s="770"/>
      <c r="V70" s="770"/>
      <c r="W70" s="770"/>
      <c r="X70" s="770"/>
      <c r="Y70" s="905">
        <f t="shared" si="23"/>
        <v>0</v>
      </c>
      <c r="Z70" s="895">
        <f t="shared" si="1"/>
        <v>0</v>
      </c>
      <c r="AA70" s="770"/>
      <c r="AB70" s="770"/>
      <c r="AC70" s="770"/>
      <c r="AD70" s="770"/>
      <c r="AE70" s="771"/>
      <c r="AF70" s="897">
        <f t="shared" si="2"/>
        <v>0</v>
      </c>
      <c r="AG70" s="895">
        <f t="shared" si="3"/>
        <v>0</v>
      </c>
      <c r="AH70" s="898" t="str">
        <f>IF(AND(P70=Y70,Y70=AF70),"","Error")</f>
        <v/>
      </c>
      <c r="AI70" s="863">
        <f>'Enterprise Template'!$E$2</f>
        <v>0</v>
      </c>
    </row>
    <row r="71" spans="1:35">
      <c r="A71" s="892" t="s">
        <v>386</v>
      </c>
      <c r="B71" s="893" t="s">
        <v>326</v>
      </c>
      <c r="C71" s="772"/>
      <c r="D71" s="772"/>
      <c r="E71" s="772"/>
      <c r="F71" s="773"/>
      <c r="G71" s="773"/>
      <c r="H71" s="773"/>
      <c r="I71" s="773"/>
      <c r="J71" s="773"/>
      <c r="K71" s="773"/>
      <c r="L71" s="773"/>
      <c r="M71" s="773"/>
      <c r="N71" s="773"/>
      <c r="O71" s="774"/>
      <c r="P71" s="894">
        <f>IF(SUM(F71:O71)=(SUM(R71:U71)),(SUM(F71:O71)))</f>
        <v>0</v>
      </c>
      <c r="Q71" s="895">
        <f t="shared" si="22"/>
        <v>0</v>
      </c>
      <c r="R71" s="770"/>
      <c r="S71" s="770"/>
      <c r="T71" s="770"/>
      <c r="U71" s="770"/>
      <c r="V71" s="770"/>
      <c r="W71" s="770"/>
      <c r="X71" s="770"/>
      <c r="Y71" s="905">
        <f t="shared" si="23"/>
        <v>0</v>
      </c>
      <c r="Z71" s="895">
        <f t="shared" si="1"/>
        <v>0</v>
      </c>
      <c r="AA71" s="770"/>
      <c r="AB71" s="770"/>
      <c r="AC71" s="770"/>
      <c r="AD71" s="770"/>
      <c r="AE71" s="771"/>
      <c r="AF71" s="897">
        <f t="shared" si="2"/>
        <v>0</v>
      </c>
      <c r="AG71" s="895">
        <f t="shared" si="3"/>
        <v>0</v>
      </c>
      <c r="AH71" s="898" t="str">
        <f>IF(AND(P71=Y71,Y71=AF71),"","Error")</f>
        <v/>
      </c>
      <c r="AI71" s="863">
        <f>'Enterprise Template'!$E$2</f>
        <v>0</v>
      </c>
    </row>
    <row r="72" spans="1:35">
      <c r="A72" s="892" t="s">
        <v>386</v>
      </c>
      <c r="B72" s="893" t="s">
        <v>326</v>
      </c>
      <c r="C72" s="772"/>
      <c r="D72" s="772"/>
      <c r="E72" s="772"/>
      <c r="F72" s="773"/>
      <c r="G72" s="773"/>
      <c r="H72" s="773"/>
      <c r="I72" s="773"/>
      <c r="J72" s="773"/>
      <c r="K72" s="773"/>
      <c r="L72" s="773"/>
      <c r="M72" s="773"/>
      <c r="N72" s="773"/>
      <c r="O72" s="774"/>
      <c r="P72" s="894">
        <f>IF(SUM(F72:O72)=(SUM(R72:U72)),(SUM(F72:O72)))</f>
        <v>0</v>
      </c>
      <c r="Q72" s="895">
        <f t="shared" si="22"/>
        <v>0</v>
      </c>
      <c r="R72" s="770"/>
      <c r="S72" s="770"/>
      <c r="T72" s="770"/>
      <c r="U72" s="770"/>
      <c r="V72" s="770"/>
      <c r="W72" s="770"/>
      <c r="X72" s="770"/>
      <c r="Y72" s="905">
        <f t="shared" si="23"/>
        <v>0</v>
      </c>
      <c r="Z72" s="895">
        <f t="shared" si="1"/>
        <v>0</v>
      </c>
      <c r="AA72" s="770"/>
      <c r="AB72" s="770"/>
      <c r="AC72" s="770"/>
      <c r="AD72" s="770"/>
      <c r="AE72" s="771"/>
      <c r="AF72" s="897">
        <f t="shared" si="2"/>
        <v>0</v>
      </c>
      <c r="AG72" s="895">
        <f t="shared" si="3"/>
        <v>0</v>
      </c>
      <c r="AH72" s="898" t="str">
        <f>IF(AND(P72=Y72,Y72=AF72),"","Error")</f>
        <v/>
      </c>
      <c r="AI72" s="863">
        <f>'Enterprise Template'!$E$2</f>
        <v>0</v>
      </c>
    </row>
    <row r="73" spans="1:35">
      <c r="A73" s="892"/>
      <c r="B73" s="863"/>
      <c r="C73" s="899"/>
      <c r="D73" s="863"/>
      <c r="E73" s="863"/>
      <c r="F73" s="863"/>
      <c r="G73" s="863"/>
      <c r="H73" s="863"/>
      <c r="I73" s="863"/>
      <c r="J73" s="863"/>
      <c r="K73" s="863"/>
      <c r="L73" s="863"/>
      <c r="M73" s="863"/>
      <c r="N73" s="863"/>
      <c r="O73" s="900"/>
      <c r="P73" s="863"/>
      <c r="Q73" s="901"/>
      <c r="R73" s="902"/>
      <c r="S73" s="902"/>
      <c r="T73" s="902"/>
      <c r="U73" s="902"/>
      <c r="V73" s="902"/>
      <c r="W73" s="902"/>
      <c r="X73" s="902"/>
      <c r="Y73" s="903"/>
      <c r="Z73" s="901"/>
      <c r="AA73" s="902"/>
      <c r="AB73" s="902"/>
      <c r="AC73" s="902"/>
      <c r="AD73" s="902"/>
      <c r="AE73" s="904"/>
      <c r="AF73" s="863"/>
      <c r="AG73" s="901"/>
      <c r="AH73" s="898"/>
      <c r="AI73" s="863"/>
    </row>
    <row r="74" spans="1:35">
      <c r="A74" s="892" t="s">
        <v>386</v>
      </c>
      <c r="B74" s="893" t="s">
        <v>691</v>
      </c>
      <c r="C74" s="908" t="s">
        <v>692</v>
      </c>
      <c r="D74" s="863"/>
      <c r="E74" s="863"/>
      <c r="F74" s="773"/>
      <c r="G74" s="773"/>
      <c r="H74" s="773"/>
      <c r="I74" s="773"/>
      <c r="J74" s="773"/>
      <c r="K74" s="773"/>
      <c r="L74" s="773"/>
      <c r="M74" s="773"/>
      <c r="N74" s="773"/>
      <c r="O74" s="774"/>
      <c r="P74" s="894">
        <f t="shared" ref="P74:P79" si="24">IF(SUM(F74:O74)=(SUM(R74:U74)),(SUM(F74:O74)))</f>
        <v>0</v>
      </c>
      <c r="Q74" s="895">
        <f t="shared" ref="Q74:Q79" si="25">SUM(F74:O74)-SUM(R74:U74)</f>
        <v>0</v>
      </c>
      <c r="R74" s="770"/>
      <c r="S74" s="770"/>
      <c r="T74" s="770"/>
      <c r="U74" s="770"/>
      <c r="V74" s="770"/>
      <c r="W74" s="770"/>
      <c r="X74" s="770"/>
      <c r="Y74" s="905">
        <f t="shared" si="0"/>
        <v>0</v>
      </c>
      <c r="Z74" s="895">
        <f t="shared" si="1"/>
        <v>0</v>
      </c>
      <c r="AA74" s="770"/>
      <c r="AB74" s="770"/>
      <c r="AC74" s="770"/>
      <c r="AD74" s="770"/>
      <c r="AE74" s="771"/>
      <c r="AF74" s="897">
        <f t="shared" si="2"/>
        <v>0</v>
      </c>
      <c r="AG74" s="895">
        <f t="shared" si="3"/>
        <v>0</v>
      </c>
      <c r="AH74" s="898" t="str">
        <f t="shared" ref="AH74:AH79" si="26">IF(AND(P74=Y74,Y74=AF74),"","Error")</f>
        <v/>
      </c>
      <c r="AI74" s="863">
        <f>'Enterprise Template'!$E$2</f>
        <v>0</v>
      </c>
    </row>
    <row r="75" spans="1:35">
      <c r="A75" s="892" t="s">
        <v>386</v>
      </c>
      <c r="B75" s="893" t="s">
        <v>691</v>
      </c>
      <c r="C75" s="908" t="s">
        <v>692</v>
      </c>
      <c r="D75" s="863"/>
      <c r="E75" s="863"/>
      <c r="F75" s="773"/>
      <c r="G75" s="773"/>
      <c r="H75" s="773"/>
      <c r="I75" s="773"/>
      <c r="J75" s="773"/>
      <c r="K75" s="773"/>
      <c r="L75" s="773"/>
      <c r="M75" s="773"/>
      <c r="N75" s="773"/>
      <c r="O75" s="774"/>
      <c r="P75" s="894">
        <f t="shared" si="24"/>
        <v>0</v>
      </c>
      <c r="Q75" s="895">
        <f t="shared" si="25"/>
        <v>0</v>
      </c>
      <c r="R75" s="770"/>
      <c r="S75" s="770"/>
      <c r="T75" s="770"/>
      <c r="U75" s="770"/>
      <c r="V75" s="770"/>
      <c r="W75" s="770"/>
      <c r="X75" s="770"/>
      <c r="Y75" s="905">
        <f t="shared" ref="Y75:Y79" si="27">IF(SUM(R75:U75)=SUM(V75:X75), SUM(V75:X75),"Error")</f>
        <v>0</v>
      </c>
      <c r="Z75" s="895">
        <f t="shared" si="1"/>
        <v>0</v>
      </c>
      <c r="AA75" s="770"/>
      <c r="AB75" s="770"/>
      <c r="AC75" s="770"/>
      <c r="AD75" s="770"/>
      <c r="AE75" s="771"/>
      <c r="AF75" s="897">
        <f t="shared" si="2"/>
        <v>0</v>
      </c>
      <c r="AG75" s="895">
        <f t="shared" si="3"/>
        <v>0</v>
      </c>
      <c r="AH75" s="898" t="str">
        <f t="shared" si="26"/>
        <v/>
      </c>
      <c r="AI75" s="863">
        <f>'Enterprise Template'!$E$2</f>
        <v>0</v>
      </c>
    </row>
    <row r="76" spans="1:35">
      <c r="A76" s="892" t="s">
        <v>386</v>
      </c>
      <c r="B76" s="893" t="s">
        <v>691</v>
      </c>
      <c r="C76" s="908" t="s">
        <v>692</v>
      </c>
      <c r="D76" s="863"/>
      <c r="E76" s="863"/>
      <c r="F76" s="773"/>
      <c r="G76" s="773"/>
      <c r="H76" s="773"/>
      <c r="I76" s="773"/>
      <c r="J76" s="773"/>
      <c r="K76" s="773"/>
      <c r="L76" s="773"/>
      <c r="M76" s="773"/>
      <c r="N76" s="773"/>
      <c r="O76" s="774"/>
      <c r="P76" s="894">
        <f t="shared" si="24"/>
        <v>0</v>
      </c>
      <c r="Q76" s="895">
        <f t="shared" si="25"/>
        <v>0</v>
      </c>
      <c r="R76" s="770"/>
      <c r="S76" s="770"/>
      <c r="T76" s="770"/>
      <c r="U76" s="770"/>
      <c r="V76" s="770"/>
      <c r="W76" s="770"/>
      <c r="X76" s="770"/>
      <c r="Y76" s="905">
        <f t="shared" si="27"/>
        <v>0</v>
      </c>
      <c r="Z76" s="895">
        <f t="shared" si="1"/>
        <v>0</v>
      </c>
      <c r="AA76" s="770"/>
      <c r="AB76" s="770"/>
      <c r="AC76" s="770"/>
      <c r="AD76" s="770"/>
      <c r="AE76" s="771"/>
      <c r="AF76" s="897">
        <f t="shared" si="2"/>
        <v>0</v>
      </c>
      <c r="AG76" s="895">
        <f t="shared" si="3"/>
        <v>0</v>
      </c>
      <c r="AH76" s="898" t="str">
        <f t="shared" si="26"/>
        <v/>
      </c>
      <c r="AI76" s="863">
        <f>'Enterprise Template'!$E$2</f>
        <v>0</v>
      </c>
    </row>
    <row r="77" spans="1:35">
      <c r="A77" s="892" t="s">
        <v>386</v>
      </c>
      <c r="B77" s="893" t="s">
        <v>691</v>
      </c>
      <c r="C77" s="908" t="s">
        <v>348</v>
      </c>
      <c r="D77" s="863"/>
      <c r="E77" s="863"/>
      <c r="F77" s="773"/>
      <c r="G77" s="773"/>
      <c r="H77" s="773"/>
      <c r="I77" s="773"/>
      <c r="J77" s="773"/>
      <c r="K77" s="773"/>
      <c r="L77" s="773"/>
      <c r="M77" s="773"/>
      <c r="N77" s="773"/>
      <c r="O77" s="774"/>
      <c r="P77" s="894">
        <f t="shared" si="24"/>
        <v>0</v>
      </c>
      <c r="Q77" s="895">
        <f t="shared" si="25"/>
        <v>0</v>
      </c>
      <c r="R77" s="770"/>
      <c r="S77" s="770"/>
      <c r="T77" s="770"/>
      <c r="U77" s="770"/>
      <c r="V77" s="770"/>
      <c r="W77" s="770"/>
      <c r="X77" s="770"/>
      <c r="Y77" s="905">
        <f t="shared" si="27"/>
        <v>0</v>
      </c>
      <c r="Z77" s="895">
        <f t="shared" si="1"/>
        <v>0</v>
      </c>
      <c r="AA77" s="770"/>
      <c r="AB77" s="897"/>
      <c r="AC77" s="897"/>
      <c r="AD77" s="897"/>
      <c r="AE77" s="909"/>
      <c r="AF77" s="897">
        <f t="shared" si="2"/>
        <v>0</v>
      </c>
      <c r="AG77" s="895">
        <f t="shared" si="3"/>
        <v>0</v>
      </c>
      <c r="AH77" s="898" t="str">
        <f t="shared" si="26"/>
        <v/>
      </c>
      <c r="AI77" s="863">
        <f>'Enterprise Template'!$E$2</f>
        <v>0</v>
      </c>
    </row>
    <row r="78" spans="1:35">
      <c r="A78" s="892" t="s">
        <v>386</v>
      </c>
      <c r="B78" s="893" t="s">
        <v>691</v>
      </c>
      <c r="C78" s="908" t="s">
        <v>348</v>
      </c>
      <c r="D78" s="863"/>
      <c r="E78" s="863"/>
      <c r="F78" s="773"/>
      <c r="G78" s="773"/>
      <c r="H78" s="773"/>
      <c r="I78" s="773"/>
      <c r="J78" s="773"/>
      <c r="K78" s="773"/>
      <c r="L78" s="773"/>
      <c r="M78" s="773"/>
      <c r="N78" s="773"/>
      <c r="O78" s="774"/>
      <c r="P78" s="894">
        <f t="shared" si="24"/>
        <v>0</v>
      </c>
      <c r="Q78" s="895">
        <f t="shared" si="25"/>
        <v>0</v>
      </c>
      <c r="R78" s="770"/>
      <c r="S78" s="770"/>
      <c r="T78" s="770"/>
      <c r="U78" s="770"/>
      <c r="V78" s="770"/>
      <c r="W78" s="770"/>
      <c r="X78" s="770"/>
      <c r="Y78" s="905">
        <f t="shared" si="27"/>
        <v>0</v>
      </c>
      <c r="Z78" s="895">
        <f t="shared" si="1"/>
        <v>0</v>
      </c>
      <c r="AA78" s="770"/>
      <c r="AB78" s="897"/>
      <c r="AC78" s="897"/>
      <c r="AD78" s="897"/>
      <c r="AE78" s="909"/>
      <c r="AF78" s="897">
        <f t="shared" si="2"/>
        <v>0</v>
      </c>
      <c r="AG78" s="895">
        <f t="shared" si="3"/>
        <v>0</v>
      </c>
      <c r="AH78" s="898" t="str">
        <f t="shared" si="26"/>
        <v/>
      </c>
      <c r="AI78" s="863">
        <f>'Enterprise Template'!$E$2</f>
        <v>0</v>
      </c>
    </row>
    <row r="79" spans="1:35">
      <c r="A79" s="892" t="s">
        <v>386</v>
      </c>
      <c r="B79" s="893" t="s">
        <v>691</v>
      </c>
      <c r="C79" s="908" t="s">
        <v>348</v>
      </c>
      <c r="D79" s="863"/>
      <c r="E79" s="863"/>
      <c r="F79" s="773"/>
      <c r="G79" s="773"/>
      <c r="H79" s="773"/>
      <c r="I79" s="773"/>
      <c r="J79" s="773"/>
      <c r="K79" s="773"/>
      <c r="L79" s="773"/>
      <c r="M79" s="773"/>
      <c r="N79" s="773"/>
      <c r="O79" s="774"/>
      <c r="P79" s="894">
        <f t="shared" si="24"/>
        <v>0</v>
      </c>
      <c r="Q79" s="895">
        <f t="shared" si="25"/>
        <v>0</v>
      </c>
      <c r="R79" s="770"/>
      <c r="S79" s="770"/>
      <c r="T79" s="770"/>
      <c r="U79" s="770"/>
      <c r="V79" s="770"/>
      <c r="W79" s="770"/>
      <c r="X79" s="770"/>
      <c r="Y79" s="905">
        <f t="shared" si="27"/>
        <v>0</v>
      </c>
      <c r="Z79" s="895">
        <f t="shared" si="1"/>
        <v>0</v>
      </c>
      <c r="AA79" s="770"/>
      <c r="AB79" s="894"/>
      <c r="AC79" s="897"/>
      <c r="AD79" s="897"/>
      <c r="AE79" s="909"/>
      <c r="AF79" s="897">
        <f t="shared" si="2"/>
        <v>0</v>
      </c>
      <c r="AG79" s="895">
        <f t="shared" si="3"/>
        <v>0</v>
      </c>
      <c r="AH79" s="898" t="str">
        <f t="shared" si="26"/>
        <v/>
      </c>
      <c r="AI79" s="863">
        <f>'Enterprise Template'!$E$2</f>
        <v>0</v>
      </c>
    </row>
    <row r="80" spans="1:35">
      <c r="A80" s="892"/>
      <c r="B80" s="863"/>
      <c r="C80" s="899"/>
      <c r="D80" s="863"/>
      <c r="E80" s="863"/>
      <c r="F80" s="863"/>
      <c r="G80" s="863"/>
      <c r="H80" s="863"/>
      <c r="I80" s="863"/>
      <c r="J80" s="863"/>
      <c r="K80" s="863"/>
      <c r="L80" s="863"/>
      <c r="M80" s="863"/>
      <c r="N80" s="863"/>
      <c r="O80" s="900"/>
      <c r="P80" s="863"/>
      <c r="Q80" s="901"/>
      <c r="R80" s="902"/>
      <c r="S80" s="902"/>
      <c r="T80" s="902"/>
      <c r="U80" s="902"/>
      <c r="V80" s="871"/>
      <c r="W80" s="871"/>
      <c r="X80" s="902"/>
      <c r="Y80" s="903"/>
      <c r="Z80" s="901"/>
      <c r="AA80" s="902"/>
      <c r="AB80" s="907"/>
      <c r="AC80" s="907"/>
      <c r="AD80" s="907"/>
      <c r="AE80" s="910"/>
      <c r="AF80" s="863"/>
      <c r="AG80" s="901"/>
      <c r="AH80" s="898"/>
      <c r="AI80" s="863"/>
    </row>
    <row r="81" spans="1:35">
      <c r="A81" s="892" t="s">
        <v>386</v>
      </c>
      <c r="B81" s="893" t="s">
        <v>702</v>
      </c>
      <c r="C81" s="772"/>
      <c r="D81" s="772"/>
      <c r="E81" s="772"/>
      <c r="F81" s="773"/>
      <c r="G81" s="773"/>
      <c r="H81" s="773"/>
      <c r="I81" s="773"/>
      <c r="J81" s="773"/>
      <c r="K81" s="773"/>
      <c r="L81" s="773"/>
      <c r="M81" s="773"/>
      <c r="N81" s="773"/>
      <c r="O81" s="773"/>
      <c r="P81" s="894">
        <f>IF(SUM(F81:O81)=(SUM(R81:U81)),(SUM(F81:O81)))</f>
        <v>0</v>
      </c>
      <c r="Q81" s="895">
        <f t="shared" ref="Q81:Q85" si="28">SUM(F81:O81)-SUM(R81:U81)</f>
        <v>0</v>
      </c>
      <c r="R81" s="770"/>
      <c r="S81" s="770"/>
      <c r="T81" s="770"/>
      <c r="U81" s="770"/>
      <c r="V81" s="894"/>
      <c r="W81" s="906"/>
      <c r="X81" s="770"/>
      <c r="Y81" s="905">
        <f t="shared" si="0"/>
        <v>0</v>
      </c>
      <c r="Z81" s="895">
        <f t="shared" si="1"/>
        <v>0</v>
      </c>
      <c r="AA81" s="770"/>
      <c r="AB81" s="770"/>
      <c r="AC81" s="770"/>
      <c r="AD81" s="770"/>
      <c r="AE81" s="771"/>
      <c r="AF81" s="897">
        <f t="shared" si="2"/>
        <v>0</v>
      </c>
      <c r="AG81" s="895">
        <f t="shared" si="3"/>
        <v>0</v>
      </c>
      <c r="AH81" s="898" t="str">
        <f>IF(AND(P81=Y81,Y81=AF81),"","Error")</f>
        <v/>
      </c>
      <c r="AI81" s="863">
        <f>'Enterprise Template'!$E$2</f>
        <v>0</v>
      </c>
    </row>
    <row r="82" spans="1:35">
      <c r="A82" s="892" t="s">
        <v>386</v>
      </c>
      <c r="B82" s="893" t="s">
        <v>702</v>
      </c>
      <c r="C82" s="772"/>
      <c r="D82" s="772"/>
      <c r="E82" s="772"/>
      <c r="F82" s="773"/>
      <c r="G82" s="773"/>
      <c r="H82" s="773"/>
      <c r="I82" s="773"/>
      <c r="J82" s="773"/>
      <c r="K82" s="773"/>
      <c r="L82" s="773"/>
      <c r="M82" s="773"/>
      <c r="N82" s="773"/>
      <c r="O82" s="773"/>
      <c r="P82" s="894">
        <f>IF(SUM(F82:O82)=(SUM(R82:U82)),(SUM(F82:O82)))</f>
        <v>0</v>
      </c>
      <c r="Q82" s="895">
        <f t="shared" si="28"/>
        <v>0</v>
      </c>
      <c r="R82" s="770"/>
      <c r="S82" s="770"/>
      <c r="T82" s="770"/>
      <c r="U82" s="770"/>
      <c r="V82" s="894"/>
      <c r="W82" s="906"/>
      <c r="X82" s="770"/>
      <c r="Y82" s="905">
        <f t="shared" ref="Y82:Y85" si="29">IF(SUM(R82:U82)=SUM(V82:X82), SUM(V82:X82),"Error")</f>
        <v>0</v>
      </c>
      <c r="Z82" s="895">
        <f t="shared" si="1"/>
        <v>0</v>
      </c>
      <c r="AA82" s="770"/>
      <c r="AB82" s="770"/>
      <c r="AC82" s="770"/>
      <c r="AD82" s="770"/>
      <c r="AE82" s="771"/>
      <c r="AF82" s="897">
        <f t="shared" si="2"/>
        <v>0</v>
      </c>
      <c r="AG82" s="895">
        <f t="shared" si="3"/>
        <v>0</v>
      </c>
      <c r="AH82" s="898" t="str">
        <f>IF(AND(P82=Y82,Y82=AF82),"","Error")</f>
        <v/>
      </c>
      <c r="AI82" s="863">
        <f>'Enterprise Template'!$E$2</f>
        <v>0</v>
      </c>
    </row>
    <row r="83" spans="1:35">
      <c r="A83" s="892" t="s">
        <v>386</v>
      </c>
      <c r="B83" s="893" t="s">
        <v>702</v>
      </c>
      <c r="C83" s="772"/>
      <c r="D83" s="772"/>
      <c r="E83" s="772"/>
      <c r="F83" s="773"/>
      <c r="G83" s="773"/>
      <c r="H83" s="773"/>
      <c r="I83" s="773"/>
      <c r="J83" s="773"/>
      <c r="K83" s="773"/>
      <c r="L83" s="773"/>
      <c r="M83" s="773"/>
      <c r="N83" s="773"/>
      <c r="O83" s="773"/>
      <c r="P83" s="894">
        <f>IF(SUM(F83:O83)=(SUM(R83:U83)),(SUM(F83:O83)))</f>
        <v>0</v>
      </c>
      <c r="Q83" s="895">
        <f t="shared" si="28"/>
        <v>0</v>
      </c>
      <c r="R83" s="770"/>
      <c r="S83" s="770"/>
      <c r="T83" s="770"/>
      <c r="U83" s="770"/>
      <c r="V83" s="894"/>
      <c r="W83" s="906"/>
      <c r="X83" s="770"/>
      <c r="Y83" s="905">
        <f t="shared" si="29"/>
        <v>0</v>
      </c>
      <c r="Z83" s="895">
        <f t="shared" si="1"/>
        <v>0</v>
      </c>
      <c r="AA83" s="770"/>
      <c r="AB83" s="770"/>
      <c r="AC83" s="770"/>
      <c r="AD83" s="770"/>
      <c r="AE83" s="771"/>
      <c r="AF83" s="897">
        <f t="shared" si="2"/>
        <v>0</v>
      </c>
      <c r="AG83" s="895">
        <f t="shared" si="3"/>
        <v>0</v>
      </c>
      <c r="AH83" s="898" t="str">
        <f>IF(AND(P83=Y83,Y83=AF83),"","Error")</f>
        <v/>
      </c>
      <c r="AI83" s="863">
        <f>'Enterprise Template'!$E$2</f>
        <v>0</v>
      </c>
    </row>
    <row r="84" spans="1:35">
      <c r="A84" s="892" t="s">
        <v>386</v>
      </c>
      <c r="B84" s="893" t="s">
        <v>702</v>
      </c>
      <c r="C84" s="772"/>
      <c r="D84" s="772"/>
      <c r="E84" s="772"/>
      <c r="F84" s="773"/>
      <c r="G84" s="773"/>
      <c r="H84" s="773"/>
      <c r="I84" s="773"/>
      <c r="J84" s="773"/>
      <c r="K84" s="773"/>
      <c r="L84" s="773"/>
      <c r="M84" s="773"/>
      <c r="N84" s="773"/>
      <c r="O84" s="773"/>
      <c r="P84" s="894">
        <f>IF(SUM(F84:O84)=(SUM(R84:U84)),(SUM(F84:O84)))</f>
        <v>0</v>
      </c>
      <c r="Q84" s="895">
        <f t="shared" si="28"/>
        <v>0</v>
      </c>
      <c r="R84" s="770"/>
      <c r="S84" s="770"/>
      <c r="T84" s="770"/>
      <c r="U84" s="770"/>
      <c r="V84" s="894"/>
      <c r="W84" s="906"/>
      <c r="X84" s="770"/>
      <c r="Y84" s="905">
        <f t="shared" si="29"/>
        <v>0</v>
      </c>
      <c r="Z84" s="895">
        <f t="shared" si="1"/>
        <v>0</v>
      </c>
      <c r="AA84" s="770"/>
      <c r="AB84" s="770"/>
      <c r="AC84" s="770"/>
      <c r="AD84" s="770"/>
      <c r="AE84" s="771"/>
      <c r="AF84" s="897">
        <f t="shared" si="2"/>
        <v>0</v>
      </c>
      <c r="AG84" s="895">
        <f t="shared" si="3"/>
        <v>0</v>
      </c>
      <c r="AH84" s="898" t="str">
        <f>IF(AND(P84=Y84,Y84=AF84),"","Error")</f>
        <v/>
      </c>
      <c r="AI84" s="863">
        <f>'Enterprise Template'!$E$2</f>
        <v>0</v>
      </c>
    </row>
    <row r="85" spans="1:35">
      <c r="A85" s="892" t="s">
        <v>386</v>
      </c>
      <c r="B85" s="893" t="s">
        <v>702</v>
      </c>
      <c r="C85" s="772"/>
      <c r="D85" s="772"/>
      <c r="E85" s="772"/>
      <c r="F85" s="773"/>
      <c r="G85" s="773"/>
      <c r="H85" s="773"/>
      <c r="I85" s="773"/>
      <c r="J85" s="773"/>
      <c r="K85" s="773"/>
      <c r="L85" s="773"/>
      <c r="M85" s="773"/>
      <c r="N85" s="773"/>
      <c r="O85" s="773"/>
      <c r="P85" s="894">
        <f>IF(SUM(F85:O85)=(SUM(R85:U85)),(SUM(F85:O85)))</f>
        <v>0</v>
      </c>
      <c r="Q85" s="895">
        <f t="shared" si="28"/>
        <v>0</v>
      </c>
      <c r="R85" s="770"/>
      <c r="S85" s="770"/>
      <c r="T85" s="770"/>
      <c r="U85" s="770"/>
      <c r="V85" s="897"/>
      <c r="W85" s="897"/>
      <c r="X85" s="770"/>
      <c r="Y85" s="905">
        <f t="shared" si="29"/>
        <v>0</v>
      </c>
      <c r="Z85" s="895">
        <f t="shared" si="1"/>
        <v>0</v>
      </c>
      <c r="AA85" s="770"/>
      <c r="AB85" s="770"/>
      <c r="AC85" s="770"/>
      <c r="AD85" s="770"/>
      <c r="AE85" s="771"/>
      <c r="AF85" s="897">
        <f t="shared" si="2"/>
        <v>0</v>
      </c>
      <c r="AG85" s="895">
        <f t="shared" si="3"/>
        <v>0</v>
      </c>
      <c r="AH85" s="898" t="str">
        <f>IF(AND(P85=Y85,Y85=AF85),"","Error")</f>
        <v/>
      </c>
      <c r="AI85" s="863">
        <f>'Enterprise Template'!$E$2</f>
        <v>0</v>
      </c>
    </row>
    <row r="86" spans="1:35">
      <c r="A86" s="892"/>
      <c r="B86" s="863"/>
      <c r="C86" s="899"/>
      <c r="D86" s="863"/>
      <c r="E86" s="863"/>
      <c r="F86" s="863"/>
      <c r="G86" s="863"/>
      <c r="H86" s="863"/>
      <c r="I86" s="863"/>
      <c r="J86" s="863"/>
      <c r="K86" s="863"/>
      <c r="L86" s="863"/>
      <c r="M86" s="863"/>
      <c r="N86" s="863"/>
      <c r="O86" s="900"/>
      <c r="P86" s="863"/>
      <c r="Q86" s="901"/>
      <c r="R86" s="902"/>
      <c r="S86" s="902"/>
      <c r="T86" s="902"/>
      <c r="U86" s="902"/>
      <c r="V86" s="907"/>
      <c r="W86" s="907"/>
      <c r="X86" s="902"/>
      <c r="Y86" s="903"/>
      <c r="Z86" s="901"/>
      <c r="AA86" s="902"/>
      <c r="AB86" s="902"/>
      <c r="AC86" s="902"/>
      <c r="AD86" s="902"/>
      <c r="AE86" s="904"/>
      <c r="AF86" s="863"/>
      <c r="AG86" s="901"/>
      <c r="AH86" s="898"/>
      <c r="AI86" s="863"/>
    </row>
    <row r="87" spans="1:35">
      <c r="A87" s="892" t="s">
        <v>386</v>
      </c>
      <c r="B87" s="893" t="s">
        <v>703</v>
      </c>
      <c r="C87" s="772"/>
      <c r="D87" s="772"/>
      <c r="E87" s="772"/>
      <c r="F87" s="773"/>
      <c r="G87" s="773"/>
      <c r="H87" s="773"/>
      <c r="I87" s="773"/>
      <c r="J87" s="773"/>
      <c r="K87" s="773"/>
      <c r="L87" s="773"/>
      <c r="M87" s="773"/>
      <c r="N87" s="773"/>
      <c r="O87" s="773"/>
      <c r="P87" s="894">
        <f>IF(SUM(F87:O87)=(SUM(R87:U87)),(SUM(F87:O87)))</f>
        <v>0</v>
      </c>
      <c r="Q87" s="895">
        <f t="shared" ref="Q87:Q91" si="30">SUM(F87:O87)-SUM(R87:U87)</f>
        <v>0</v>
      </c>
      <c r="R87" s="770"/>
      <c r="S87" s="770"/>
      <c r="T87" s="770"/>
      <c r="U87" s="770"/>
      <c r="V87" s="770"/>
      <c r="W87" s="770"/>
      <c r="X87" s="770"/>
      <c r="Y87" s="905">
        <f t="shared" si="0"/>
        <v>0</v>
      </c>
      <c r="Z87" s="895">
        <f t="shared" si="1"/>
        <v>0</v>
      </c>
      <c r="AA87" s="770"/>
      <c r="AB87" s="770"/>
      <c r="AC87" s="770"/>
      <c r="AD87" s="770"/>
      <c r="AE87" s="771"/>
      <c r="AF87" s="897">
        <f t="shared" si="2"/>
        <v>0</v>
      </c>
      <c r="AG87" s="895">
        <f t="shared" si="3"/>
        <v>0</v>
      </c>
      <c r="AH87" s="898" t="str">
        <f>IF(AND(P87=Y87,Y87=AF87),"","Error")</f>
        <v/>
      </c>
      <c r="AI87" s="863">
        <f>'Enterprise Template'!$E$2</f>
        <v>0</v>
      </c>
    </row>
    <row r="88" spans="1:35">
      <c r="A88" s="892" t="s">
        <v>386</v>
      </c>
      <c r="B88" s="893" t="s">
        <v>703</v>
      </c>
      <c r="C88" s="772"/>
      <c r="D88" s="772"/>
      <c r="E88" s="772"/>
      <c r="F88" s="773"/>
      <c r="G88" s="773"/>
      <c r="H88" s="773"/>
      <c r="I88" s="773"/>
      <c r="J88" s="773"/>
      <c r="K88" s="773"/>
      <c r="L88" s="773"/>
      <c r="M88" s="773"/>
      <c r="N88" s="773"/>
      <c r="O88" s="773"/>
      <c r="P88" s="894">
        <f>IF(SUM(F88:O88)=(SUM(R88:U88)),(SUM(F88:O88)))</f>
        <v>0</v>
      </c>
      <c r="Q88" s="895">
        <f t="shared" si="30"/>
        <v>0</v>
      </c>
      <c r="R88" s="770"/>
      <c r="S88" s="770"/>
      <c r="T88" s="770"/>
      <c r="U88" s="770"/>
      <c r="V88" s="770"/>
      <c r="W88" s="770"/>
      <c r="X88" s="770"/>
      <c r="Y88" s="905">
        <f t="shared" ref="Y88:Y91" si="31">IF(SUM(R88:U88)=SUM(V88:X88), SUM(V88:X88),"Error")</f>
        <v>0</v>
      </c>
      <c r="Z88" s="895">
        <f t="shared" si="1"/>
        <v>0</v>
      </c>
      <c r="AA88" s="770"/>
      <c r="AB88" s="770"/>
      <c r="AC88" s="770"/>
      <c r="AD88" s="770"/>
      <c r="AE88" s="771"/>
      <c r="AF88" s="897">
        <f t="shared" si="2"/>
        <v>0</v>
      </c>
      <c r="AG88" s="895">
        <f t="shared" si="3"/>
        <v>0</v>
      </c>
      <c r="AH88" s="898" t="str">
        <f>IF(AND(P88=Y88,Y88=AF88),"","Error")</f>
        <v/>
      </c>
      <c r="AI88" s="863">
        <f>'Enterprise Template'!$E$2</f>
        <v>0</v>
      </c>
    </row>
    <row r="89" spans="1:35">
      <c r="A89" s="892" t="s">
        <v>386</v>
      </c>
      <c r="B89" s="893" t="s">
        <v>703</v>
      </c>
      <c r="C89" s="772"/>
      <c r="D89" s="772"/>
      <c r="E89" s="772"/>
      <c r="F89" s="773"/>
      <c r="G89" s="773"/>
      <c r="H89" s="773"/>
      <c r="I89" s="773"/>
      <c r="J89" s="773"/>
      <c r="K89" s="773"/>
      <c r="L89" s="773"/>
      <c r="M89" s="773"/>
      <c r="N89" s="773"/>
      <c r="O89" s="773"/>
      <c r="P89" s="894">
        <f>IF(SUM(F89:O89)=(SUM(R89:U89)),(SUM(F89:O89)))</f>
        <v>0</v>
      </c>
      <c r="Q89" s="895">
        <f t="shared" si="30"/>
        <v>0</v>
      </c>
      <c r="R89" s="770"/>
      <c r="S89" s="770"/>
      <c r="T89" s="770"/>
      <c r="U89" s="770"/>
      <c r="V89" s="770"/>
      <c r="W89" s="770"/>
      <c r="X89" s="770"/>
      <c r="Y89" s="905">
        <f t="shared" si="31"/>
        <v>0</v>
      </c>
      <c r="Z89" s="895">
        <f t="shared" si="1"/>
        <v>0</v>
      </c>
      <c r="AA89" s="770"/>
      <c r="AB89" s="770"/>
      <c r="AC89" s="770"/>
      <c r="AD89" s="770"/>
      <c r="AE89" s="771"/>
      <c r="AF89" s="897">
        <f t="shared" si="2"/>
        <v>0</v>
      </c>
      <c r="AG89" s="895">
        <f t="shared" si="3"/>
        <v>0</v>
      </c>
      <c r="AH89" s="898" t="str">
        <f>IF(AND(P89=Y89,Y89=AF89),"","Error")</f>
        <v/>
      </c>
      <c r="AI89" s="863">
        <f>'Enterprise Template'!$E$2</f>
        <v>0</v>
      </c>
    </row>
    <row r="90" spans="1:35">
      <c r="A90" s="892" t="s">
        <v>386</v>
      </c>
      <c r="B90" s="893" t="s">
        <v>703</v>
      </c>
      <c r="C90" s="772"/>
      <c r="D90" s="772"/>
      <c r="E90" s="772"/>
      <c r="F90" s="773"/>
      <c r="G90" s="773"/>
      <c r="H90" s="773"/>
      <c r="I90" s="773"/>
      <c r="J90" s="773"/>
      <c r="K90" s="773"/>
      <c r="L90" s="773"/>
      <c r="M90" s="773"/>
      <c r="N90" s="773"/>
      <c r="O90" s="773"/>
      <c r="P90" s="894">
        <f>IF(SUM(F90:O90)=(SUM(R90:U90)),(SUM(F90:O90)))</f>
        <v>0</v>
      </c>
      <c r="Q90" s="895">
        <f t="shared" si="30"/>
        <v>0</v>
      </c>
      <c r="R90" s="770"/>
      <c r="S90" s="770"/>
      <c r="T90" s="770"/>
      <c r="U90" s="770"/>
      <c r="V90" s="770"/>
      <c r="W90" s="770"/>
      <c r="X90" s="770"/>
      <c r="Y90" s="905">
        <f t="shared" si="31"/>
        <v>0</v>
      </c>
      <c r="Z90" s="895">
        <f t="shared" si="1"/>
        <v>0</v>
      </c>
      <c r="AA90" s="770"/>
      <c r="AB90" s="770"/>
      <c r="AC90" s="770"/>
      <c r="AD90" s="770"/>
      <c r="AE90" s="771"/>
      <c r="AF90" s="897">
        <f t="shared" si="2"/>
        <v>0</v>
      </c>
      <c r="AG90" s="895">
        <f t="shared" si="3"/>
        <v>0</v>
      </c>
      <c r="AH90" s="898" t="str">
        <f>IF(AND(P90=Y90,Y90=AF90),"","Error")</f>
        <v/>
      </c>
      <c r="AI90" s="863">
        <f>'Enterprise Template'!$E$2</f>
        <v>0</v>
      </c>
    </row>
    <row r="91" spans="1:35">
      <c r="A91" s="892" t="s">
        <v>386</v>
      </c>
      <c r="B91" s="893" t="s">
        <v>703</v>
      </c>
      <c r="C91" s="772"/>
      <c r="D91" s="772"/>
      <c r="E91" s="772"/>
      <c r="F91" s="773"/>
      <c r="G91" s="773"/>
      <c r="H91" s="773"/>
      <c r="I91" s="773"/>
      <c r="J91" s="773"/>
      <c r="K91" s="773"/>
      <c r="L91" s="773"/>
      <c r="M91" s="773"/>
      <c r="N91" s="773"/>
      <c r="O91" s="773"/>
      <c r="P91" s="894">
        <f>IF(SUM(F91:O91)=(SUM(R91:U91)),(SUM(F91:O91)))</f>
        <v>0</v>
      </c>
      <c r="Q91" s="895">
        <f t="shared" si="30"/>
        <v>0</v>
      </c>
      <c r="R91" s="770"/>
      <c r="S91" s="770"/>
      <c r="T91" s="770"/>
      <c r="U91" s="770"/>
      <c r="V91" s="770"/>
      <c r="W91" s="770"/>
      <c r="X91" s="770"/>
      <c r="Y91" s="905">
        <f t="shared" si="31"/>
        <v>0</v>
      </c>
      <c r="Z91" s="895">
        <f t="shared" si="1"/>
        <v>0</v>
      </c>
      <c r="AA91" s="770"/>
      <c r="AB91" s="770"/>
      <c r="AC91" s="770"/>
      <c r="AD91" s="770"/>
      <c r="AE91" s="771"/>
      <c r="AF91" s="897">
        <f t="shared" si="2"/>
        <v>0</v>
      </c>
      <c r="AG91" s="895">
        <f t="shared" si="3"/>
        <v>0</v>
      </c>
      <c r="AH91" s="898" t="str">
        <f>IF(AND(P91=Y91,Y91=AF91),"","Error")</f>
        <v/>
      </c>
      <c r="AI91" s="863">
        <f>'Enterprise Template'!$E$2</f>
        <v>0</v>
      </c>
    </row>
    <row r="92" spans="1:35">
      <c r="A92" s="892"/>
      <c r="B92" s="863"/>
      <c r="C92" s="899"/>
      <c r="D92" s="863"/>
      <c r="E92" s="863"/>
      <c r="F92" s="863"/>
      <c r="G92" s="863"/>
      <c r="H92" s="863"/>
      <c r="I92" s="863"/>
      <c r="J92" s="863"/>
      <c r="K92" s="863"/>
      <c r="L92" s="863"/>
      <c r="M92" s="863"/>
      <c r="N92" s="863"/>
      <c r="O92" s="900"/>
      <c r="P92" s="863"/>
      <c r="Q92" s="901"/>
      <c r="R92" s="902"/>
      <c r="S92" s="902"/>
      <c r="T92" s="902"/>
      <c r="U92" s="902"/>
      <c r="V92" s="902"/>
      <c r="W92" s="902"/>
      <c r="X92" s="902"/>
      <c r="Y92" s="903"/>
      <c r="Z92" s="901"/>
      <c r="AA92" s="902"/>
      <c r="AB92" s="902"/>
      <c r="AC92" s="902"/>
      <c r="AD92" s="902"/>
      <c r="AE92" s="904"/>
      <c r="AF92" s="863"/>
      <c r="AG92" s="901"/>
      <c r="AH92" s="898"/>
      <c r="AI92" s="863"/>
    </row>
    <row r="93" spans="1:35">
      <c r="A93" s="892" t="s">
        <v>386</v>
      </c>
      <c r="B93" s="893" t="s">
        <v>704</v>
      </c>
      <c r="C93" s="772"/>
      <c r="D93" s="911"/>
      <c r="E93" s="912"/>
      <c r="F93" s="912"/>
      <c r="G93" s="912"/>
      <c r="H93" s="912"/>
      <c r="I93" s="912"/>
      <c r="J93" s="912"/>
      <c r="K93" s="912"/>
      <c r="L93" s="912"/>
      <c r="M93" s="912"/>
      <c r="N93" s="913"/>
      <c r="O93" s="773"/>
      <c r="P93" s="894">
        <f>IF(SUM(F93:O93)=(SUM(R93:U93)),(SUM(F93:O93)))</f>
        <v>0</v>
      </c>
      <c r="Q93" s="895">
        <f>SUM(F93:O93)-SUM(R93:U93)</f>
        <v>0</v>
      </c>
      <c r="R93" s="770"/>
      <c r="S93" s="770"/>
      <c r="T93" s="770"/>
      <c r="U93" s="770"/>
      <c r="V93" s="770"/>
      <c r="W93" s="770"/>
      <c r="X93" s="770"/>
      <c r="Y93" s="905">
        <f t="shared" si="0"/>
        <v>0</v>
      </c>
      <c r="Z93" s="895">
        <f t="shared" si="1"/>
        <v>0</v>
      </c>
      <c r="AA93" s="770"/>
      <c r="AB93" s="770"/>
      <c r="AC93" s="770"/>
      <c r="AD93" s="770"/>
      <c r="AE93" s="771"/>
      <c r="AF93" s="897">
        <f t="shared" si="2"/>
        <v>0</v>
      </c>
      <c r="AG93" s="895">
        <f t="shared" si="3"/>
        <v>0</v>
      </c>
      <c r="AH93" s="898" t="str">
        <f>IF(AND(P93=Y93,Y93=AF93),"","Error")</f>
        <v/>
      </c>
      <c r="AI93" s="863">
        <f>'Enterprise Template'!$E$2</f>
        <v>0</v>
      </c>
    </row>
    <row r="94" spans="1:35">
      <c r="A94" s="892"/>
      <c r="B94" s="863"/>
      <c r="C94" s="899"/>
      <c r="D94" s="863"/>
      <c r="E94" s="863"/>
      <c r="F94" s="863"/>
      <c r="G94" s="863"/>
      <c r="H94" s="863"/>
      <c r="I94" s="863"/>
      <c r="J94" s="863"/>
      <c r="K94" s="863"/>
      <c r="L94" s="863"/>
      <c r="M94" s="863"/>
      <c r="N94" s="863"/>
      <c r="O94" s="900"/>
      <c r="P94" s="863"/>
      <c r="Q94" s="901"/>
      <c r="R94" s="902"/>
      <c r="S94" s="902"/>
      <c r="T94" s="902"/>
      <c r="U94" s="902"/>
      <c r="V94" s="902"/>
      <c r="W94" s="902"/>
      <c r="X94" s="902"/>
      <c r="Y94" s="903"/>
      <c r="Z94" s="901"/>
      <c r="AA94" s="902"/>
      <c r="AB94" s="902"/>
      <c r="AC94" s="902"/>
      <c r="AD94" s="902"/>
      <c r="AE94" s="904"/>
      <c r="AF94" s="863"/>
      <c r="AG94" s="901"/>
      <c r="AH94" s="898"/>
      <c r="AI94" s="863"/>
    </row>
    <row r="95" spans="1:35">
      <c r="A95" s="892" t="s">
        <v>386</v>
      </c>
      <c r="B95" s="893" t="s">
        <v>2924</v>
      </c>
      <c r="C95" s="772"/>
      <c r="D95" s="772"/>
      <c r="E95" s="772"/>
      <c r="F95" s="773"/>
      <c r="G95" s="773"/>
      <c r="H95" s="773"/>
      <c r="I95" s="773"/>
      <c r="J95" s="773"/>
      <c r="K95" s="773"/>
      <c r="L95" s="773"/>
      <c r="M95" s="773"/>
      <c r="N95" s="773"/>
      <c r="O95" s="773"/>
      <c r="P95" s="894">
        <f>IF(SUM(F95:O95)=(SUM(R95:U95)),(SUM(F95:O95)))</f>
        <v>0</v>
      </c>
      <c r="Q95" s="895">
        <f t="shared" ref="Q95:Q99" si="32">SUM(F95:O95)-SUM(R95:U95)</f>
        <v>0</v>
      </c>
      <c r="R95" s="770"/>
      <c r="S95" s="770"/>
      <c r="T95" s="770"/>
      <c r="U95" s="770"/>
      <c r="V95" s="770"/>
      <c r="W95" s="770"/>
      <c r="X95" s="770"/>
      <c r="Y95" s="905">
        <f t="shared" si="0"/>
        <v>0</v>
      </c>
      <c r="Z95" s="895">
        <f t="shared" si="1"/>
        <v>0</v>
      </c>
      <c r="AA95" s="770"/>
      <c r="AB95" s="770"/>
      <c r="AC95" s="770"/>
      <c r="AD95" s="770"/>
      <c r="AE95" s="771"/>
      <c r="AF95" s="897">
        <f t="shared" si="2"/>
        <v>0</v>
      </c>
      <c r="AG95" s="895">
        <f t="shared" si="3"/>
        <v>0</v>
      </c>
      <c r="AH95" s="898" t="str">
        <f>IF(AND(P95=Y95,Y95=AF95),"","Error")</f>
        <v/>
      </c>
      <c r="AI95" s="863">
        <f>'Enterprise Template'!$E$2</f>
        <v>0</v>
      </c>
    </row>
    <row r="96" spans="1:35">
      <c r="A96" s="892" t="s">
        <v>386</v>
      </c>
      <c r="B96" s="893" t="s">
        <v>2924</v>
      </c>
      <c r="C96" s="772"/>
      <c r="D96" s="772"/>
      <c r="E96" s="772"/>
      <c r="F96" s="773"/>
      <c r="G96" s="773"/>
      <c r="H96" s="773"/>
      <c r="I96" s="773"/>
      <c r="J96" s="773"/>
      <c r="K96" s="773"/>
      <c r="L96" s="773"/>
      <c r="M96" s="773"/>
      <c r="N96" s="773"/>
      <c r="O96" s="773"/>
      <c r="P96" s="894">
        <f>IF(SUM(F96:O96)=(SUM(R96:U96)),(SUM(F96:O96)))</f>
        <v>0</v>
      </c>
      <c r="Q96" s="895">
        <f t="shared" si="32"/>
        <v>0</v>
      </c>
      <c r="R96" s="770"/>
      <c r="S96" s="770"/>
      <c r="T96" s="770"/>
      <c r="U96" s="770"/>
      <c r="V96" s="770"/>
      <c r="W96" s="770"/>
      <c r="X96" s="770"/>
      <c r="Y96" s="905">
        <f t="shared" ref="Y96:Y99" si="33">IF(SUM(R96:U96)=SUM(V96:X96), SUM(V96:X96),"Error")</f>
        <v>0</v>
      </c>
      <c r="Z96" s="895">
        <f t="shared" si="1"/>
        <v>0</v>
      </c>
      <c r="AA96" s="770"/>
      <c r="AB96" s="770"/>
      <c r="AC96" s="770"/>
      <c r="AD96" s="770"/>
      <c r="AE96" s="771"/>
      <c r="AF96" s="897">
        <f t="shared" si="2"/>
        <v>0</v>
      </c>
      <c r="AG96" s="895">
        <f t="shared" si="3"/>
        <v>0</v>
      </c>
      <c r="AH96" s="898" t="str">
        <f>IF(AND(P96=Y96,Y96=AF96),"","Error")</f>
        <v/>
      </c>
      <c r="AI96" s="863">
        <f>'Enterprise Template'!$E$2</f>
        <v>0</v>
      </c>
    </row>
    <row r="97" spans="1:35">
      <c r="A97" s="892" t="s">
        <v>386</v>
      </c>
      <c r="B97" s="893" t="s">
        <v>2924</v>
      </c>
      <c r="C97" s="772"/>
      <c r="D97" s="772"/>
      <c r="E97" s="772"/>
      <c r="F97" s="773"/>
      <c r="G97" s="773"/>
      <c r="H97" s="773"/>
      <c r="I97" s="773"/>
      <c r="J97" s="773"/>
      <c r="K97" s="773"/>
      <c r="L97" s="773"/>
      <c r="M97" s="773"/>
      <c r="N97" s="773"/>
      <c r="O97" s="773"/>
      <c r="P97" s="894">
        <f>IF(SUM(F97:O97)=(SUM(R97:U97)),(SUM(F97:O97)))</f>
        <v>0</v>
      </c>
      <c r="Q97" s="895">
        <f t="shared" si="32"/>
        <v>0</v>
      </c>
      <c r="R97" s="770"/>
      <c r="S97" s="770"/>
      <c r="T97" s="770"/>
      <c r="U97" s="770"/>
      <c r="V97" s="770"/>
      <c r="W97" s="770"/>
      <c r="X97" s="770"/>
      <c r="Y97" s="905">
        <f t="shared" si="33"/>
        <v>0</v>
      </c>
      <c r="Z97" s="895">
        <f t="shared" si="1"/>
        <v>0</v>
      </c>
      <c r="AA97" s="770"/>
      <c r="AB97" s="770"/>
      <c r="AC97" s="770"/>
      <c r="AD97" s="770"/>
      <c r="AE97" s="771"/>
      <c r="AF97" s="897">
        <f t="shared" si="2"/>
        <v>0</v>
      </c>
      <c r="AG97" s="895">
        <f t="shared" si="3"/>
        <v>0</v>
      </c>
      <c r="AH97" s="898" t="str">
        <f>IF(AND(P97=Y97,Y97=AF97),"","Error")</f>
        <v/>
      </c>
      <c r="AI97" s="863">
        <f>'Enterprise Template'!$E$2</f>
        <v>0</v>
      </c>
    </row>
    <row r="98" spans="1:35">
      <c r="A98" s="892" t="s">
        <v>386</v>
      </c>
      <c r="B98" s="893" t="s">
        <v>2924</v>
      </c>
      <c r="C98" s="772"/>
      <c r="D98" s="772"/>
      <c r="E98" s="772"/>
      <c r="F98" s="773"/>
      <c r="G98" s="773"/>
      <c r="H98" s="773"/>
      <c r="I98" s="773"/>
      <c r="J98" s="773"/>
      <c r="K98" s="773"/>
      <c r="L98" s="773"/>
      <c r="M98" s="773"/>
      <c r="N98" s="773"/>
      <c r="O98" s="773"/>
      <c r="P98" s="894">
        <f>IF(SUM(F98:O98)=(SUM(R98:U98)),(SUM(F98:O98)))</f>
        <v>0</v>
      </c>
      <c r="Q98" s="895">
        <f t="shared" si="32"/>
        <v>0</v>
      </c>
      <c r="R98" s="770"/>
      <c r="S98" s="770"/>
      <c r="T98" s="770"/>
      <c r="U98" s="770"/>
      <c r="V98" s="770"/>
      <c r="W98" s="770"/>
      <c r="X98" s="770"/>
      <c r="Y98" s="905">
        <f t="shared" si="33"/>
        <v>0</v>
      </c>
      <c r="Z98" s="895">
        <f t="shared" si="1"/>
        <v>0</v>
      </c>
      <c r="AA98" s="770"/>
      <c r="AB98" s="770"/>
      <c r="AC98" s="770"/>
      <c r="AD98" s="770"/>
      <c r="AE98" s="771"/>
      <c r="AF98" s="897">
        <f t="shared" si="2"/>
        <v>0</v>
      </c>
      <c r="AG98" s="895">
        <f t="shared" si="3"/>
        <v>0</v>
      </c>
      <c r="AH98" s="898" t="str">
        <f>IF(AND(P98=Y98,Y98=AF98),"","Error")</f>
        <v/>
      </c>
      <c r="AI98" s="863">
        <f>'Enterprise Template'!$E$2</f>
        <v>0</v>
      </c>
    </row>
    <row r="99" spans="1:35">
      <c r="A99" s="892" t="s">
        <v>386</v>
      </c>
      <c r="B99" s="893" t="s">
        <v>2924</v>
      </c>
      <c r="C99" s="772"/>
      <c r="D99" s="772"/>
      <c r="E99" s="772"/>
      <c r="F99" s="773"/>
      <c r="G99" s="773"/>
      <c r="H99" s="773"/>
      <c r="I99" s="773"/>
      <c r="J99" s="773"/>
      <c r="K99" s="773"/>
      <c r="L99" s="773"/>
      <c r="M99" s="773"/>
      <c r="N99" s="773"/>
      <c r="O99" s="773"/>
      <c r="P99" s="894">
        <f>IF(SUM(F99:O99)=(SUM(R99:U99)),(SUM(F99:O99)))</f>
        <v>0</v>
      </c>
      <c r="Q99" s="895">
        <f t="shared" si="32"/>
        <v>0</v>
      </c>
      <c r="R99" s="770"/>
      <c r="S99" s="770"/>
      <c r="T99" s="770"/>
      <c r="U99" s="770"/>
      <c r="V99" s="770"/>
      <c r="W99" s="770"/>
      <c r="X99" s="770"/>
      <c r="Y99" s="905">
        <f t="shared" si="33"/>
        <v>0</v>
      </c>
      <c r="Z99" s="895">
        <f t="shared" si="1"/>
        <v>0</v>
      </c>
      <c r="AA99" s="770"/>
      <c r="AB99" s="770"/>
      <c r="AC99" s="770"/>
      <c r="AD99" s="770"/>
      <c r="AE99" s="771"/>
      <c r="AF99" s="897">
        <f t="shared" si="2"/>
        <v>0</v>
      </c>
      <c r="AG99" s="895">
        <f t="shared" si="3"/>
        <v>0</v>
      </c>
      <c r="AH99" s="898" t="str">
        <f>IF(AND(P99=Y99,Y99=AF99),"","Error")</f>
        <v/>
      </c>
      <c r="AI99" s="863">
        <f>'Enterprise Template'!$E$2</f>
        <v>0</v>
      </c>
    </row>
    <row r="100" spans="1:35">
      <c r="A100" s="892"/>
      <c r="B100" s="863"/>
      <c r="C100" s="899"/>
      <c r="D100" s="863"/>
      <c r="E100" s="863"/>
      <c r="F100" s="863"/>
      <c r="G100" s="863"/>
      <c r="H100" s="863"/>
      <c r="I100" s="863"/>
      <c r="J100" s="863"/>
      <c r="K100" s="863"/>
      <c r="L100" s="863"/>
      <c r="M100" s="863"/>
      <c r="N100" s="863"/>
      <c r="O100" s="900"/>
      <c r="P100" s="863"/>
      <c r="Q100" s="901"/>
      <c r="R100" s="902"/>
      <c r="S100" s="902"/>
      <c r="T100" s="902"/>
      <c r="U100" s="902"/>
      <c r="V100" s="902"/>
      <c r="W100" s="902"/>
      <c r="X100" s="902"/>
      <c r="Y100" s="903"/>
      <c r="Z100" s="901"/>
      <c r="AA100" s="902"/>
      <c r="AB100" s="902"/>
      <c r="AC100" s="902"/>
      <c r="AD100" s="902"/>
      <c r="AE100" s="904"/>
      <c r="AF100" s="863"/>
      <c r="AG100" s="901"/>
      <c r="AH100" s="898"/>
      <c r="AI100" s="863"/>
    </row>
    <row r="101" spans="1:35">
      <c r="A101" s="892" t="s">
        <v>386</v>
      </c>
      <c r="B101" s="893" t="s">
        <v>3014</v>
      </c>
      <c r="C101" s="772"/>
      <c r="D101" s="772"/>
      <c r="E101" s="772"/>
      <c r="F101" s="773"/>
      <c r="G101" s="773"/>
      <c r="H101" s="773"/>
      <c r="I101" s="773"/>
      <c r="J101" s="773"/>
      <c r="K101" s="773"/>
      <c r="L101" s="773"/>
      <c r="M101" s="773"/>
      <c r="N101" s="773"/>
      <c r="O101" s="773"/>
      <c r="P101" s="894">
        <f>IF(SUM(F101:O101)=(SUM(R101:U101)),(SUM(F101:O101)))</f>
        <v>0</v>
      </c>
      <c r="Q101" s="895">
        <f t="shared" ref="Q101:Q105" si="34">SUM(F101:O101)-SUM(R101:U101)</f>
        <v>0</v>
      </c>
      <c r="R101" s="770"/>
      <c r="S101" s="770"/>
      <c r="T101" s="770"/>
      <c r="U101" s="770"/>
      <c r="V101" s="770"/>
      <c r="W101" s="770"/>
      <c r="X101" s="770"/>
      <c r="Y101" s="905">
        <f t="shared" ref="Y101:Y105" si="35">IF(SUM(R101:U101)=SUM(V101:X101), SUM(V101:X101),"Error")</f>
        <v>0</v>
      </c>
      <c r="Z101" s="895">
        <f t="shared" ref="Z101:Z105" si="36">SUM(R101:U101)-SUM(V101:X101)</f>
        <v>0</v>
      </c>
      <c r="AA101" s="770"/>
      <c r="AB101" s="770"/>
      <c r="AC101" s="770"/>
      <c r="AD101" s="770"/>
      <c r="AE101" s="771"/>
      <c r="AF101" s="897">
        <f t="shared" ref="AF101:AF105" si="37">IF(SUM(AA101:AE101)=Y101,SUM(AA101:AE101),"Error")</f>
        <v>0</v>
      </c>
      <c r="AG101" s="895">
        <f t="shared" ref="AG101:AG105" si="38">SUM(AA101:AE101)-Y101</f>
        <v>0</v>
      </c>
      <c r="AH101" s="898" t="str">
        <f>IF(AND(P101=Y101,Y101=AF101),"","Error")</f>
        <v/>
      </c>
      <c r="AI101" s="863">
        <f>'Enterprise Template'!$E$2</f>
        <v>0</v>
      </c>
    </row>
    <row r="102" spans="1:35">
      <c r="A102" s="892" t="s">
        <v>386</v>
      </c>
      <c r="B102" s="893" t="s">
        <v>3014</v>
      </c>
      <c r="C102" s="772"/>
      <c r="D102" s="772"/>
      <c r="E102" s="772"/>
      <c r="F102" s="773"/>
      <c r="G102" s="773"/>
      <c r="H102" s="773"/>
      <c r="I102" s="773"/>
      <c r="J102" s="773"/>
      <c r="K102" s="773"/>
      <c r="L102" s="773"/>
      <c r="M102" s="773"/>
      <c r="N102" s="773"/>
      <c r="O102" s="773"/>
      <c r="P102" s="894">
        <f>IF(SUM(F102:O102)=(SUM(R102:U102)),(SUM(F102:O102)))</f>
        <v>0</v>
      </c>
      <c r="Q102" s="895">
        <f t="shared" si="34"/>
        <v>0</v>
      </c>
      <c r="R102" s="770"/>
      <c r="S102" s="770"/>
      <c r="T102" s="770"/>
      <c r="U102" s="770"/>
      <c r="V102" s="770"/>
      <c r="W102" s="770"/>
      <c r="X102" s="770"/>
      <c r="Y102" s="905">
        <f t="shared" si="35"/>
        <v>0</v>
      </c>
      <c r="Z102" s="895">
        <f t="shared" si="36"/>
        <v>0</v>
      </c>
      <c r="AA102" s="770"/>
      <c r="AB102" s="770"/>
      <c r="AC102" s="770"/>
      <c r="AD102" s="770"/>
      <c r="AE102" s="771"/>
      <c r="AF102" s="897">
        <f t="shared" si="37"/>
        <v>0</v>
      </c>
      <c r="AG102" s="895">
        <f t="shared" si="38"/>
        <v>0</v>
      </c>
      <c r="AH102" s="898" t="str">
        <f>IF(AND(P102=Y102,Y102=AF102),"","Error")</f>
        <v/>
      </c>
      <c r="AI102" s="863">
        <f>'Enterprise Template'!$E$2</f>
        <v>0</v>
      </c>
    </row>
    <row r="103" spans="1:35">
      <c r="A103" s="892" t="s">
        <v>386</v>
      </c>
      <c r="B103" s="893" t="s">
        <v>3014</v>
      </c>
      <c r="C103" s="772"/>
      <c r="D103" s="772"/>
      <c r="E103" s="772"/>
      <c r="F103" s="773"/>
      <c r="G103" s="773"/>
      <c r="H103" s="773"/>
      <c r="I103" s="773"/>
      <c r="J103" s="773"/>
      <c r="K103" s="773"/>
      <c r="L103" s="773"/>
      <c r="M103" s="773"/>
      <c r="N103" s="773"/>
      <c r="O103" s="773"/>
      <c r="P103" s="894">
        <f>IF(SUM(F103:O103)=(SUM(R103:U103)),(SUM(F103:O103)))</f>
        <v>0</v>
      </c>
      <c r="Q103" s="895">
        <f t="shared" si="34"/>
        <v>0</v>
      </c>
      <c r="R103" s="770"/>
      <c r="S103" s="770"/>
      <c r="T103" s="770"/>
      <c r="U103" s="770"/>
      <c r="V103" s="770"/>
      <c r="W103" s="770"/>
      <c r="X103" s="770"/>
      <c r="Y103" s="905">
        <f t="shared" si="35"/>
        <v>0</v>
      </c>
      <c r="Z103" s="895">
        <f t="shared" si="36"/>
        <v>0</v>
      </c>
      <c r="AA103" s="770"/>
      <c r="AB103" s="770"/>
      <c r="AC103" s="770"/>
      <c r="AD103" s="770"/>
      <c r="AE103" s="771"/>
      <c r="AF103" s="897">
        <f t="shared" si="37"/>
        <v>0</v>
      </c>
      <c r="AG103" s="895">
        <f t="shared" si="38"/>
        <v>0</v>
      </c>
      <c r="AH103" s="898" t="str">
        <f>IF(AND(P103=Y103,Y103=AF103),"","Error")</f>
        <v/>
      </c>
      <c r="AI103" s="863">
        <f>'Enterprise Template'!$E$2</f>
        <v>0</v>
      </c>
    </row>
    <row r="104" spans="1:35">
      <c r="A104" s="892" t="s">
        <v>386</v>
      </c>
      <c r="B104" s="893" t="s">
        <v>3014</v>
      </c>
      <c r="C104" s="772"/>
      <c r="D104" s="772"/>
      <c r="E104" s="772"/>
      <c r="F104" s="773"/>
      <c r="G104" s="773"/>
      <c r="H104" s="773"/>
      <c r="I104" s="773"/>
      <c r="J104" s="773"/>
      <c r="K104" s="773"/>
      <c r="L104" s="773"/>
      <c r="M104" s="773"/>
      <c r="N104" s="773"/>
      <c r="O104" s="773"/>
      <c r="P104" s="894">
        <f>IF(SUM(F104:O104)=(SUM(R104:U104)),(SUM(F104:O104)))</f>
        <v>0</v>
      </c>
      <c r="Q104" s="895">
        <f t="shared" si="34"/>
        <v>0</v>
      </c>
      <c r="R104" s="770"/>
      <c r="S104" s="770"/>
      <c r="T104" s="770"/>
      <c r="U104" s="770"/>
      <c r="V104" s="770"/>
      <c r="W104" s="770"/>
      <c r="X104" s="770"/>
      <c r="Y104" s="905">
        <f t="shared" si="35"/>
        <v>0</v>
      </c>
      <c r="Z104" s="895">
        <f t="shared" si="36"/>
        <v>0</v>
      </c>
      <c r="AA104" s="770"/>
      <c r="AB104" s="770"/>
      <c r="AC104" s="770"/>
      <c r="AD104" s="770"/>
      <c r="AE104" s="771"/>
      <c r="AF104" s="897">
        <f t="shared" si="37"/>
        <v>0</v>
      </c>
      <c r="AG104" s="895">
        <f t="shared" si="38"/>
        <v>0</v>
      </c>
      <c r="AH104" s="898" t="str">
        <f>IF(AND(P104=Y104,Y104=AF104),"","Error")</f>
        <v/>
      </c>
      <c r="AI104" s="863">
        <f>'Enterprise Template'!$E$2</f>
        <v>0</v>
      </c>
    </row>
    <row r="105" spans="1:35">
      <c r="A105" s="892" t="s">
        <v>386</v>
      </c>
      <c r="B105" s="893" t="s">
        <v>3014</v>
      </c>
      <c r="C105" s="772"/>
      <c r="D105" s="772"/>
      <c r="E105" s="772"/>
      <c r="F105" s="773"/>
      <c r="G105" s="773"/>
      <c r="H105" s="773"/>
      <c r="I105" s="773"/>
      <c r="J105" s="773"/>
      <c r="K105" s="773"/>
      <c r="L105" s="773"/>
      <c r="M105" s="773"/>
      <c r="N105" s="773"/>
      <c r="O105" s="773"/>
      <c r="P105" s="894">
        <f>IF(SUM(F105:O105)=(SUM(R105:U105)),(SUM(F105:O105)))</f>
        <v>0</v>
      </c>
      <c r="Q105" s="895">
        <f t="shared" si="34"/>
        <v>0</v>
      </c>
      <c r="R105" s="770"/>
      <c r="S105" s="770"/>
      <c r="T105" s="770"/>
      <c r="U105" s="770"/>
      <c r="V105" s="770"/>
      <c r="W105" s="770"/>
      <c r="X105" s="770"/>
      <c r="Y105" s="905">
        <f t="shared" si="35"/>
        <v>0</v>
      </c>
      <c r="Z105" s="895">
        <f t="shared" si="36"/>
        <v>0</v>
      </c>
      <c r="AA105" s="770"/>
      <c r="AB105" s="770"/>
      <c r="AC105" s="770"/>
      <c r="AD105" s="770"/>
      <c r="AE105" s="771"/>
      <c r="AF105" s="897">
        <f t="shared" si="37"/>
        <v>0</v>
      </c>
      <c r="AG105" s="895">
        <f t="shared" si="38"/>
        <v>0</v>
      </c>
      <c r="AH105" s="898" t="str">
        <f>IF(AND(P105=Y105,Y105=AF105),"","Error")</f>
        <v/>
      </c>
      <c r="AI105" s="863">
        <f>'Enterprise Template'!$E$2</f>
        <v>0</v>
      </c>
    </row>
    <row r="106" spans="1:35">
      <c r="A106" s="892"/>
      <c r="B106" s="863"/>
      <c r="C106" s="899"/>
      <c r="D106" s="863"/>
      <c r="E106" s="863"/>
      <c r="F106" s="863"/>
      <c r="G106" s="863"/>
      <c r="H106" s="863"/>
      <c r="I106" s="863"/>
      <c r="J106" s="863"/>
      <c r="K106" s="863"/>
      <c r="L106" s="863"/>
      <c r="M106" s="863"/>
      <c r="N106" s="863"/>
      <c r="O106" s="900"/>
      <c r="P106" s="863"/>
      <c r="Q106" s="901"/>
      <c r="R106" s="902"/>
      <c r="S106" s="902"/>
      <c r="T106" s="902"/>
      <c r="U106" s="902"/>
      <c r="V106" s="902"/>
      <c r="W106" s="902"/>
      <c r="X106" s="902"/>
      <c r="Y106" s="903"/>
      <c r="Z106" s="901"/>
      <c r="AA106" s="902"/>
      <c r="AB106" s="902"/>
      <c r="AC106" s="902"/>
      <c r="AD106" s="902"/>
      <c r="AE106" s="904"/>
      <c r="AF106" s="863"/>
      <c r="AG106" s="901"/>
      <c r="AH106" s="898"/>
      <c r="AI106" s="863"/>
    </row>
    <row r="107" spans="1:35">
      <c r="A107" s="892" t="s">
        <v>386</v>
      </c>
      <c r="B107" s="893" t="s">
        <v>350</v>
      </c>
      <c r="C107" s="772"/>
      <c r="D107" s="772"/>
      <c r="E107" s="772"/>
      <c r="F107" s="773"/>
      <c r="G107" s="773"/>
      <c r="H107" s="773"/>
      <c r="I107" s="773"/>
      <c r="J107" s="773"/>
      <c r="K107" s="773"/>
      <c r="L107" s="773"/>
      <c r="M107" s="773"/>
      <c r="N107" s="773"/>
      <c r="O107" s="773"/>
      <c r="P107" s="894">
        <f>IF(SUM(F107:O107)=(SUM(R107:U107)),(SUM(F107:O107)))</f>
        <v>0</v>
      </c>
      <c r="Q107" s="895">
        <f t="shared" ref="Q107:Q111" si="39">SUM(F107:O107)-SUM(R107:U107)</f>
        <v>0</v>
      </c>
      <c r="R107" s="770"/>
      <c r="S107" s="770"/>
      <c r="T107" s="770"/>
      <c r="U107" s="770"/>
      <c r="V107" s="770"/>
      <c r="W107" s="770"/>
      <c r="X107" s="770"/>
      <c r="Y107" s="905">
        <f t="shared" si="0"/>
        <v>0</v>
      </c>
      <c r="Z107" s="895">
        <f t="shared" si="1"/>
        <v>0</v>
      </c>
      <c r="AA107" s="770"/>
      <c r="AB107" s="770"/>
      <c r="AC107" s="770"/>
      <c r="AD107" s="770"/>
      <c r="AE107" s="771"/>
      <c r="AF107" s="897">
        <f t="shared" si="2"/>
        <v>0</v>
      </c>
      <c r="AG107" s="895">
        <f t="shared" si="3"/>
        <v>0</v>
      </c>
      <c r="AH107" s="898" t="str">
        <f>IF(AND(P107=Y107,Y107=AF107),"","Error")</f>
        <v/>
      </c>
      <c r="AI107" s="863">
        <f>'Enterprise Template'!$E$2</f>
        <v>0</v>
      </c>
    </row>
    <row r="108" spans="1:35">
      <c r="A108" s="892" t="s">
        <v>386</v>
      </c>
      <c r="B108" s="893" t="s">
        <v>350</v>
      </c>
      <c r="C108" s="772"/>
      <c r="D108" s="772"/>
      <c r="E108" s="772"/>
      <c r="F108" s="773"/>
      <c r="G108" s="773"/>
      <c r="H108" s="773"/>
      <c r="I108" s="773"/>
      <c r="J108" s="773"/>
      <c r="K108" s="773"/>
      <c r="L108" s="773"/>
      <c r="M108" s="773"/>
      <c r="N108" s="773"/>
      <c r="O108" s="773"/>
      <c r="P108" s="894">
        <f>IF(SUM(F108:O108)=(SUM(R108:U108)),(SUM(F108:O108)))</f>
        <v>0</v>
      </c>
      <c r="Q108" s="895">
        <f t="shared" si="39"/>
        <v>0</v>
      </c>
      <c r="R108" s="770"/>
      <c r="S108" s="770"/>
      <c r="T108" s="770"/>
      <c r="U108" s="770"/>
      <c r="V108" s="770"/>
      <c r="W108" s="770"/>
      <c r="X108" s="770"/>
      <c r="Y108" s="905">
        <f t="shared" ref="Y108:Y111" si="40">IF(SUM(R108:U108)=SUM(V108:X108), SUM(V108:X108),"Error")</f>
        <v>0</v>
      </c>
      <c r="Z108" s="895">
        <f t="shared" ref="Z108:Z111" si="41">SUM(R108:U108)-SUM(V108:X108)</f>
        <v>0</v>
      </c>
      <c r="AA108" s="770"/>
      <c r="AB108" s="770"/>
      <c r="AC108" s="770"/>
      <c r="AD108" s="770"/>
      <c r="AE108" s="771"/>
      <c r="AF108" s="897">
        <f t="shared" si="2"/>
        <v>0</v>
      </c>
      <c r="AG108" s="895">
        <f t="shared" si="3"/>
        <v>0</v>
      </c>
      <c r="AH108" s="898" t="str">
        <f>IF(AND(P108=Y108,Y108=AF108),"","Error")</f>
        <v/>
      </c>
      <c r="AI108" s="863">
        <f>'Enterprise Template'!$E$2</f>
        <v>0</v>
      </c>
    </row>
    <row r="109" spans="1:35">
      <c r="A109" s="892" t="s">
        <v>386</v>
      </c>
      <c r="B109" s="893" t="s">
        <v>350</v>
      </c>
      <c r="C109" s="772"/>
      <c r="D109" s="772"/>
      <c r="E109" s="772"/>
      <c r="F109" s="773"/>
      <c r="G109" s="773"/>
      <c r="H109" s="773"/>
      <c r="I109" s="773"/>
      <c r="J109" s="773"/>
      <c r="K109" s="773"/>
      <c r="L109" s="773"/>
      <c r="M109" s="773"/>
      <c r="N109" s="773"/>
      <c r="O109" s="773"/>
      <c r="P109" s="894">
        <f>IF(SUM(F109:O109)=(SUM(R109:U109)),(SUM(F109:O109)))</f>
        <v>0</v>
      </c>
      <c r="Q109" s="895">
        <f t="shared" si="39"/>
        <v>0</v>
      </c>
      <c r="R109" s="770"/>
      <c r="S109" s="770"/>
      <c r="T109" s="770"/>
      <c r="U109" s="770"/>
      <c r="V109" s="770"/>
      <c r="W109" s="770"/>
      <c r="X109" s="770"/>
      <c r="Y109" s="905">
        <f t="shared" si="40"/>
        <v>0</v>
      </c>
      <c r="Z109" s="895">
        <f t="shared" si="41"/>
        <v>0</v>
      </c>
      <c r="AA109" s="770"/>
      <c r="AB109" s="770"/>
      <c r="AC109" s="770"/>
      <c r="AD109" s="770"/>
      <c r="AE109" s="771"/>
      <c r="AF109" s="897">
        <f t="shared" si="2"/>
        <v>0</v>
      </c>
      <c r="AG109" s="895">
        <f t="shared" si="3"/>
        <v>0</v>
      </c>
      <c r="AH109" s="898" t="str">
        <f>IF(AND(P109=Y109,Y109=AF109),"","Error")</f>
        <v/>
      </c>
      <c r="AI109" s="863">
        <f>'Enterprise Template'!$E$2</f>
        <v>0</v>
      </c>
    </row>
    <row r="110" spans="1:35">
      <c r="A110" s="892" t="s">
        <v>386</v>
      </c>
      <c r="B110" s="893" t="s">
        <v>350</v>
      </c>
      <c r="C110" s="772"/>
      <c r="D110" s="772"/>
      <c r="E110" s="772"/>
      <c r="F110" s="773"/>
      <c r="G110" s="773"/>
      <c r="H110" s="773"/>
      <c r="I110" s="773"/>
      <c r="J110" s="773"/>
      <c r="K110" s="773"/>
      <c r="L110" s="773"/>
      <c r="M110" s="773"/>
      <c r="N110" s="773"/>
      <c r="O110" s="773"/>
      <c r="P110" s="894">
        <f>IF(SUM(F110:O110)=(SUM(R110:U110)),(SUM(F110:O110)))</f>
        <v>0</v>
      </c>
      <c r="Q110" s="895">
        <f t="shared" si="39"/>
        <v>0</v>
      </c>
      <c r="R110" s="770"/>
      <c r="S110" s="770"/>
      <c r="T110" s="770"/>
      <c r="U110" s="770"/>
      <c r="V110" s="770"/>
      <c r="W110" s="770"/>
      <c r="X110" s="770"/>
      <c r="Y110" s="905">
        <f t="shared" si="40"/>
        <v>0</v>
      </c>
      <c r="Z110" s="895">
        <f t="shared" si="41"/>
        <v>0</v>
      </c>
      <c r="AA110" s="770"/>
      <c r="AB110" s="770"/>
      <c r="AC110" s="770"/>
      <c r="AD110" s="770"/>
      <c r="AE110" s="771"/>
      <c r="AF110" s="897">
        <f t="shared" si="2"/>
        <v>0</v>
      </c>
      <c r="AG110" s="895">
        <f t="shared" si="3"/>
        <v>0</v>
      </c>
      <c r="AH110" s="898" t="str">
        <f>IF(AND(P110=Y110,Y110=AF110),"","Error")</f>
        <v/>
      </c>
      <c r="AI110" s="863">
        <f>'Enterprise Template'!$E$2</f>
        <v>0</v>
      </c>
    </row>
    <row r="111" spans="1:35">
      <c r="A111" s="892" t="s">
        <v>386</v>
      </c>
      <c r="B111" s="893" t="s">
        <v>350</v>
      </c>
      <c r="C111" s="772"/>
      <c r="D111" s="772"/>
      <c r="E111" s="772"/>
      <c r="F111" s="773"/>
      <c r="G111" s="773"/>
      <c r="H111" s="773"/>
      <c r="I111" s="773"/>
      <c r="J111" s="773"/>
      <c r="K111" s="773"/>
      <c r="L111" s="773"/>
      <c r="M111" s="773"/>
      <c r="N111" s="773"/>
      <c r="O111" s="773"/>
      <c r="P111" s="894">
        <f>IF(SUM(F111:O111)=(SUM(R111:U111)),(SUM(F111:O111)))</f>
        <v>0</v>
      </c>
      <c r="Q111" s="895">
        <f t="shared" si="39"/>
        <v>0</v>
      </c>
      <c r="R111" s="770"/>
      <c r="S111" s="770"/>
      <c r="T111" s="770"/>
      <c r="U111" s="770"/>
      <c r="V111" s="770"/>
      <c r="W111" s="770"/>
      <c r="X111" s="770"/>
      <c r="Y111" s="905">
        <f t="shared" si="40"/>
        <v>0</v>
      </c>
      <c r="Z111" s="895">
        <f t="shared" si="41"/>
        <v>0</v>
      </c>
      <c r="AA111" s="770"/>
      <c r="AB111" s="770"/>
      <c r="AC111" s="770"/>
      <c r="AD111" s="770"/>
      <c r="AE111" s="771"/>
      <c r="AF111" s="897">
        <f t="shared" si="2"/>
        <v>0</v>
      </c>
      <c r="AG111" s="895">
        <f t="shared" si="3"/>
        <v>0</v>
      </c>
      <c r="AH111" s="898" t="str">
        <f>IF(AND(P111=Y111,Y111=AF111),"","Error")</f>
        <v/>
      </c>
      <c r="AI111" s="863">
        <f>'Enterprise Template'!$E$2</f>
        <v>0</v>
      </c>
    </row>
    <row r="112" spans="1:35">
      <c r="A112" s="892"/>
      <c r="B112" s="863"/>
      <c r="C112" s="899"/>
      <c r="D112" s="863"/>
      <c r="E112" s="863"/>
      <c r="F112" s="863"/>
      <c r="G112" s="863"/>
      <c r="H112" s="863"/>
      <c r="I112" s="863"/>
      <c r="J112" s="863"/>
      <c r="K112" s="863"/>
      <c r="L112" s="863"/>
      <c r="M112" s="863"/>
      <c r="N112" s="863"/>
      <c r="O112" s="914"/>
      <c r="P112" s="863"/>
      <c r="Q112" s="901"/>
      <c r="R112" s="871"/>
      <c r="S112" s="871"/>
      <c r="T112" s="871"/>
      <c r="U112" s="871"/>
      <c r="V112" s="902"/>
      <c r="W112" s="902"/>
      <c r="X112" s="902"/>
      <c r="Y112" s="903"/>
      <c r="Z112" s="901"/>
      <c r="AA112" s="902"/>
      <c r="AB112" s="902"/>
      <c r="AC112" s="902"/>
      <c r="AD112" s="902"/>
      <c r="AE112" s="904"/>
      <c r="AF112" s="863"/>
      <c r="AG112" s="901"/>
      <c r="AH112" s="898"/>
      <c r="AI112" s="863"/>
    </row>
    <row r="113" spans="1:35">
      <c r="A113" s="892" t="s">
        <v>387</v>
      </c>
      <c r="B113" s="893" t="s">
        <v>705</v>
      </c>
      <c r="C113" s="772"/>
      <c r="D113" s="772"/>
      <c r="E113" s="772"/>
      <c r="F113" s="915"/>
      <c r="G113" s="915"/>
      <c r="H113" s="915"/>
      <c r="I113" s="916"/>
      <c r="J113" s="916"/>
      <c r="K113" s="916"/>
      <c r="L113" s="916"/>
      <c r="M113" s="916"/>
      <c r="N113" s="916"/>
      <c r="O113" s="916"/>
      <c r="P113" s="917"/>
      <c r="Q113" s="918"/>
      <c r="R113" s="893"/>
      <c r="S113" s="893"/>
      <c r="T113" s="893"/>
      <c r="U113" s="919"/>
      <c r="V113" s="770"/>
      <c r="W113" s="770"/>
      <c r="X113" s="770"/>
      <c r="Y113" s="905">
        <f t="shared" ref="Y113:Y154" si="42">SUM(V113:X113)</f>
        <v>0</v>
      </c>
      <c r="Z113" s="918"/>
      <c r="AA113" s="770"/>
      <c r="AB113" s="770"/>
      <c r="AC113" s="770"/>
      <c r="AD113" s="770"/>
      <c r="AE113" s="771"/>
      <c r="AF113" s="897">
        <f t="shared" si="2"/>
        <v>0</v>
      </c>
      <c r="AG113" s="895">
        <f t="shared" si="3"/>
        <v>0</v>
      </c>
      <c r="AH113" s="898"/>
      <c r="AI113" s="863">
        <f>'Enterprise Template'!$E$2</f>
        <v>0</v>
      </c>
    </row>
    <row r="114" spans="1:35">
      <c r="A114" s="892" t="s">
        <v>387</v>
      </c>
      <c r="B114" s="893" t="s">
        <v>705</v>
      </c>
      <c r="C114" s="772"/>
      <c r="D114" s="772"/>
      <c r="E114" s="772"/>
      <c r="F114" s="915"/>
      <c r="G114" s="915"/>
      <c r="H114" s="915"/>
      <c r="I114" s="916"/>
      <c r="J114" s="916"/>
      <c r="K114" s="916"/>
      <c r="L114" s="916"/>
      <c r="M114" s="916"/>
      <c r="N114" s="916"/>
      <c r="O114" s="916"/>
      <c r="P114" s="917"/>
      <c r="Q114" s="918"/>
      <c r="R114" s="893"/>
      <c r="S114" s="893"/>
      <c r="T114" s="893"/>
      <c r="U114" s="919"/>
      <c r="V114" s="770"/>
      <c r="W114" s="770"/>
      <c r="X114" s="770"/>
      <c r="Y114" s="905">
        <f t="shared" si="42"/>
        <v>0</v>
      </c>
      <c r="Z114" s="918"/>
      <c r="AA114" s="770"/>
      <c r="AB114" s="770"/>
      <c r="AC114" s="770"/>
      <c r="AD114" s="770"/>
      <c r="AE114" s="771"/>
      <c r="AF114" s="897">
        <f t="shared" ref="AF114:AF117" si="43">IF(SUM(AA114:AE114)=Y114,SUM(AA114:AE114),"Error")</f>
        <v>0</v>
      </c>
      <c r="AG114" s="895">
        <f t="shared" si="3"/>
        <v>0</v>
      </c>
      <c r="AH114" s="898"/>
      <c r="AI114" s="863">
        <f>'Enterprise Template'!$E$2</f>
        <v>0</v>
      </c>
    </row>
    <row r="115" spans="1:35">
      <c r="A115" s="892" t="s">
        <v>387</v>
      </c>
      <c r="B115" s="893" t="s">
        <v>705</v>
      </c>
      <c r="C115" s="772"/>
      <c r="D115" s="772"/>
      <c r="E115" s="772"/>
      <c r="F115" s="915"/>
      <c r="G115" s="915"/>
      <c r="H115" s="915"/>
      <c r="I115" s="916"/>
      <c r="J115" s="916"/>
      <c r="K115" s="916"/>
      <c r="L115" s="916"/>
      <c r="M115" s="916"/>
      <c r="N115" s="916"/>
      <c r="O115" s="916"/>
      <c r="P115" s="917"/>
      <c r="Q115" s="918"/>
      <c r="R115" s="893"/>
      <c r="S115" s="893"/>
      <c r="T115" s="893"/>
      <c r="U115" s="893"/>
      <c r="V115" s="770"/>
      <c r="W115" s="770"/>
      <c r="X115" s="770"/>
      <c r="Y115" s="905">
        <f t="shared" si="42"/>
        <v>0</v>
      </c>
      <c r="Z115" s="918"/>
      <c r="AA115" s="770"/>
      <c r="AB115" s="770"/>
      <c r="AC115" s="770"/>
      <c r="AD115" s="770"/>
      <c r="AE115" s="771"/>
      <c r="AF115" s="897">
        <f t="shared" si="43"/>
        <v>0</v>
      </c>
      <c r="AG115" s="895">
        <f t="shared" si="3"/>
        <v>0</v>
      </c>
      <c r="AH115" s="898"/>
      <c r="AI115" s="863">
        <f>'Enterprise Template'!$E$2</f>
        <v>0</v>
      </c>
    </row>
    <row r="116" spans="1:35">
      <c r="A116" s="892" t="s">
        <v>387</v>
      </c>
      <c r="B116" s="893" t="s">
        <v>705</v>
      </c>
      <c r="C116" s="772"/>
      <c r="D116" s="772"/>
      <c r="E116" s="772"/>
      <c r="F116" s="915"/>
      <c r="G116" s="915"/>
      <c r="H116" s="915"/>
      <c r="I116" s="916"/>
      <c r="J116" s="916"/>
      <c r="K116" s="916"/>
      <c r="L116" s="916"/>
      <c r="M116" s="916"/>
      <c r="N116" s="916"/>
      <c r="O116" s="916"/>
      <c r="P116" s="917"/>
      <c r="Q116" s="918"/>
      <c r="R116" s="893"/>
      <c r="S116" s="893"/>
      <c r="T116" s="893"/>
      <c r="U116" s="893"/>
      <c r="V116" s="770"/>
      <c r="W116" s="770"/>
      <c r="X116" s="770"/>
      <c r="Y116" s="905">
        <f t="shared" si="42"/>
        <v>0</v>
      </c>
      <c r="Z116" s="918"/>
      <c r="AA116" s="770"/>
      <c r="AB116" s="770"/>
      <c r="AC116" s="770"/>
      <c r="AD116" s="770"/>
      <c r="AE116" s="771"/>
      <c r="AF116" s="897">
        <f t="shared" si="43"/>
        <v>0</v>
      </c>
      <c r="AG116" s="895">
        <f t="shared" si="3"/>
        <v>0</v>
      </c>
      <c r="AH116" s="898"/>
      <c r="AI116" s="863">
        <f>'Enterprise Template'!$E$2</f>
        <v>0</v>
      </c>
    </row>
    <row r="117" spans="1:35">
      <c r="A117" s="892" t="s">
        <v>387</v>
      </c>
      <c r="B117" s="893" t="s">
        <v>705</v>
      </c>
      <c r="C117" s="772"/>
      <c r="D117" s="772"/>
      <c r="E117" s="772"/>
      <c r="F117" s="915"/>
      <c r="G117" s="915"/>
      <c r="H117" s="915"/>
      <c r="I117" s="916"/>
      <c r="J117" s="916"/>
      <c r="K117" s="916"/>
      <c r="L117" s="916"/>
      <c r="M117" s="916"/>
      <c r="N117" s="916"/>
      <c r="O117" s="916"/>
      <c r="P117" s="917"/>
      <c r="Q117" s="918"/>
      <c r="R117" s="893"/>
      <c r="S117" s="893"/>
      <c r="T117" s="893"/>
      <c r="U117" s="893"/>
      <c r="V117" s="770"/>
      <c r="W117" s="770"/>
      <c r="X117" s="770"/>
      <c r="Y117" s="905">
        <f t="shared" si="42"/>
        <v>0</v>
      </c>
      <c r="Z117" s="918"/>
      <c r="AA117" s="770"/>
      <c r="AB117" s="770"/>
      <c r="AC117" s="770"/>
      <c r="AD117" s="770"/>
      <c r="AE117" s="771"/>
      <c r="AF117" s="897">
        <f t="shared" si="43"/>
        <v>0</v>
      </c>
      <c r="AG117" s="895">
        <f t="shared" si="3"/>
        <v>0</v>
      </c>
      <c r="AH117" s="898"/>
      <c r="AI117" s="863">
        <f>'Enterprise Template'!$E$2</f>
        <v>0</v>
      </c>
    </row>
    <row r="118" spans="1:35">
      <c r="A118" s="892"/>
      <c r="B118" s="863"/>
      <c r="C118" s="899"/>
      <c r="D118" s="863"/>
      <c r="E118" s="863"/>
      <c r="F118" s="863"/>
      <c r="G118" s="863"/>
      <c r="H118" s="863"/>
      <c r="I118" s="863"/>
      <c r="J118" s="863"/>
      <c r="K118" s="863"/>
      <c r="L118" s="863"/>
      <c r="M118" s="863"/>
      <c r="N118" s="863"/>
      <c r="O118" s="914"/>
      <c r="P118" s="863"/>
      <c r="Q118" s="901"/>
      <c r="R118" s="863"/>
      <c r="S118" s="863"/>
      <c r="T118" s="863"/>
      <c r="U118" s="863"/>
      <c r="V118" s="902"/>
      <c r="W118" s="902"/>
      <c r="X118" s="902"/>
      <c r="Y118" s="903"/>
      <c r="Z118" s="901"/>
      <c r="AA118" s="902"/>
      <c r="AB118" s="902"/>
      <c r="AC118" s="902"/>
      <c r="AD118" s="902"/>
      <c r="AE118" s="904"/>
      <c r="AF118" s="863"/>
      <c r="AG118" s="901"/>
      <c r="AH118" s="898"/>
      <c r="AI118" s="863"/>
    </row>
    <row r="119" spans="1:35">
      <c r="A119" s="892" t="s">
        <v>387</v>
      </c>
      <c r="B119" s="893" t="s">
        <v>706</v>
      </c>
      <c r="C119" s="772"/>
      <c r="D119" s="772"/>
      <c r="E119" s="772"/>
      <c r="F119" s="915"/>
      <c r="G119" s="915"/>
      <c r="H119" s="915"/>
      <c r="I119" s="916"/>
      <c r="J119" s="916"/>
      <c r="K119" s="916"/>
      <c r="L119" s="916"/>
      <c r="M119" s="916"/>
      <c r="N119" s="916"/>
      <c r="O119" s="916"/>
      <c r="P119" s="917"/>
      <c r="Q119" s="918"/>
      <c r="R119" s="893"/>
      <c r="S119" s="893"/>
      <c r="T119" s="893"/>
      <c r="U119" s="893"/>
      <c r="V119" s="770"/>
      <c r="W119" s="770"/>
      <c r="X119" s="770"/>
      <c r="Y119" s="905">
        <f t="shared" si="42"/>
        <v>0</v>
      </c>
      <c r="Z119" s="918"/>
      <c r="AA119" s="770"/>
      <c r="AB119" s="770"/>
      <c r="AC119" s="770"/>
      <c r="AD119" s="770"/>
      <c r="AE119" s="771"/>
      <c r="AF119" s="897">
        <f t="shared" si="2"/>
        <v>0</v>
      </c>
      <c r="AG119" s="895">
        <f t="shared" si="3"/>
        <v>0</v>
      </c>
      <c r="AH119" s="898"/>
      <c r="AI119" s="863">
        <f>'Enterprise Template'!$E$2</f>
        <v>0</v>
      </c>
    </row>
    <row r="120" spans="1:35">
      <c r="A120" s="892" t="s">
        <v>387</v>
      </c>
      <c r="B120" s="893" t="s">
        <v>706</v>
      </c>
      <c r="C120" s="772"/>
      <c r="D120" s="772"/>
      <c r="E120" s="772"/>
      <c r="F120" s="915"/>
      <c r="G120" s="915"/>
      <c r="H120" s="915"/>
      <c r="I120" s="916"/>
      <c r="J120" s="916"/>
      <c r="K120" s="916"/>
      <c r="L120" s="916"/>
      <c r="M120" s="916"/>
      <c r="N120" s="916"/>
      <c r="O120" s="916"/>
      <c r="P120" s="917"/>
      <c r="Q120" s="918"/>
      <c r="R120" s="893"/>
      <c r="S120" s="893"/>
      <c r="T120" s="893"/>
      <c r="U120" s="893"/>
      <c r="V120" s="770"/>
      <c r="W120" s="770"/>
      <c r="X120" s="770"/>
      <c r="Y120" s="905">
        <f t="shared" si="42"/>
        <v>0</v>
      </c>
      <c r="Z120" s="918"/>
      <c r="AA120" s="770"/>
      <c r="AB120" s="770"/>
      <c r="AC120" s="770"/>
      <c r="AD120" s="770"/>
      <c r="AE120" s="771"/>
      <c r="AF120" s="897">
        <f t="shared" ref="AF120:AF123" si="44">IF(SUM(AA120:AE120)=Y120,SUM(AA120:AE120),"Error")</f>
        <v>0</v>
      </c>
      <c r="AG120" s="895">
        <f t="shared" si="3"/>
        <v>0</v>
      </c>
      <c r="AH120" s="898"/>
      <c r="AI120" s="863">
        <f>'Enterprise Template'!$E$2</f>
        <v>0</v>
      </c>
    </row>
    <row r="121" spans="1:35">
      <c r="A121" s="892" t="s">
        <v>387</v>
      </c>
      <c r="B121" s="893" t="s">
        <v>706</v>
      </c>
      <c r="C121" s="772"/>
      <c r="D121" s="772"/>
      <c r="E121" s="772"/>
      <c r="F121" s="915"/>
      <c r="G121" s="915"/>
      <c r="H121" s="915"/>
      <c r="I121" s="916"/>
      <c r="J121" s="916"/>
      <c r="K121" s="916"/>
      <c r="L121" s="916"/>
      <c r="M121" s="916"/>
      <c r="N121" s="916"/>
      <c r="O121" s="916"/>
      <c r="P121" s="917"/>
      <c r="Q121" s="918"/>
      <c r="R121" s="893"/>
      <c r="S121" s="893"/>
      <c r="T121" s="893"/>
      <c r="U121" s="893"/>
      <c r="V121" s="770"/>
      <c r="W121" s="770"/>
      <c r="X121" s="770"/>
      <c r="Y121" s="905">
        <f t="shared" si="42"/>
        <v>0</v>
      </c>
      <c r="Z121" s="918"/>
      <c r="AA121" s="770"/>
      <c r="AB121" s="770"/>
      <c r="AC121" s="770"/>
      <c r="AD121" s="770"/>
      <c r="AE121" s="771"/>
      <c r="AF121" s="897">
        <f t="shared" si="44"/>
        <v>0</v>
      </c>
      <c r="AG121" s="895">
        <f t="shared" si="3"/>
        <v>0</v>
      </c>
      <c r="AH121" s="898"/>
      <c r="AI121" s="863">
        <f>'Enterprise Template'!$E$2</f>
        <v>0</v>
      </c>
    </row>
    <row r="122" spans="1:35">
      <c r="A122" s="892" t="s">
        <v>387</v>
      </c>
      <c r="B122" s="893" t="s">
        <v>706</v>
      </c>
      <c r="C122" s="772"/>
      <c r="D122" s="772"/>
      <c r="E122" s="772"/>
      <c r="F122" s="915"/>
      <c r="G122" s="915"/>
      <c r="H122" s="915"/>
      <c r="I122" s="916"/>
      <c r="J122" s="916"/>
      <c r="K122" s="916"/>
      <c r="L122" s="916"/>
      <c r="M122" s="916"/>
      <c r="N122" s="916"/>
      <c r="O122" s="916"/>
      <c r="P122" s="917"/>
      <c r="Q122" s="918"/>
      <c r="R122" s="893"/>
      <c r="S122" s="893"/>
      <c r="T122" s="893"/>
      <c r="U122" s="893"/>
      <c r="V122" s="770"/>
      <c r="W122" s="770"/>
      <c r="X122" s="770"/>
      <c r="Y122" s="905">
        <f t="shared" si="42"/>
        <v>0</v>
      </c>
      <c r="Z122" s="918"/>
      <c r="AA122" s="770"/>
      <c r="AB122" s="770"/>
      <c r="AC122" s="770"/>
      <c r="AD122" s="770"/>
      <c r="AE122" s="771"/>
      <c r="AF122" s="897">
        <f t="shared" si="44"/>
        <v>0</v>
      </c>
      <c r="AG122" s="895">
        <f t="shared" si="3"/>
        <v>0</v>
      </c>
      <c r="AH122" s="898"/>
      <c r="AI122" s="863">
        <f>'Enterprise Template'!$E$2</f>
        <v>0</v>
      </c>
    </row>
    <row r="123" spans="1:35">
      <c r="A123" s="892" t="s">
        <v>387</v>
      </c>
      <c r="B123" s="893" t="s">
        <v>706</v>
      </c>
      <c r="C123" s="772"/>
      <c r="D123" s="772"/>
      <c r="E123" s="772"/>
      <c r="F123" s="915"/>
      <c r="G123" s="915"/>
      <c r="H123" s="915"/>
      <c r="I123" s="916"/>
      <c r="J123" s="916"/>
      <c r="K123" s="916"/>
      <c r="L123" s="916"/>
      <c r="M123" s="916"/>
      <c r="N123" s="916"/>
      <c r="O123" s="916"/>
      <c r="P123" s="917"/>
      <c r="Q123" s="918"/>
      <c r="R123" s="893"/>
      <c r="S123" s="893"/>
      <c r="T123" s="893"/>
      <c r="U123" s="893"/>
      <c r="V123" s="770"/>
      <c r="W123" s="770"/>
      <c r="X123" s="770"/>
      <c r="Y123" s="905">
        <f t="shared" si="42"/>
        <v>0</v>
      </c>
      <c r="Z123" s="918"/>
      <c r="AA123" s="770"/>
      <c r="AB123" s="770"/>
      <c r="AC123" s="770"/>
      <c r="AD123" s="770"/>
      <c r="AE123" s="771"/>
      <c r="AF123" s="897">
        <f t="shared" si="44"/>
        <v>0</v>
      </c>
      <c r="AG123" s="895">
        <f t="shared" si="3"/>
        <v>0</v>
      </c>
      <c r="AH123" s="898"/>
      <c r="AI123" s="863">
        <f>'Enterprise Template'!$E$2</f>
        <v>0</v>
      </c>
    </row>
    <row r="124" spans="1:35">
      <c r="A124" s="892"/>
      <c r="B124" s="863"/>
      <c r="C124" s="899"/>
      <c r="D124" s="863"/>
      <c r="E124" s="863"/>
      <c r="F124" s="863"/>
      <c r="G124" s="863"/>
      <c r="H124" s="863"/>
      <c r="I124" s="863"/>
      <c r="J124" s="863"/>
      <c r="K124" s="863"/>
      <c r="L124" s="863"/>
      <c r="M124" s="863"/>
      <c r="N124" s="863"/>
      <c r="O124" s="914"/>
      <c r="P124" s="863"/>
      <c r="Q124" s="901"/>
      <c r="R124" s="863"/>
      <c r="S124" s="863"/>
      <c r="T124" s="863"/>
      <c r="U124" s="863"/>
      <c r="V124" s="902"/>
      <c r="W124" s="902"/>
      <c r="X124" s="902"/>
      <c r="Y124" s="903"/>
      <c r="Z124" s="901"/>
      <c r="AA124" s="902"/>
      <c r="AB124" s="902"/>
      <c r="AC124" s="902"/>
      <c r="AD124" s="902"/>
      <c r="AE124" s="904"/>
      <c r="AF124" s="863"/>
      <c r="AG124" s="901"/>
      <c r="AH124" s="898"/>
      <c r="AI124" s="863"/>
    </row>
    <row r="125" spans="1:35">
      <c r="A125" s="892" t="s">
        <v>387</v>
      </c>
      <c r="B125" s="893" t="s">
        <v>707</v>
      </c>
      <c r="C125" s="772"/>
      <c r="D125" s="772"/>
      <c r="E125" s="772"/>
      <c r="F125" s="915"/>
      <c r="G125" s="915"/>
      <c r="H125" s="915"/>
      <c r="I125" s="916"/>
      <c r="J125" s="916"/>
      <c r="K125" s="916"/>
      <c r="L125" s="916"/>
      <c r="M125" s="916"/>
      <c r="N125" s="916"/>
      <c r="O125" s="916"/>
      <c r="P125" s="917"/>
      <c r="Q125" s="918"/>
      <c r="R125" s="893"/>
      <c r="S125" s="893"/>
      <c r="T125" s="893"/>
      <c r="U125" s="893"/>
      <c r="V125" s="770"/>
      <c r="W125" s="770"/>
      <c r="X125" s="770"/>
      <c r="Y125" s="905">
        <f t="shared" si="42"/>
        <v>0</v>
      </c>
      <c r="Z125" s="918"/>
      <c r="AA125" s="770"/>
      <c r="AB125" s="770"/>
      <c r="AC125" s="770"/>
      <c r="AD125" s="770"/>
      <c r="AE125" s="771"/>
      <c r="AF125" s="897">
        <f t="shared" si="2"/>
        <v>0</v>
      </c>
      <c r="AG125" s="895">
        <f t="shared" si="3"/>
        <v>0</v>
      </c>
      <c r="AH125" s="898"/>
      <c r="AI125" s="863">
        <f>'Enterprise Template'!$E$2</f>
        <v>0</v>
      </c>
    </row>
    <row r="126" spans="1:35">
      <c r="A126" s="892" t="s">
        <v>387</v>
      </c>
      <c r="B126" s="893" t="s">
        <v>707</v>
      </c>
      <c r="C126" s="772"/>
      <c r="D126" s="772"/>
      <c r="E126" s="772"/>
      <c r="F126" s="915"/>
      <c r="G126" s="915"/>
      <c r="H126" s="915"/>
      <c r="I126" s="916"/>
      <c r="J126" s="916"/>
      <c r="K126" s="916"/>
      <c r="L126" s="916"/>
      <c r="M126" s="916"/>
      <c r="N126" s="916"/>
      <c r="O126" s="916"/>
      <c r="P126" s="917"/>
      <c r="Q126" s="918"/>
      <c r="R126" s="893"/>
      <c r="S126" s="893"/>
      <c r="T126" s="893"/>
      <c r="U126" s="893"/>
      <c r="V126" s="770"/>
      <c r="W126" s="770"/>
      <c r="X126" s="770"/>
      <c r="Y126" s="905">
        <f t="shared" si="42"/>
        <v>0</v>
      </c>
      <c r="Z126" s="918"/>
      <c r="AA126" s="770"/>
      <c r="AB126" s="770"/>
      <c r="AC126" s="770"/>
      <c r="AD126" s="770"/>
      <c r="AE126" s="771"/>
      <c r="AF126" s="897">
        <f t="shared" ref="AF126:AF129" si="45">IF(SUM(AA126:AE126)=Y126,SUM(AA126:AE126),"Error")</f>
        <v>0</v>
      </c>
      <c r="AG126" s="895">
        <f t="shared" si="3"/>
        <v>0</v>
      </c>
      <c r="AH126" s="898"/>
      <c r="AI126" s="863">
        <f>'Enterprise Template'!$E$2</f>
        <v>0</v>
      </c>
    </row>
    <row r="127" spans="1:35">
      <c r="A127" s="892" t="s">
        <v>387</v>
      </c>
      <c r="B127" s="893" t="s">
        <v>707</v>
      </c>
      <c r="C127" s="772"/>
      <c r="D127" s="772"/>
      <c r="E127" s="772"/>
      <c r="F127" s="915"/>
      <c r="G127" s="915"/>
      <c r="H127" s="915"/>
      <c r="I127" s="916"/>
      <c r="J127" s="916"/>
      <c r="K127" s="916"/>
      <c r="L127" s="916"/>
      <c r="M127" s="916"/>
      <c r="N127" s="916"/>
      <c r="O127" s="916"/>
      <c r="P127" s="917"/>
      <c r="Q127" s="918"/>
      <c r="R127" s="893"/>
      <c r="S127" s="893"/>
      <c r="T127" s="893"/>
      <c r="U127" s="893"/>
      <c r="V127" s="770"/>
      <c r="W127" s="770"/>
      <c r="X127" s="770"/>
      <c r="Y127" s="905">
        <f t="shared" si="42"/>
        <v>0</v>
      </c>
      <c r="Z127" s="918"/>
      <c r="AA127" s="770"/>
      <c r="AB127" s="770"/>
      <c r="AC127" s="770"/>
      <c r="AD127" s="770"/>
      <c r="AE127" s="771"/>
      <c r="AF127" s="897">
        <f t="shared" si="45"/>
        <v>0</v>
      </c>
      <c r="AG127" s="895">
        <f t="shared" si="3"/>
        <v>0</v>
      </c>
      <c r="AH127" s="898"/>
      <c r="AI127" s="863">
        <f>'Enterprise Template'!$E$2</f>
        <v>0</v>
      </c>
    </row>
    <row r="128" spans="1:35">
      <c r="A128" s="892" t="s">
        <v>387</v>
      </c>
      <c r="B128" s="893" t="s">
        <v>707</v>
      </c>
      <c r="C128" s="772"/>
      <c r="D128" s="772"/>
      <c r="E128" s="772"/>
      <c r="F128" s="915"/>
      <c r="G128" s="915"/>
      <c r="H128" s="915"/>
      <c r="I128" s="916"/>
      <c r="J128" s="916"/>
      <c r="K128" s="916"/>
      <c r="L128" s="916"/>
      <c r="M128" s="916"/>
      <c r="N128" s="916"/>
      <c r="O128" s="916"/>
      <c r="P128" s="917"/>
      <c r="Q128" s="918"/>
      <c r="R128" s="893"/>
      <c r="S128" s="893"/>
      <c r="T128" s="893"/>
      <c r="U128" s="893"/>
      <c r="V128" s="770"/>
      <c r="W128" s="770"/>
      <c r="X128" s="770"/>
      <c r="Y128" s="905">
        <f t="shared" si="42"/>
        <v>0</v>
      </c>
      <c r="Z128" s="918"/>
      <c r="AA128" s="770"/>
      <c r="AB128" s="770"/>
      <c r="AC128" s="770"/>
      <c r="AD128" s="770"/>
      <c r="AE128" s="771"/>
      <c r="AF128" s="897">
        <f t="shared" si="45"/>
        <v>0</v>
      </c>
      <c r="AG128" s="895">
        <f t="shared" si="3"/>
        <v>0</v>
      </c>
      <c r="AH128" s="898"/>
      <c r="AI128" s="863">
        <f>'Enterprise Template'!$E$2</f>
        <v>0</v>
      </c>
    </row>
    <row r="129" spans="1:35">
      <c r="A129" s="892" t="s">
        <v>387</v>
      </c>
      <c r="B129" s="893" t="s">
        <v>707</v>
      </c>
      <c r="C129" s="772"/>
      <c r="D129" s="772"/>
      <c r="E129" s="772"/>
      <c r="F129" s="915"/>
      <c r="G129" s="915"/>
      <c r="H129" s="915"/>
      <c r="I129" s="916"/>
      <c r="J129" s="916"/>
      <c r="K129" s="916"/>
      <c r="L129" s="916"/>
      <c r="M129" s="916"/>
      <c r="N129" s="916"/>
      <c r="O129" s="916"/>
      <c r="P129" s="917"/>
      <c r="Q129" s="918"/>
      <c r="R129" s="893"/>
      <c r="S129" s="893"/>
      <c r="T129" s="893"/>
      <c r="U129" s="893"/>
      <c r="V129" s="770"/>
      <c r="W129" s="770"/>
      <c r="X129" s="770"/>
      <c r="Y129" s="905">
        <f t="shared" si="42"/>
        <v>0</v>
      </c>
      <c r="Z129" s="918"/>
      <c r="AA129" s="770"/>
      <c r="AB129" s="770"/>
      <c r="AC129" s="770"/>
      <c r="AD129" s="770"/>
      <c r="AE129" s="771"/>
      <c r="AF129" s="897">
        <f t="shared" si="45"/>
        <v>0</v>
      </c>
      <c r="AG129" s="895">
        <f t="shared" si="3"/>
        <v>0</v>
      </c>
      <c r="AH129" s="898"/>
      <c r="AI129" s="863">
        <f>'Enterprise Template'!$E$2</f>
        <v>0</v>
      </c>
    </row>
    <row r="130" spans="1:35">
      <c r="A130" s="892"/>
      <c r="B130" s="863"/>
      <c r="C130" s="899"/>
      <c r="D130" s="863"/>
      <c r="E130" s="863"/>
      <c r="F130" s="863"/>
      <c r="G130" s="863"/>
      <c r="H130" s="863"/>
      <c r="I130" s="863"/>
      <c r="J130" s="863"/>
      <c r="K130" s="863"/>
      <c r="L130" s="863"/>
      <c r="M130" s="863"/>
      <c r="N130" s="863"/>
      <c r="O130" s="914"/>
      <c r="P130" s="863"/>
      <c r="Q130" s="901"/>
      <c r="R130" s="863"/>
      <c r="S130" s="863"/>
      <c r="T130" s="863"/>
      <c r="U130" s="863"/>
      <c r="V130" s="902"/>
      <c r="W130" s="902"/>
      <c r="X130" s="902"/>
      <c r="Y130" s="903"/>
      <c r="Z130" s="901"/>
      <c r="AA130" s="902"/>
      <c r="AB130" s="902"/>
      <c r="AC130" s="902"/>
      <c r="AD130" s="902"/>
      <c r="AE130" s="904"/>
      <c r="AF130" s="863"/>
      <c r="AG130" s="901"/>
      <c r="AH130" s="898"/>
      <c r="AI130" s="863"/>
    </row>
    <row r="131" spans="1:35">
      <c r="A131" s="892" t="s">
        <v>387</v>
      </c>
      <c r="B131" s="893" t="s">
        <v>3415</v>
      </c>
      <c r="C131" s="772"/>
      <c r="D131" s="772"/>
      <c r="E131" s="772"/>
      <c r="F131" s="915"/>
      <c r="G131" s="915"/>
      <c r="H131" s="915"/>
      <c r="I131" s="916"/>
      <c r="J131" s="916"/>
      <c r="K131" s="916"/>
      <c r="L131" s="916"/>
      <c r="M131" s="916"/>
      <c r="N131" s="916"/>
      <c r="O131" s="916"/>
      <c r="P131" s="917"/>
      <c r="Q131" s="918"/>
      <c r="R131" s="893"/>
      <c r="S131" s="893"/>
      <c r="T131" s="893"/>
      <c r="U131" s="893"/>
      <c r="V131" s="770"/>
      <c r="W131" s="770"/>
      <c r="X131" s="770"/>
      <c r="Y131" s="905">
        <f t="shared" ref="Y131:Y135" si="46">SUM(V131:X131)</f>
        <v>0</v>
      </c>
      <c r="Z131" s="918"/>
      <c r="AA131" s="770"/>
      <c r="AB131" s="770"/>
      <c r="AC131" s="770"/>
      <c r="AD131" s="770"/>
      <c r="AE131" s="771"/>
      <c r="AF131" s="897">
        <f t="shared" ref="AF131" si="47">IF(SUM(AA131:AE131)=Y131,SUM(AA131:AE131),"Error")</f>
        <v>0</v>
      </c>
      <c r="AG131" s="895">
        <f t="shared" ref="AG131:AG135" si="48">SUM(AA131:AE131)-Y131</f>
        <v>0</v>
      </c>
      <c r="AH131" s="898"/>
      <c r="AI131" s="863">
        <f>'Enterprise Template'!$E$2</f>
        <v>0</v>
      </c>
    </row>
    <row r="132" spans="1:35">
      <c r="A132" s="892" t="s">
        <v>387</v>
      </c>
      <c r="B132" s="893" t="s">
        <v>3415</v>
      </c>
      <c r="C132" s="772"/>
      <c r="D132" s="772"/>
      <c r="E132" s="772"/>
      <c r="F132" s="915"/>
      <c r="G132" s="915"/>
      <c r="H132" s="915"/>
      <c r="I132" s="916"/>
      <c r="J132" s="916"/>
      <c r="K132" s="916"/>
      <c r="L132" s="916"/>
      <c r="M132" s="916"/>
      <c r="N132" s="916"/>
      <c r="O132" s="916"/>
      <c r="P132" s="917"/>
      <c r="Q132" s="918"/>
      <c r="R132" s="893"/>
      <c r="S132" s="893"/>
      <c r="T132" s="893"/>
      <c r="U132" s="893"/>
      <c r="V132" s="770"/>
      <c r="W132" s="770"/>
      <c r="X132" s="770"/>
      <c r="Y132" s="905">
        <f t="shared" si="46"/>
        <v>0</v>
      </c>
      <c r="Z132" s="918"/>
      <c r="AA132" s="770"/>
      <c r="AB132" s="770"/>
      <c r="AC132" s="770"/>
      <c r="AD132" s="770"/>
      <c r="AE132" s="771"/>
      <c r="AF132" s="897">
        <f t="shared" ref="AF132:AF135" si="49">IF(SUM(AA132:AE132)=Y132,SUM(AA132:AE132),"Error")</f>
        <v>0</v>
      </c>
      <c r="AG132" s="895">
        <f t="shared" si="48"/>
        <v>0</v>
      </c>
      <c r="AH132" s="898"/>
      <c r="AI132" s="863">
        <f>'Enterprise Template'!$E$2</f>
        <v>0</v>
      </c>
    </row>
    <row r="133" spans="1:35">
      <c r="A133" s="892" t="s">
        <v>387</v>
      </c>
      <c r="B133" s="893" t="s">
        <v>3415</v>
      </c>
      <c r="C133" s="772"/>
      <c r="D133" s="772"/>
      <c r="E133" s="772"/>
      <c r="F133" s="915"/>
      <c r="G133" s="915"/>
      <c r="H133" s="915"/>
      <c r="I133" s="916"/>
      <c r="J133" s="916"/>
      <c r="K133" s="916"/>
      <c r="L133" s="916"/>
      <c r="M133" s="916"/>
      <c r="N133" s="916"/>
      <c r="O133" s="916"/>
      <c r="P133" s="917"/>
      <c r="Q133" s="918"/>
      <c r="R133" s="893"/>
      <c r="S133" s="893"/>
      <c r="T133" s="893"/>
      <c r="U133" s="893"/>
      <c r="V133" s="770"/>
      <c r="W133" s="770"/>
      <c r="X133" s="770"/>
      <c r="Y133" s="905">
        <f t="shared" si="46"/>
        <v>0</v>
      </c>
      <c r="Z133" s="918"/>
      <c r="AA133" s="770"/>
      <c r="AB133" s="770"/>
      <c r="AC133" s="770"/>
      <c r="AD133" s="770"/>
      <c r="AE133" s="771"/>
      <c r="AF133" s="897">
        <f t="shared" si="49"/>
        <v>0</v>
      </c>
      <c r="AG133" s="895">
        <f t="shared" si="48"/>
        <v>0</v>
      </c>
      <c r="AH133" s="898"/>
      <c r="AI133" s="863">
        <f>'Enterprise Template'!$E$2</f>
        <v>0</v>
      </c>
    </row>
    <row r="134" spans="1:35">
      <c r="A134" s="892" t="s">
        <v>387</v>
      </c>
      <c r="B134" s="893" t="s">
        <v>3415</v>
      </c>
      <c r="C134" s="772"/>
      <c r="D134" s="772"/>
      <c r="E134" s="772"/>
      <c r="F134" s="915"/>
      <c r="G134" s="915"/>
      <c r="H134" s="915"/>
      <c r="I134" s="916"/>
      <c r="J134" s="916"/>
      <c r="K134" s="916"/>
      <c r="L134" s="916"/>
      <c r="M134" s="916"/>
      <c r="N134" s="916"/>
      <c r="O134" s="916"/>
      <c r="P134" s="917"/>
      <c r="Q134" s="918"/>
      <c r="R134" s="893"/>
      <c r="S134" s="893"/>
      <c r="T134" s="893"/>
      <c r="U134" s="893"/>
      <c r="V134" s="770"/>
      <c r="W134" s="770"/>
      <c r="X134" s="770"/>
      <c r="Y134" s="905">
        <f t="shared" si="46"/>
        <v>0</v>
      </c>
      <c r="Z134" s="918"/>
      <c r="AA134" s="770"/>
      <c r="AB134" s="770"/>
      <c r="AC134" s="770"/>
      <c r="AD134" s="770"/>
      <c r="AE134" s="771"/>
      <c r="AF134" s="897">
        <f t="shared" si="49"/>
        <v>0</v>
      </c>
      <c r="AG134" s="895">
        <f t="shared" si="48"/>
        <v>0</v>
      </c>
      <c r="AH134" s="898"/>
      <c r="AI134" s="863">
        <f>'Enterprise Template'!$E$2</f>
        <v>0</v>
      </c>
    </row>
    <row r="135" spans="1:35">
      <c r="A135" s="892" t="s">
        <v>387</v>
      </c>
      <c r="B135" s="893" t="s">
        <v>3415</v>
      </c>
      <c r="C135" s="772"/>
      <c r="D135" s="772"/>
      <c r="E135" s="772"/>
      <c r="F135" s="915"/>
      <c r="G135" s="915"/>
      <c r="H135" s="915"/>
      <c r="I135" s="916"/>
      <c r="J135" s="916"/>
      <c r="K135" s="916"/>
      <c r="L135" s="916"/>
      <c r="M135" s="916"/>
      <c r="N135" s="916"/>
      <c r="O135" s="916"/>
      <c r="P135" s="917"/>
      <c r="Q135" s="918"/>
      <c r="R135" s="893"/>
      <c r="S135" s="893"/>
      <c r="T135" s="893"/>
      <c r="U135" s="893"/>
      <c r="V135" s="770"/>
      <c r="W135" s="770"/>
      <c r="X135" s="770"/>
      <c r="Y135" s="905">
        <f t="shared" si="46"/>
        <v>0</v>
      </c>
      <c r="Z135" s="918"/>
      <c r="AA135" s="770"/>
      <c r="AB135" s="770"/>
      <c r="AC135" s="770"/>
      <c r="AD135" s="770"/>
      <c r="AE135" s="771"/>
      <c r="AF135" s="897">
        <f t="shared" si="49"/>
        <v>0</v>
      </c>
      <c r="AG135" s="895">
        <f t="shared" si="48"/>
        <v>0</v>
      </c>
      <c r="AH135" s="898"/>
      <c r="AI135" s="863">
        <f>'Enterprise Template'!$E$2</f>
        <v>0</v>
      </c>
    </row>
    <row r="136" spans="1:35">
      <c r="A136" s="892"/>
      <c r="B136" s="863"/>
      <c r="C136" s="899"/>
      <c r="D136" s="863"/>
      <c r="E136" s="863"/>
      <c r="F136" s="863"/>
      <c r="G136" s="863"/>
      <c r="H136" s="863"/>
      <c r="I136" s="863"/>
      <c r="J136" s="863"/>
      <c r="K136" s="863"/>
      <c r="L136" s="863"/>
      <c r="M136" s="863"/>
      <c r="N136" s="863"/>
      <c r="O136" s="914"/>
      <c r="P136" s="863"/>
      <c r="Q136" s="901"/>
      <c r="R136" s="863"/>
      <c r="S136" s="863"/>
      <c r="T136" s="863"/>
      <c r="U136" s="863"/>
      <c r="V136" s="902"/>
      <c r="W136" s="902"/>
      <c r="X136" s="902"/>
      <c r="Y136" s="903"/>
      <c r="Z136" s="901"/>
      <c r="AA136" s="902"/>
      <c r="AB136" s="902"/>
      <c r="AC136" s="902"/>
      <c r="AD136" s="902"/>
      <c r="AE136" s="904"/>
      <c r="AF136" s="863"/>
      <c r="AG136" s="901"/>
      <c r="AH136" s="898"/>
      <c r="AI136" s="863"/>
    </row>
    <row r="137" spans="1:35">
      <c r="A137" s="892" t="s">
        <v>387</v>
      </c>
      <c r="B137" s="893" t="s">
        <v>708</v>
      </c>
      <c r="C137" s="772"/>
      <c r="D137" s="772"/>
      <c r="E137" s="772"/>
      <c r="F137" s="915"/>
      <c r="G137" s="915"/>
      <c r="H137" s="915"/>
      <c r="I137" s="916"/>
      <c r="J137" s="916"/>
      <c r="K137" s="916"/>
      <c r="L137" s="916"/>
      <c r="M137" s="916"/>
      <c r="N137" s="916"/>
      <c r="O137" s="916"/>
      <c r="P137" s="917"/>
      <c r="Q137" s="918"/>
      <c r="R137" s="893"/>
      <c r="S137" s="893"/>
      <c r="T137" s="893"/>
      <c r="U137" s="893"/>
      <c r="V137" s="770"/>
      <c r="W137" s="770"/>
      <c r="X137" s="770"/>
      <c r="Y137" s="905">
        <f t="shared" si="42"/>
        <v>0</v>
      </c>
      <c r="Z137" s="918"/>
      <c r="AA137" s="770"/>
      <c r="AB137" s="770"/>
      <c r="AC137" s="770"/>
      <c r="AD137" s="770"/>
      <c r="AE137" s="771"/>
      <c r="AF137" s="897">
        <f t="shared" si="2"/>
        <v>0</v>
      </c>
      <c r="AG137" s="895">
        <f t="shared" si="3"/>
        <v>0</v>
      </c>
      <c r="AH137" s="898"/>
      <c r="AI137" s="863">
        <f>'Enterprise Template'!$E$2</f>
        <v>0</v>
      </c>
    </row>
    <row r="138" spans="1:35" hidden="1">
      <c r="A138" s="892" t="s">
        <v>387</v>
      </c>
      <c r="B138" s="893" t="s">
        <v>708</v>
      </c>
      <c r="C138" s="772"/>
      <c r="D138" s="772"/>
      <c r="E138" s="772"/>
      <c r="F138" s="915"/>
      <c r="G138" s="915"/>
      <c r="H138" s="915"/>
      <c r="I138" s="916"/>
      <c r="J138" s="916"/>
      <c r="K138" s="916"/>
      <c r="L138" s="916"/>
      <c r="M138" s="916"/>
      <c r="N138" s="916"/>
      <c r="O138" s="916"/>
      <c r="P138" s="917"/>
      <c r="Q138" s="918"/>
      <c r="R138" s="893"/>
      <c r="S138" s="893"/>
      <c r="T138" s="893"/>
      <c r="U138" s="893"/>
      <c r="V138" s="770"/>
      <c r="W138" s="770"/>
      <c r="X138" s="770"/>
      <c r="Y138" s="905">
        <f t="shared" si="42"/>
        <v>0</v>
      </c>
      <c r="Z138" s="918"/>
      <c r="AA138" s="770"/>
      <c r="AB138" s="770"/>
      <c r="AC138" s="770"/>
      <c r="AD138" s="770"/>
      <c r="AE138" s="771"/>
      <c r="AF138" s="897">
        <f t="shared" ref="AF138:AF142" si="50">IF(SUM(AA138:AE138)=Y138,SUM(AA138:AE138),"Error")</f>
        <v>0</v>
      </c>
      <c r="AG138" s="895">
        <f t="shared" si="3"/>
        <v>0</v>
      </c>
      <c r="AH138" s="898"/>
      <c r="AI138" s="863">
        <f>'Enterprise Template'!$E$2</f>
        <v>0</v>
      </c>
    </row>
    <row r="139" spans="1:35">
      <c r="A139" s="892" t="s">
        <v>387</v>
      </c>
      <c r="B139" s="893" t="s">
        <v>708</v>
      </c>
      <c r="C139" s="772"/>
      <c r="D139" s="772"/>
      <c r="E139" s="772"/>
      <c r="F139" s="915"/>
      <c r="G139" s="915"/>
      <c r="H139" s="915"/>
      <c r="I139" s="916"/>
      <c r="J139" s="916"/>
      <c r="K139" s="916"/>
      <c r="L139" s="916"/>
      <c r="M139" s="916"/>
      <c r="N139" s="916"/>
      <c r="O139" s="916"/>
      <c r="P139" s="917"/>
      <c r="Q139" s="918"/>
      <c r="R139" s="893"/>
      <c r="S139" s="893"/>
      <c r="T139" s="893"/>
      <c r="U139" s="893"/>
      <c r="V139" s="770"/>
      <c r="W139" s="770"/>
      <c r="X139" s="770"/>
      <c r="Y139" s="905">
        <f t="shared" si="42"/>
        <v>0</v>
      </c>
      <c r="Z139" s="918"/>
      <c r="AA139" s="770"/>
      <c r="AB139" s="770"/>
      <c r="AC139" s="770"/>
      <c r="AD139" s="770"/>
      <c r="AE139" s="771"/>
      <c r="AF139" s="897">
        <f t="shared" si="50"/>
        <v>0</v>
      </c>
      <c r="AG139" s="895">
        <f t="shared" si="3"/>
        <v>0</v>
      </c>
      <c r="AH139" s="898"/>
      <c r="AI139" s="863">
        <f>'Enterprise Template'!$E$2</f>
        <v>0</v>
      </c>
    </row>
    <row r="140" spans="1:35">
      <c r="A140" s="892" t="s">
        <v>387</v>
      </c>
      <c r="B140" s="893" t="s">
        <v>708</v>
      </c>
      <c r="C140" s="772"/>
      <c r="D140" s="772"/>
      <c r="E140" s="772"/>
      <c r="F140" s="915"/>
      <c r="G140" s="915"/>
      <c r="H140" s="915"/>
      <c r="I140" s="916"/>
      <c r="J140" s="916"/>
      <c r="K140" s="916"/>
      <c r="L140" s="916"/>
      <c r="M140" s="916"/>
      <c r="N140" s="916"/>
      <c r="O140" s="916"/>
      <c r="P140" s="917"/>
      <c r="Q140" s="918"/>
      <c r="R140" s="893"/>
      <c r="S140" s="893"/>
      <c r="T140" s="893"/>
      <c r="U140" s="893"/>
      <c r="V140" s="770"/>
      <c r="W140" s="770"/>
      <c r="X140" s="770"/>
      <c r="Y140" s="905">
        <f t="shared" si="42"/>
        <v>0</v>
      </c>
      <c r="Z140" s="918"/>
      <c r="AA140" s="770"/>
      <c r="AB140" s="770"/>
      <c r="AC140" s="770"/>
      <c r="AD140" s="770"/>
      <c r="AE140" s="771"/>
      <c r="AF140" s="897">
        <f t="shared" si="50"/>
        <v>0</v>
      </c>
      <c r="AG140" s="895">
        <f t="shared" si="3"/>
        <v>0</v>
      </c>
      <c r="AH140" s="898"/>
      <c r="AI140" s="863">
        <f>'Enterprise Template'!$E$2</f>
        <v>0</v>
      </c>
    </row>
    <row r="141" spans="1:35">
      <c r="A141" s="892" t="s">
        <v>387</v>
      </c>
      <c r="B141" s="893" t="s">
        <v>708</v>
      </c>
      <c r="C141" s="772"/>
      <c r="D141" s="772"/>
      <c r="E141" s="772"/>
      <c r="F141" s="915"/>
      <c r="G141" s="915"/>
      <c r="H141" s="915"/>
      <c r="I141" s="916"/>
      <c r="J141" s="916"/>
      <c r="K141" s="916"/>
      <c r="L141" s="916"/>
      <c r="M141" s="916"/>
      <c r="N141" s="916"/>
      <c r="O141" s="916"/>
      <c r="P141" s="917"/>
      <c r="Q141" s="918"/>
      <c r="R141" s="893"/>
      <c r="S141" s="893"/>
      <c r="T141" s="893"/>
      <c r="U141" s="893"/>
      <c r="V141" s="770"/>
      <c r="W141" s="770"/>
      <c r="X141" s="770"/>
      <c r="Y141" s="905">
        <f t="shared" si="42"/>
        <v>0</v>
      </c>
      <c r="Z141" s="918"/>
      <c r="AA141" s="770"/>
      <c r="AB141" s="770"/>
      <c r="AC141" s="770"/>
      <c r="AD141" s="770"/>
      <c r="AE141" s="771"/>
      <c r="AF141" s="897">
        <f t="shared" si="50"/>
        <v>0</v>
      </c>
      <c r="AG141" s="895">
        <f t="shared" si="3"/>
        <v>0</v>
      </c>
      <c r="AH141" s="898"/>
      <c r="AI141" s="863">
        <f>'Enterprise Template'!$E$2</f>
        <v>0</v>
      </c>
    </row>
    <row r="142" spans="1:35">
      <c r="A142" s="892" t="s">
        <v>387</v>
      </c>
      <c r="B142" s="893" t="s">
        <v>708</v>
      </c>
      <c r="C142" s="772"/>
      <c r="D142" s="772"/>
      <c r="E142" s="772"/>
      <c r="F142" s="915"/>
      <c r="G142" s="915"/>
      <c r="H142" s="915"/>
      <c r="I142" s="916"/>
      <c r="J142" s="916"/>
      <c r="K142" s="916"/>
      <c r="L142" s="916"/>
      <c r="M142" s="916"/>
      <c r="N142" s="916"/>
      <c r="O142" s="916"/>
      <c r="P142" s="917"/>
      <c r="Q142" s="918"/>
      <c r="R142" s="893"/>
      <c r="S142" s="893"/>
      <c r="T142" s="893"/>
      <c r="U142" s="893"/>
      <c r="V142" s="770"/>
      <c r="W142" s="770"/>
      <c r="X142" s="770"/>
      <c r="Y142" s="905">
        <f t="shared" si="42"/>
        <v>0</v>
      </c>
      <c r="Z142" s="918"/>
      <c r="AA142" s="770"/>
      <c r="AB142" s="770"/>
      <c r="AC142" s="770"/>
      <c r="AD142" s="770"/>
      <c r="AE142" s="771"/>
      <c r="AF142" s="897">
        <f t="shared" si="50"/>
        <v>0</v>
      </c>
      <c r="AG142" s="895">
        <f t="shared" si="3"/>
        <v>0</v>
      </c>
      <c r="AH142" s="898"/>
      <c r="AI142" s="863">
        <f>'Enterprise Template'!$E$2</f>
        <v>0</v>
      </c>
    </row>
    <row r="143" spans="1:35">
      <c r="B143" s="920"/>
      <c r="C143" s="920"/>
      <c r="D143" s="920"/>
      <c r="E143" s="920"/>
      <c r="F143" s="863"/>
      <c r="G143" s="863"/>
      <c r="H143" s="863"/>
      <c r="I143" s="863"/>
      <c r="J143" s="863"/>
      <c r="K143" s="863"/>
      <c r="L143" s="863"/>
      <c r="M143" s="863"/>
      <c r="N143" s="863"/>
      <c r="O143" s="863"/>
      <c r="P143" s="863"/>
      <c r="Q143" s="918"/>
      <c r="R143" s="863"/>
      <c r="S143" s="863"/>
      <c r="T143" s="863"/>
      <c r="U143" s="863"/>
      <c r="V143" s="863"/>
      <c r="W143" s="863"/>
      <c r="X143" s="863"/>
      <c r="Y143" s="863"/>
      <c r="Z143" s="918"/>
      <c r="AA143" s="863"/>
      <c r="AB143" s="863"/>
      <c r="AC143" s="863"/>
      <c r="AD143" s="863"/>
      <c r="AE143" s="863"/>
      <c r="AI143" s="863"/>
    </row>
    <row r="144" spans="1:35">
      <c r="A144" s="892" t="s">
        <v>387</v>
      </c>
      <c r="B144" s="893" t="s">
        <v>2924</v>
      </c>
      <c r="C144" s="772"/>
      <c r="D144" s="772"/>
      <c r="E144" s="772"/>
      <c r="F144" s="915"/>
      <c r="G144" s="915"/>
      <c r="H144" s="915"/>
      <c r="I144" s="916"/>
      <c r="J144" s="916"/>
      <c r="K144" s="916"/>
      <c r="L144" s="916"/>
      <c r="M144" s="916"/>
      <c r="N144" s="916"/>
      <c r="O144" s="916"/>
      <c r="P144" s="917"/>
      <c r="Q144" s="918"/>
      <c r="R144" s="893"/>
      <c r="S144" s="893"/>
      <c r="T144" s="893"/>
      <c r="U144" s="893"/>
      <c r="V144" s="770"/>
      <c r="W144" s="770"/>
      <c r="X144" s="770"/>
      <c r="Y144" s="905">
        <f t="shared" ref="Y144:Y148" si="51">SUM(V144:X144)</f>
        <v>0</v>
      </c>
      <c r="Z144" s="918"/>
      <c r="AA144" s="770"/>
      <c r="AB144" s="770"/>
      <c r="AC144" s="770"/>
      <c r="AD144" s="770"/>
      <c r="AE144" s="771"/>
      <c r="AF144" s="897">
        <f t="shared" ref="AF144:AF148" si="52">IF(SUM(AA144:AE144)=Y144,SUM(AA144:AE144),"Error")</f>
        <v>0</v>
      </c>
      <c r="AG144" s="895">
        <f t="shared" ref="AG144:AG148" si="53">SUM(AA144:AE144)-Y144</f>
        <v>0</v>
      </c>
      <c r="AH144" s="898"/>
      <c r="AI144" s="863">
        <f>'Enterprise Template'!$E$2</f>
        <v>0</v>
      </c>
    </row>
    <row r="145" spans="1:35">
      <c r="A145" s="892" t="s">
        <v>387</v>
      </c>
      <c r="B145" s="893" t="s">
        <v>2924</v>
      </c>
      <c r="C145" s="772"/>
      <c r="D145" s="772"/>
      <c r="E145" s="772"/>
      <c r="F145" s="915"/>
      <c r="G145" s="915"/>
      <c r="H145" s="915"/>
      <c r="I145" s="916"/>
      <c r="J145" s="916"/>
      <c r="K145" s="916"/>
      <c r="L145" s="916"/>
      <c r="M145" s="916"/>
      <c r="N145" s="916"/>
      <c r="O145" s="916"/>
      <c r="P145" s="917"/>
      <c r="Q145" s="918"/>
      <c r="R145" s="893"/>
      <c r="S145" s="893"/>
      <c r="T145" s="893"/>
      <c r="U145" s="893"/>
      <c r="V145" s="770"/>
      <c r="W145" s="770"/>
      <c r="X145" s="770"/>
      <c r="Y145" s="905">
        <f t="shared" si="51"/>
        <v>0</v>
      </c>
      <c r="Z145" s="918"/>
      <c r="AA145" s="770"/>
      <c r="AB145" s="770"/>
      <c r="AC145" s="770"/>
      <c r="AD145" s="770"/>
      <c r="AE145" s="771"/>
      <c r="AF145" s="897">
        <f t="shared" si="52"/>
        <v>0</v>
      </c>
      <c r="AG145" s="895">
        <f t="shared" si="53"/>
        <v>0</v>
      </c>
      <c r="AH145" s="898"/>
      <c r="AI145" s="863">
        <f>'Enterprise Template'!$E$2</f>
        <v>0</v>
      </c>
    </row>
    <row r="146" spans="1:35">
      <c r="A146" s="892" t="s">
        <v>387</v>
      </c>
      <c r="B146" s="893" t="s">
        <v>2924</v>
      </c>
      <c r="C146" s="772"/>
      <c r="D146" s="772"/>
      <c r="E146" s="772"/>
      <c r="F146" s="915"/>
      <c r="G146" s="915"/>
      <c r="H146" s="915"/>
      <c r="I146" s="916"/>
      <c r="J146" s="916"/>
      <c r="K146" s="916"/>
      <c r="L146" s="916"/>
      <c r="M146" s="916"/>
      <c r="N146" s="916"/>
      <c r="O146" s="916"/>
      <c r="P146" s="917"/>
      <c r="Q146" s="918"/>
      <c r="R146" s="893"/>
      <c r="S146" s="893"/>
      <c r="T146" s="893"/>
      <c r="U146" s="893"/>
      <c r="V146" s="770"/>
      <c r="W146" s="770"/>
      <c r="X146" s="770"/>
      <c r="Y146" s="905">
        <f t="shared" si="51"/>
        <v>0</v>
      </c>
      <c r="Z146" s="918"/>
      <c r="AA146" s="770"/>
      <c r="AB146" s="770"/>
      <c r="AC146" s="770"/>
      <c r="AD146" s="770"/>
      <c r="AE146" s="771"/>
      <c r="AF146" s="897">
        <f t="shared" si="52"/>
        <v>0</v>
      </c>
      <c r="AG146" s="895">
        <f t="shared" si="53"/>
        <v>0</v>
      </c>
      <c r="AH146" s="898"/>
      <c r="AI146" s="863">
        <f>'Enterprise Template'!$E$2</f>
        <v>0</v>
      </c>
    </row>
    <row r="147" spans="1:35">
      <c r="A147" s="892" t="s">
        <v>387</v>
      </c>
      <c r="B147" s="893" t="s">
        <v>2924</v>
      </c>
      <c r="C147" s="772"/>
      <c r="D147" s="772"/>
      <c r="E147" s="772"/>
      <c r="F147" s="915"/>
      <c r="G147" s="915"/>
      <c r="H147" s="915"/>
      <c r="I147" s="916"/>
      <c r="J147" s="916"/>
      <c r="K147" s="916"/>
      <c r="L147" s="916"/>
      <c r="M147" s="916"/>
      <c r="N147" s="916"/>
      <c r="O147" s="916"/>
      <c r="P147" s="917"/>
      <c r="Q147" s="918"/>
      <c r="R147" s="893"/>
      <c r="S147" s="893"/>
      <c r="T147" s="893"/>
      <c r="U147" s="893"/>
      <c r="V147" s="770"/>
      <c r="W147" s="770"/>
      <c r="X147" s="770"/>
      <c r="Y147" s="905">
        <f t="shared" si="51"/>
        <v>0</v>
      </c>
      <c r="Z147" s="918"/>
      <c r="AA147" s="770"/>
      <c r="AB147" s="770"/>
      <c r="AC147" s="770"/>
      <c r="AD147" s="770"/>
      <c r="AE147" s="771"/>
      <c r="AF147" s="897">
        <f t="shared" si="52"/>
        <v>0</v>
      </c>
      <c r="AG147" s="895">
        <f t="shared" si="53"/>
        <v>0</v>
      </c>
      <c r="AH147" s="898"/>
      <c r="AI147" s="863">
        <f>'Enterprise Template'!$E$2</f>
        <v>0</v>
      </c>
    </row>
    <row r="148" spans="1:35">
      <c r="A148" s="892" t="s">
        <v>387</v>
      </c>
      <c r="B148" s="893" t="s">
        <v>2924</v>
      </c>
      <c r="C148" s="772"/>
      <c r="D148" s="772"/>
      <c r="E148" s="772"/>
      <c r="F148" s="915"/>
      <c r="G148" s="915"/>
      <c r="H148" s="915"/>
      <c r="I148" s="916"/>
      <c r="J148" s="916"/>
      <c r="K148" s="916"/>
      <c r="L148" s="916"/>
      <c r="M148" s="916"/>
      <c r="N148" s="916"/>
      <c r="O148" s="916"/>
      <c r="P148" s="917"/>
      <c r="Q148" s="918"/>
      <c r="R148" s="893"/>
      <c r="S148" s="893"/>
      <c r="T148" s="893"/>
      <c r="U148" s="893"/>
      <c r="V148" s="770"/>
      <c r="W148" s="770"/>
      <c r="X148" s="770"/>
      <c r="Y148" s="905">
        <f t="shared" si="51"/>
        <v>0</v>
      </c>
      <c r="Z148" s="918"/>
      <c r="AA148" s="770"/>
      <c r="AB148" s="770"/>
      <c r="AC148" s="770"/>
      <c r="AD148" s="770"/>
      <c r="AE148" s="771"/>
      <c r="AF148" s="897">
        <f t="shared" si="52"/>
        <v>0</v>
      </c>
      <c r="AG148" s="895">
        <f t="shared" si="53"/>
        <v>0</v>
      </c>
      <c r="AH148" s="898"/>
      <c r="AI148" s="863">
        <f>'Enterprise Template'!$E$2</f>
        <v>0</v>
      </c>
    </row>
    <row r="149" spans="1:35">
      <c r="A149" s="892"/>
      <c r="B149" s="863"/>
      <c r="C149" s="899"/>
      <c r="D149" s="863"/>
      <c r="E149" s="863"/>
      <c r="F149" s="863"/>
      <c r="G149" s="863"/>
      <c r="H149" s="863"/>
      <c r="I149" s="863"/>
      <c r="J149" s="863"/>
      <c r="K149" s="863"/>
      <c r="L149" s="863"/>
      <c r="M149" s="863"/>
      <c r="N149" s="863"/>
      <c r="O149" s="914"/>
      <c r="P149" s="863"/>
      <c r="Q149" s="901"/>
      <c r="R149" s="863"/>
      <c r="S149" s="863"/>
      <c r="T149" s="863"/>
      <c r="U149" s="863"/>
      <c r="V149" s="902"/>
      <c r="W149" s="902"/>
      <c r="X149" s="902"/>
      <c r="Y149" s="903"/>
      <c r="Z149" s="901"/>
      <c r="AA149" s="902"/>
      <c r="AB149" s="902"/>
      <c r="AC149" s="902"/>
      <c r="AD149" s="902"/>
      <c r="AE149" s="904"/>
      <c r="AF149" s="863"/>
      <c r="AG149" s="901"/>
      <c r="AH149" s="898"/>
      <c r="AI149" s="863"/>
    </row>
    <row r="150" spans="1:35">
      <c r="A150" s="892" t="s">
        <v>387</v>
      </c>
      <c r="B150" s="893" t="s">
        <v>385</v>
      </c>
      <c r="C150" s="772"/>
      <c r="D150" s="772"/>
      <c r="E150" s="772"/>
      <c r="F150" s="915"/>
      <c r="G150" s="915"/>
      <c r="H150" s="915"/>
      <c r="I150" s="916"/>
      <c r="J150" s="916"/>
      <c r="K150" s="916"/>
      <c r="L150" s="916"/>
      <c r="M150" s="916"/>
      <c r="N150" s="916"/>
      <c r="O150" s="916"/>
      <c r="P150" s="917"/>
      <c r="Q150" s="918"/>
      <c r="R150" s="893"/>
      <c r="S150" s="893"/>
      <c r="T150" s="893"/>
      <c r="U150" s="893"/>
      <c r="V150" s="770"/>
      <c r="W150" s="770"/>
      <c r="X150" s="770"/>
      <c r="Y150" s="905">
        <f t="shared" si="42"/>
        <v>0</v>
      </c>
      <c r="Z150" s="918"/>
      <c r="AA150" s="770"/>
      <c r="AB150" s="770"/>
      <c r="AC150" s="770"/>
      <c r="AD150" s="770"/>
      <c r="AE150" s="771"/>
      <c r="AF150" s="897">
        <f t="shared" si="2"/>
        <v>0</v>
      </c>
      <c r="AG150" s="895">
        <f t="shared" si="3"/>
        <v>0</v>
      </c>
      <c r="AH150" s="898"/>
      <c r="AI150" s="863">
        <f>'Enterprise Template'!$E$2</f>
        <v>0</v>
      </c>
    </row>
    <row r="151" spans="1:35">
      <c r="A151" s="892" t="s">
        <v>387</v>
      </c>
      <c r="B151" s="893" t="s">
        <v>385</v>
      </c>
      <c r="C151" s="772"/>
      <c r="D151" s="772"/>
      <c r="E151" s="772"/>
      <c r="F151" s="915"/>
      <c r="G151" s="915"/>
      <c r="H151" s="915"/>
      <c r="I151" s="916"/>
      <c r="J151" s="916"/>
      <c r="K151" s="916"/>
      <c r="L151" s="916"/>
      <c r="M151" s="916"/>
      <c r="N151" s="916"/>
      <c r="O151" s="916"/>
      <c r="P151" s="917"/>
      <c r="Q151" s="918"/>
      <c r="R151" s="893"/>
      <c r="S151" s="893"/>
      <c r="T151" s="893"/>
      <c r="U151" s="893"/>
      <c r="V151" s="770"/>
      <c r="W151" s="770"/>
      <c r="X151" s="770"/>
      <c r="Y151" s="905">
        <f t="shared" si="42"/>
        <v>0</v>
      </c>
      <c r="Z151" s="918"/>
      <c r="AA151" s="770"/>
      <c r="AB151" s="770"/>
      <c r="AC151" s="770"/>
      <c r="AD151" s="770"/>
      <c r="AE151" s="771"/>
      <c r="AF151" s="897">
        <f t="shared" ref="AF151:AF154" si="54">IF(SUM(AA151:AE151)=Y151,SUM(AA151:AE151),"Error")</f>
        <v>0</v>
      </c>
      <c r="AG151" s="895">
        <f t="shared" ref="AG151:AG154" si="55">SUM(AA151:AE151)-Y151</f>
        <v>0</v>
      </c>
      <c r="AH151" s="898"/>
      <c r="AI151" s="863">
        <f>'Enterprise Template'!$E$2</f>
        <v>0</v>
      </c>
    </row>
    <row r="152" spans="1:35">
      <c r="A152" s="892" t="s">
        <v>387</v>
      </c>
      <c r="B152" s="893" t="s">
        <v>385</v>
      </c>
      <c r="C152" s="772"/>
      <c r="D152" s="772"/>
      <c r="E152" s="772"/>
      <c r="F152" s="915"/>
      <c r="G152" s="915"/>
      <c r="H152" s="915"/>
      <c r="I152" s="916"/>
      <c r="J152" s="916"/>
      <c r="K152" s="916"/>
      <c r="L152" s="916"/>
      <c r="M152" s="916"/>
      <c r="N152" s="916"/>
      <c r="O152" s="916"/>
      <c r="P152" s="917"/>
      <c r="Q152" s="918"/>
      <c r="R152" s="893"/>
      <c r="S152" s="893"/>
      <c r="T152" s="893"/>
      <c r="U152" s="893"/>
      <c r="V152" s="770"/>
      <c r="W152" s="770"/>
      <c r="X152" s="770"/>
      <c r="Y152" s="905">
        <f t="shared" si="42"/>
        <v>0</v>
      </c>
      <c r="Z152" s="918"/>
      <c r="AA152" s="770"/>
      <c r="AB152" s="770"/>
      <c r="AC152" s="770"/>
      <c r="AD152" s="770"/>
      <c r="AE152" s="771"/>
      <c r="AF152" s="897">
        <f t="shared" si="54"/>
        <v>0</v>
      </c>
      <c r="AG152" s="895">
        <f t="shared" si="55"/>
        <v>0</v>
      </c>
      <c r="AH152" s="898"/>
      <c r="AI152" s="863">
        <f>'Enterprise Template'!$E$2</f>
        <v>0</v>
      </c>
    </row>
    <row r="153" spans="1:35">
      <c r="A153" s="892" t="s">
        <v>387</v>
      </c>
      <c r="B153" s="893" t="s">
        <v>385</v>
      </c>
      <c r="C153" s="772"/>
      <c r="D153" s="772"/>
      <c r="E153" s="772"/>
      <c r="F153" s="915"/>
      <c r="G153" s="915"/>
      <c r="H153" s="915"/>
      <c r="I153" s="916"/>
      <c r="J153" s="916"/>
      <c r="K153" s="916"/>
      <c r="L153" s="916"/>
      <c r="M153" s="916"/>
      <c r="N153" s="916"/>
      <c r="O153" s="916"/>
      <c r="P153" s="917"/>
      <c r="Q153" s="918"/>
      <c r="R153" s="893"/>
      <c r="S153" s="893"/>
      <c r="T153" s="893"/>
      <c r="U153" s="893"/>
      <c r="V153" s="770"/>
      <c r="W153" s="770"/>
      <c r="X153" s="770"/>
      <c r="Y153" s="905">
        <f t="shared" si="42"/>
        <v>0</v>
      </c>
      <c r="Z153" s="918"/>
      <c r="AA153" s="770"/>
      <c r="AB153" s="770"/>
      <c r="AC153" s="770"/>
      <c r="AD153" s="770"/>
      <c r="AE153" s="771"/>
      <c r="AF153" s="897">
        <f t="shared" si="54"/>
        <v>0</v>
      </c>
      <c r="AG153" s="895">
        <f t="shared" si="55"/>
        <v>0</v>
      </c>
      <c r="AH153" s="898"/>
      <c r="AI153" s="863">
        <f>'Enterprise Template'!$E$2</f>
        <v>0</v>
      </c>
    </row>
    <row r="154" spans="1:35">
      <c r="A154" s="892" t="s">
        <v>387</v>
      </c>
      <c r="B154" s="893" t="s">
        <v>385</v>
      </c>
      <c r="C154" s="772"/>
      <c r="D154" s="772"/>
      <c r="E154" s="772"/>
      <c r="F154" s="915"/>
      <c r="G154" s="915"/>
      <c r="H154" s="915"/>
      <c r="I154" s="916"/>
      <c r="J154" s="916"/>
      <c r="K154" s="916"/>
      <c r="L154" s="916"/>
      <c r="M154" s="916"/>
      <c r="N154" s="916"/>
      <c r="O154" s="916"/>
      <c r="P154" s="917"/>
      <c r="Q154" s="918"/>
      <c r="R154" s="893"/>
      <c r="S154" s="893"/>
      <c r="T154" s="893"/>
      <c r="U154" s="893"/>
      <c r="V154" s="770"/>
      <c r="W154" s="770"/>
      <c r="X154" s="770"/>
      <c r="Y154" s="905">
        <f t="shared" si="42"/>
        <v>0</v>
      </c>
      <c r="Z154" s="918"/>
      <c r="AA154" s="770"/>
      <c r="AB154" s="770"/>
      <c r="AC154" s="770"/>
      <c r="AD154" s="770"/>
      <c r="AE154" s="771"/>
      <c r="AF154" s="897">
        <f t="shared" si="54"/>
        <v>0</v>
      </c>
      <c r="AG154" s="895">
        <f t="shared" si="55"/>
        <v>0</v>
      </c>
      <c r="AH154" s="898"/>
      <c r="AI154" s="863">
        <f>'Enterprise Template'!$E$2</f>
        <v>0</v>
      </c>
    </row>
    <row r="161" spans="2:31">
      <c r="B161" s="893"/>
      <c r="C161" s="893"/>
      <c r="D161" s="893"/>
      <c r="E161" s="893"/>
      <c r="F161" s="863"/>
      <c r="G161" s="863"/>
      <c r="H161" s="863"/>
      <c r="I161" s="863"/>
      <c r="J161" s="863"/>
      <c r="K161" s="863"/>
      <c r="L161" s="863"/>
      <c r="M161" s="863"/>
      <c r="N161" s="863"/>
      <c r="O161" s="863"/>
      <c r="P161" s="863"/>
      <c r="Q161" s="863"/>
      <c r="R161" s="863"/>
      <c r="S161" s="863"/>
      <c r="T161" s="863"/>
      <c r="U161" s="863"/>
      <c r="V161" s="863"/>
      <c r="W161" s="863"/>
      <c r="X161" s="863"/>
      <c r="Y161" s="863"/>
      <c r="Z161" s="863"/>
      <c r="AA161" s="863"/>
      <c r="AB161" s="863"/>
      <c r="AC161" s="863"/>
      <c r="AD161" s="863"/>
      <c r="AE161" s="863"/>
    </row>
    <row r="162" spans="2:31">
      <c r="B162" s="893"/>
      <c r="C162" s="893"/>
      <c r="D162" s="893"/>
      <c r="E162" s="893"/>
      <c r="F162" s="863"/>
      <c r="G162" s="863"/>
      <c r="H162" s="863"/>
      <c r="I162" s="863"/>
      <c r="J162" s="863"/>
      <c r="K162" s="863"/>
      <c r="L162" s="863"/>
      <c r="M162" s="863"/>
      <c r="N162" s="863"/>
      <c r="O162" s="863"/>
      <c r="P162" s="863"/>
      <c r="Q162" s="863"/>
      <c r="R162" s="863"/>
      <c r="S162" s="863"/>
      <c r="T162" s="863"/>
      <c r="U162" s="863"/>
      <c r="V162" s="863"/>
      <c r="W162" s="863"/>
      <c r="X162" s="863"/>
      <c r="Y162" s="863"/>
      <c r="Z162" s="863"/>
      <c r="AA162" s="863"/>
      <c r="AB162" s="863"/>
      <c r="AC162" s="863"/>
      <c r="AD162" s="863"/>
      <c r="AE162" s="863"/>
    </row>
    <row r="163" spans="2:31" s="921" customFormat="1" ht="14.25"/>
    <row r="164" spans="2:31" s="921" customFormat="1" ht="14.25"/>
    <row r="165" spans="2:31" s="921" customFormat="1" ht="14.25"/>
    <row r="166" spans="2:31" s="921" customFormat="1" ht="14.25"/>
    <row r="167" spans="2:31" s="921" customFormat="1" ht="14.25"/>
    <row r="168" spans="2:31" s="921" customFormat="1" ht="14.25"/>
    <row r="170" spans="2:31" s="802" customFormat="1" ht="12.75">
      <c r="B170" s="922"/>
      <c r="F170" s="923"/>
      <c r="G170" s="923"/>
      <c r="H170" s="923"/>
      <c r="Y170" s="924"/>
    </row>
    <row r="171" spans="2:31" s="802" customFormat="1" ht="12.75">
      <c r="F171" s="923"/>
      <c r="G171" s="923"/>
      <c r="H171" s="923"/>
      <c r="Y171" s="924"/>
    </row>
  </sheetData>
  <sheetProtection algorithmName="SHA-512" hashValue="ks7HX4qhFtHFE3COEMKZos6Dx556CeAZEkK7urYBRAAPS+sS2ccRpEomP9TuR1HVKVAFPT0NFmOxdqix93U+pg==" saltValue="yjyKNYRE+cbeJyb5gXedyw==" spinCount="100000" sheet="1" objects="1" scenarios="1"/>
  <mergeCells count="19">
    <mergeCell ref="C7:E7"/>
    <mergeCell ref="A1:B1"/>
    <mergeCell ref="A2:B2"/>
    <mergeCell ref="A3:B3"/>
    <mergeCell ref="A4:B4"/>
    <mergeCell ref="A5:B5"/>
    <mergeCell ref="A6:B6"/>
    <mergeCell ref="A7:B7"/>
    <mergeCell ref="C1:E1"/>
    <mergeCell ref="C2:E2"/>
    <mergeCell ref="C3:E3"/>
    <mergeCell ref="C4:E4"/>
    <mergeCell ref="C5:E5"/>
    <mergeCell ref="C6:E6"/>
    <mergeCell ref="F9:O9"/>
    <mergeCell ref="R9:U9"/>
    <mergeCell ref="V9:X9"/>
    <mergeCell ref="V10:W10"/>
    <mergeCell ref="AB10:AE10"/>
  </mergeCells>
  <dataValidations count="1">
    <dataValidation type="whole" allowBlank="1" showInputMessage="1" showErrorMessage="1" errorTitle="Enter Whole Number" error="Please enter a whole number." promptTitle="Enter Whole Number" sqref="V150:X154 O12 V125:X129 AA137:AE142 AA150:AE154 AA74:AE76 F87:O91 F107:O111 AA101:AE105 R12:X12 AA12:AE12 F14:O18 R14:X18 AA14:AE18 AA20:AE24 F20:O24 R20:X24 AA26:AE30 F26:O30 R26:X30 F32:O36 R32:X36 AA32:AE36 AA38:AE42 X38:X42 F38:O42 R38:U42 AA44:AE48 R44:X48 F44:O48 F50:O54 AA50:AE54 R50:X54 F56:O60 AA56:AE60 R56:X60 F62:O66 R62:X66 AA62:AE66 AA68:AE72 F68:O72 R68:X72 AA77:AA79 R74:X79 F74:O79 F81:O85 R81:X85 AA81:AE85 R87:X91 AA87:AE91 AA93:AE93 O93 R93:X93 R95:X99 F95:O99 AA144:AE148 AA107:AE111 R107:X111 AA113:AE117 V113:X117 V119:X123 AA119:AE123 AA125:AE129 V144:X148 AA95:AE99 R101:X105 F101:O105 V137:X142 V131:X135 AA131:AE135" xr:uid="{00000000-0002-0000-0500-000000000000}">
      <formula1>-9999999999999</formula1>
      <formula2>9999999999999</formula2>
    </dataValidation>
  </dataValidations>
  <pageMargins left="0.5" right="0.25" top="1" bottom="0.75" header="0.44" footer="0.44"/>
  <pageSetup paperSize="5" scale="35" fitToWidth="0" fitToHeight="0" pageOrder="overThenDown" orientation="landscape" cellComments="asDisplayed" r:id="rId1"/>
  <headerFooter>
    <oddHeader>&amp;C&amp;"Times New Roman,Bold"Attachment 10
Enterprise Fund Financial Statement Template
&amp;A</oddHeader>
    <oddFooter>&amp;L&amp;"Times New Roman,Regular"&amp;F\ &amp;A&amp;R&amp;"Times New Roman,Regular"Page &amp;P</oddFooter>
  </headerFooter>
  <rowBreaks count="1" manualBreakCount="1">
    <brk id="72" max="33" man="1"/>
  </rowBreaks>
  <colBreaks count="1" manualBreakCount="1">
    <brk id="17" min="7" max="152"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S72"/>
  <sheetViews>
    <sheetView showGridLines="0" showZeros="0" zoomScale="95" zoomScaleNormal="95" zoomScaleSheetLayoutView="80" workbookViewId="0">
      <selection activeCell="D3" sqref="D3:H3"/>
    </sheetView>
  </sheetViews>
  <sheetFormatPr defaultColWidth="8.85546875" defaultRowHeight="11.25"/>
  <cols>
    <col min="1" max="1" width="6.140625" style="10" customWidth="1"/>
    <col min="2" max="2" width="20.7109375" style="10" customWidth="1"/>
    <col min="3" max="3" width="8.7109375" style="11" customWidth="1"/>
    <col min="4" max="4" width="10.7109375" style="9" customWidth="1"/>
    <col min="5" max="5" width="10.7109375" style="10" customWidth="1"/>
    <col min="6" max="6" width="3.140625" style="10" customWidth="1"/>
    <col min="7" max="7" width="5.5703125" style="10" customWidth="1"/>
    <col min="8" max="8" width="24" style="10" customWidth="1"/>
    <col min="9" max="9" width="3.85546875" style="10" customWidth="1"/>
    <col min="10" max="10" width="4.140625" style="10" customWidth="1"/>
    <col min="11" max="11" width="20" style="10" customWidth="1"/>
    <col min="12" max="12" width="3.85546875" style="10" customWidth="1"/>
    <col min="13" max="13" width="4.7109375" style="10" customWidth="1"/>
    <col min="14" max="14" width="20" style="10" customWidth="1"/>
    <col min="15" max="15" width="3.140625" style="10" customWidth="1"/>
    <col min="16" max="16" width="4.140625" style="10" customWidth="1"/>
    <col min="17" max="17" width="19.85546875" style="10" customWidth="1"/>
    <col min="18" max="18" width="3.7109375" style="10" customWidth="1"/>
    <col min="19" max="19" width="4.28515625" style="10" customWidth="1"/>
    <col min="20" max="20" width="19.85546875" style="10" customWidth="1"/>
    <col min="21" max="21" width="4.42578125" style="10" customWidth="1"/>
    <col min="22" max="22" width="4.140625" style="10" customWidth="1"/>
    <col min="23" max="23" width="19.85546875" style="10" customWidth="1"/>
    <col min="24" max="24" width="3.140625" style="10" customWidth="1"/>
    <col min="25" max="25" width="2.7109375" style="10" customWidth="1"/>
    <col min="26" max="26" width="19.85546875" style="10" customWidth="1"/>
    <col min="27" max="28" width="3.7109375" style="10" customWidth="1"/>
    <col min="29" max="29" width="19.85546875" style="10" customWidth="1"/>
    <col min="30" max="30" width="3.5703125" style="10" hidden="1" customWidth="1"/>
    <col min="31" max="31" width="5.28515625" style="10" hidden="1" customWidth="1"/>
    <col min="32" max="32" width="21.28515625" style="10" hidden="1" customWidth="1"/>
    <col min="33" max="33" width="3.140625" style="10" customWidth="1"/>
    <col min="34" max="34" width="3.7109375" style="10" customWidth="1"/>
    <col min="35" max="35" width="19.85546875" style="10" customWidth="1"/>
    <col min="36" max="36" width="1.7109375" style="10" customWidth="1"/>
    <col min="37" max="37" width="3.28515625" style="10" customWidth="1"/>
    <col min="38" max="38" width="19.85546875" style="10" customWidth="1"/>
    <col min="39" max="40" width="3.28515625" style="10" customWidth="1"/>
    <col min="41" max="41" width="19.85546875" style="10" customWidth="1"/>
    <col min="42" max="42" width="3.140625" style="10" customWidth="1"/>
    <col min="43" max="43" width="3.28515625" style="10" customWidth="1"/>
    <col min="44" max="44" width="20" style="10" customWidth="1"/>
    <col min="45" max="45" width="3.28515625" style="10" customWidth="1"/>
    <col min="46" max="46" width="3.5703125" style="10" customWidth="1"/>
    <col min="47" max="47" width="20" style="10" customWidth="1"/>
    <col min="48" max="48" width="3.5703125" style="10" customWidth="1"/>
    <col min="49" max="49" width="3.85546875" style="10" customWidth="1"/>
    <col min="50" max="50" width="20" style="10" customWidth="1"/>
    <col min="51" max="51" width="3.5703125" style="10" customWidth="1"/>
    <col min="52" max="52" width="3.85546875" style="10" customWidth="1"/>
    <col min="53" max="53" width="20" style="10" customWidth="1"/>
    <col min="54" max="54" width="3" style="10" customWidth="1"/>
    <col min="55" max="55" width="3.85546875" style="10" customWidth="1"/>
    <col min="56" max="56" width="20" style="10" customWidth="1"/>
    <col min="57" max="57" width="3" style="10" customWidth="1"/>
    <col min="58" max="58" width="3.28515625" style="10" customWidth="1"/>
    <col min="59" max="59" width="20" style="10" customWidth="1"/>
    <col min="60" max="60" width="3.5703125" style="10" customWidth="1"/>
    <col min="61" max="61" width="4.28515625" style="10" customWidth="1"/>
    <col min="62" max="62" width="20" style="10" customWidth="1"/>
    <col min="63" max="63" width="3.140625" style="10" customWidth="1"/>
    <col min="64" max="64" width="3.5703125" style="10" customWidth="1"/>
    <col min="65" max="65" width="20" style="10" customWidth="1"/>
    <col min="66" max="66" width="3.140625" style="10" customWidth="1"/>
    <col min="67" max="67" width="3.5703125" style="10" customWidth="1"/>
    <col min="68" max="68" width="20" style="10" customWidth="1"/>
    <col min="69" max="69" width="3.140625" style="10" customWidth="1"/>
    <col min="70" max="70" width="3.28515625" style="10" customWidth="1"/>
    <col min="71" max="71" width="24.140625" style="10" customWidth="1"/>
    <col min="72" max="16384" width="8.85546875" style="10"/>
  </cols>
  <sheetData>
    <row r="1" spans="1:71" ht="12.75">
      <c r="A1" s="1122" t="s">
        <v>272</v>
      </c>
      <c r="B1" s="1123"/>
      <c r="C1" s="1124"/>
      <c r="D1" s="1119" t="str">
        <f>'Enterprise Template'!E1</f>
        <v/>
      </c>
      <c r="E1" s="1120"/>
      <c r="F1" s="1120"/>
      <c r="G1" s="1120"/>
      <c r="H1" s="1120"/>
    </row>
    <row r="2" spans="1:71" ht="12.75">
      <c r="A2" s="1122" t="s">
        <v>190</v>
      </c>
      <c r="B2" s="1123"/>
      <c r="C2" s="1124"/>
      <c r="D2" s="1119" t="str">
        <f>IF('Enterprise Template'!E2="","",'Enterprise Template'!E2)</f>
        <v/>
      </c>
      <c r="E2" s="1120"/>
      <c r="F2" s="1120"/>
      <c r="G2" s="1120"/>
      <c r="H2" s="1120"/>
    </row>
    <row r="3" spans="1:71" ht="12.75">
      <c r="A3" s="1122" t="s">
        <v>447</v>
      </c>
      <c r="B3" s="1123"/>
      <c r="C3" s="1124"/>
      <c r="D3" s="1125" t="str">
        <f>IF('Enterprise Template'!E3="","",'Enterprise Template'!E3)</f>
        <v/>
      </c>
      <c r="E3" s="1126"/>
      <c r="F3" s="1126"/>
      <c r="G3" s="1126"/>
      <c r="H3" s="1126"/>
    </row>
    <row r="4" spans="1:71" ht="12.75">
      <c r="A4" s="1122" t="s">
        <v>448</v>
      </c>
      <c r="B4" s="1123"/>
      <c r="C4" s="1124"/>
      <c r="D4" s="1127" t="str">
        <f>IF('Enterprise Template'!E4="","",'Enterprise Template'!E4)</f>
        <v/>
      </c>
      <c r="E4" s="1128"/>
      <c r="F4" s="1128"/>
      <c r="G4" s="1128"/>
      <c r="H4" s="1128"/>
    </row>
    <row r="5" spans="1:71" ht="12.75">
      <c r="A5" s="1122" t="s">
        <v>2847</v>
      </c>
      <c r="B5" s="1123"/>
      <c r="C5" s="1124"/>
      <c r="D5" s="1129" t="str">
        <f>IF('Enterprise Template'!E5="","",'Enterprise Template'!E5)</f>
        <v/>
      </c>
      <c r="E5" s="1130"/>
      <c r="F5" s="1130"/>
      <c r="G5" s="1130"/>
      <c r="H5" s="1130"/>
      <c r="N5" s="12"/>
    </row>
    <row r="6" spans="1:71" ht="12.75">
      <c r="A6" s="1122" t="s">
        <v>449</v>
      </c>
      <c r="B6" s="1123"/>
      <c r="C6" s="1124"/>
      <c r="D6" s="1116" t="str">
        <f>IF('Enterprise Template'!E6="","",'Enterprise Template'!E6)</f>
        <v/>
      </c>
      <c r="E6" s="1117"/>
      <c r="F6" s="1117"/>
      <c r="G6" s="1117"/>
      <c r="H6" s="1117"/>
    </row>
    <row r="7" spans="1:71" ht="12.75">
      <c r="A7" s="1122" t="s">
        <v>224</v>
      </c>
      <c r="B7" s="1123"/>
      <c r="C7" s="1124"/>
      <c r="D7" s="1119" t="str">
        <f>'Enterprise Template'!E7</f>
        <v/>
      </c>
      <c r="E7" s="1120"/>
      <c r="F7" s="1120"/>
      <c r="G7" s="1120"/>
      <c r="H7" s="1120"/>
    </row>
    <row r="8" spans="1:71" ht="12.75">
      <c r="A8" s="8"/>
      <c r="B8" s="8"/>
      <c r="C8" s="1121"/>
      <c r="D8" s="1081"/>
      <c r="E8" s="1081"/>
      <c r="F8" s="1081"/>
      <c r="G8" s="1081"/>
      <c r="H8" s="9"/>
    </row>
    <row r="9" spans="1:71" s="12" customFormat="1" ht="14.25">
      <c r="A9" s="172"/>
    </row>
    <row r="10" spans="1:71" s="12" customFormat="1" ht="57" customHeight="1">
      <c r="A10" s="1118" t="s">
        <v>2695</v>
      </c>
      <c r="B10" s="1118"/>
      <c r="C10" s="1118"/>
      <c r="D10" s="1118"/>
      <c r="E10" s="1118"/>
      <c r="F10" s="1118"/>
      <c r="G10" s="1118"/>
      <c r="H10" s="1118"/>
      <c r="I10" s="609"/>
      <c r="J10" s="609"/>
      <c r="K10" s="609"/>
      <c r="N10" s="930"/>
    </row>
    <row r="11" spans="1:71" s="12" customFormat="1" ht="60" customHeight="1">
      <c r="A11" s="1085" t="str">
        <f>IF('Tab 1A-GASB 3-40'!G118=0,"N/A","Answer Required")</f>
        <v>N/A</v>
      </c>
      <c r="B11" s="1086"/>
      <c r="C11" s="1086"/>
      <c r="D11" s="1086"/>
      <c r="E11" s="1086"/>
      <c r="F11" s="1086"/>
      <c r="G11" s="1086"/>
      <c r="H11" s="1087"/>
      <c r="I11" s="143"/>
      <c r="J11" s="143"/>
      <c r="K11" s="143"/>
    </row>
    <row r="12" spans="1:71" s="12" customFormat="1" ht="12.75"/>
    <row r="13" spans="1:71" s="110" customFormat="1" ht="47.1" customHeight="1">
      <c r="E13" s="173"/>
      <c r="G13" s="841"/>
      <c r="H13" s="173" t="s">
        <v>3023</v>
      </c>
      <c r="J13" s="841"/>
      <c r="K13" s="173" t="s">
        <v>3024</v>
      </c>
      <c r="M13" s="841"/>
      <c r="N13" s="173" t="s">
        <v>682</v>
      </c>
      <c r="P13" s="841"/>
      <c r="Q13" s="173" t="s">
        <v>683</v>
      </c>
      <c r="S13" s="841"/>
      <c r="T13" s="173" t="s">
        <v>685</v>
      </c>
      <c r="V13" s="841"/>
      <c r="W13" s="173" t="s">
        <v>3200</v>
      </c>
      <c r="Y13" s="841"/>
      <c r="Z13" s="173" t="s">
        <v>686</v>
      </c>
      <c r="AB13" s="841"/>
      <c r="AC13" s="173" t="s">
        <v>687</v>
      </c>
      <c r="AE13" s="841"/>
      <c r="AF13" s="173" t="s">
        <v>688</v>
      </c>
      <c r="AH13" s="841"/>
      <c r="AI13" s="173" t="s">
        <v>108</v>
      </c>
      <c r="AK13" s="841"/>
      <c r="AL13" s="173" t="s">
        <v>690</v>
      </c>
      <c r="AM13" s="173"/>
      <c r="AN13" s="173"/>
      <c r="AO13" s="173"/>
      <c r="AQ13" s="841"/>
      <c r="AR13" s="173" t="s">
        <v>109</v>
      </c>
      <c r="AT13" s="841"/>
      <c r="AU13" s="173" t="s">
        <v>702</v>
      </c>
      <c r="AW13" s="841"/>
      <c r="AX13" s="173" t="s">
        <v>703</v>
      </c>
      <c r="AZ13" s="841"/>
      <c r="BA13" s="173" t="s">
        <v>327</v>
      </c>
      <c r="BC13" s="841"/>
      <c r="BD13" s="173" t="s">
        <v>3014</v>
      </c>
      <c r="BF13" s="841"/>
      <c r="BG13" s="173" t="s">
        <v>705</v>
      </c>
      <c r="BI13" s="841"/>
      <c r="BJ13" s="173" t="s">
        <v>707</v>
      </c>
      <c r="BL13" s="841"/>
      <c r="BM13" s="173" t="s">
        <v>708</v>
      </c>
      <c r="BN13" s="173"/>
      <c r="BO13" s="174"/>
      <c r="BP13" s="173" t="s">
        <v>709</v>
      </c>
      <c r="BR13" s="841"/>
      <c r="BS13" s="175" t="s">
        <v>710</v>
      </c>
    </row>
    <row r="14" spans="1:71" s="12" customFormat="1" ht="12.75">
      <c r="A14" s="176" t="s">
        <v>2771</v>
      </c>
      <c r="D14" s="111"/>
      <c r="E14" s="178"/>
      <c r="G14" s="111" t="s">
        <v>246</v>
      </c>
      <c r="H14" s="177"/>
      <c r="J14" s="111" t="s">
        <v>246</v>
      </c>
      <c r="K14" s="177"/>
      <c r="M14" s="111" t="s">
        <v>246</v>
      </c>
      <c r="N14" s="177"/>
      <c r="P14" s="111" t="s">
        <v>246</v>
      </c>
      <c r="Q14" s="177"/>
      <c r="S14" s="111" t="s">
        <v>246</v>
      </c>
      <c r="T14" s="177"/>
      <c r="V14" s="111" t="s">
        <v>246</v>
      </c>
      <c r="W14" s="177"/>
      <c r="Y14" s="111" t="s">
        <v>246</v>
      </c>
      <c r="Z14" s="177"/>
      <c r="AB14" s="111" t="s">
        <v>246</v>
      </c>
      <c r="AC14" s="177"/>
      <c r="AE14" s="111" t="s">
        <v>246</v>
      </c>
      <c r="AF14" s="277"/>
      <c r="AH14" s="111" t="s">
        <v>246</v>
      </c>
      <c r="AI14" s="177"/>
      <c r="AK14" s="111" t="s">
        <v>246</v>
      </c>
      <c r="AL14" s="177"/>
      <c r="AM14" s="178"/>
      <c r="AN14" s="178"/>
      <c r="AO14" s="176" t="str">
        <f>A14</f>
        <v xml:space="preserve">Argentine Peso </v>
      </c>
      <c r="AQ14" s="111" t="s">
        <v>246</v>
      </c>
      <c r="AR14" s="177"/>
      <c r="AT14" s="111" t="s">
        <v>246</v>
      </c>
      <c r="AU14" s="177"/>
      <c r="AW14" s="111" t="s">
        <v>246</v>
      </c>
      <c r="AX14" s="177"/>
      <c r="AZ14" s="111" t="s">
        <v>246</v>
      </c>
      <c r="BA14" s="177"/>
      <c r="BC14" s="111" t="s">
        <v>246</v>
      </c>
      <c r="BD14" s="177"/>
      <c r="BF14" s="111" t="s">
        <v>246</v>
      </c>
      <c r="BG14" s="177"/>
      <c r="BI14" s="111" t="s">
        <v>246</v>
      </c>
      <c r="BJ14" s="177"/>
      <c r="BL14" s="111" t="s">
        <v>246</v>
      </c>
      <c r="BM14" s="177"/>
      <c r="BN14" s="178"/>
      <c r="BO14" s="111" t="s">
        <v>246</v>
      </c>
      <c r="BP14" s="177"/>
      <c r="BR14" s="111" t="s">
        <v>246</v>
      </c>
      <c r="BS14" s="752">
        <f>SUM(H14:BP14)</f>
        <v>0</v>
      </c>
    </row>
    <row r="15" spans="1:71" s="12" customFormat="1" ht="12.75">
      <c r="A15" s="179" t="s">
        <v>711</v>
      </c>
      <c r="B15" s="930"/>
      <c r="E15" s="178"/>
      <c r="H15" s="177"/>
      <c r="K15" s="177"/>
      <c r="N15" s="177"/>
      <c r="Q15" s="177"/>
      <c r="T15" s="177"/>
      <c r="W15" s="177"/>
      <c r="Z15" s="177"/>
      <c r="AC15" s="177"/>
      <c r="AF15" s="277"/>
      <c r="AI15" s="177"/>
      <c r="AL15" s="177"/>
      <c r="AM15" s="178"/>
      <c r="AN15" s="178"/>
      <c r="AO15" s="176" t="str">
        <f t="shared" ref="AO15:AO56" si="0">A15</f>
        <v xml:space="preserve">Australian Dollar </v>
      </c>
      <c r="AR15" s="177"/>
      <c r="AU15" s="177"/>
      <c r="AX15" s="177"/>
      <c r="BA15" s="177"/>
      <c r="BD15" s="177"/>
      <c r="BG15" s="177"/>
      <c r="BJ15" s="177"/>
      <c r="BM15" s="177"/>
      <c r="BN15" s="178"/>
      <c r="BO15" s="178"/>
      <c r="BP15" s="177"/>
      <c r="BS15" s="752">
        <f t="shared" ref="BS15:BS62" si="1">SUM(H15:BP15)</f>
        <v>0</v>
      </c>
    </row>
    <row r="16" spans="1:71" s="12" customFormat="1" ht="12.75">
      <c r="A16" s="179" t="s">
        <v>3766</v>
      </c>
      <c r="E16" s="178"/>
      <c r="H16" s="177"/>
      <c r="K16" s="177"/>
      <c r="N16" s="177"/>
      <c r="Q16" s="177"/>
      <c r="T16" s="177"/>
      <c r="W16" s="177"/>
      <c r="Z16" s="177"/>
      <c r="AC16" s="177"/>
      <c r="AF16" s="277"/>
      <c r="AI16" s="177"/>
      <c r="AL16" s="177"/>
      <c r="AM16" s="178"/>
      <c r="AN16" s="178"/>
      <c r="AO16" s="176" t="str">
        <f t="shared" si="0"/>
        <v xml:space="preserve">Brazilian Real </v>
      </c>
      <c r="AR16" s="177"/>
      <c r="AU16" s="177"/>
      <c r="AX16" s="177"/>
      <c r="BA16" s="177"/>
      <c r="BD16" s="177"/>
      <c r="BG16" s="177"/>
      <c r="BJ16" s="177"/>
      <c r="BM16" s="177"/>
      <c r="BN16" s="178"/>
      <c r="BO16" s="178"/>
      <c r="BP16" s="177"/>
      <c r="BS16" s="752">
        <f t="shared" si="1"/>
        <v>0</v>
      </c>
    </row>
    <row r="17" spans="1:71" s="12" customFormat="1" ht="12.75">
      <c r="A17" s="179" t="s">
        <v>3416</v>
      </c>
      <c r="E17" s="178"/>
      <c r="H17" s="177"/>
      <c r="K17" s="177"/>
      <c r="N17" s="177"/>
      <c r="Q17" s="177"/>
      <c r="T17" s="177"/>
      <c r="W17" s="177"/>
      <c r="Z17" s="177"/>
      <c r="AC17" s="177"/>
      <c r="AF17" s="277"/>
      <c r="AI17" s="177"/>
      <c r="AL17" s="177"/>
      <c r="AM17" s="178"/>
      <c r="AN17" s="178"/>
      <c r="AO17" s="176" t="str">
        <f t="shared" si="0"/>
        <v xml:space="preserve">British Pound Sterling </v>
      </c>
      <c r="AR17" s="177"/>
      <c r="AU17" s="177"/>
      <c r="AX17" s="177"/>
      <c r="BA17" s="177"/>
      <c r="BD17" s="177"/>
      <c r="BG17" s="177"/>
      <c r="BJ17" s="177"/>
      <c r="BM17" s="177"/>
      <c r="BN17" s="178"/>
      <c r="BO17" s="178"/>
      <c r="BP17" s="177"/>
      <c r="BS17" s="752">
        <f>SUM(H17:BP17)</f>
        <v>0</v>
      </c>
    </row>
    <row r="18" spans="1:71" s="12" customFormat="1" ht="12.75">
      <c r="A18" s="179" t="s">
        <v>712</v>
      </c>
      <c r="E18" s="178"/>
      <c r="H18" s="177"/>
      <c r="K18" s="177"/>
      <c r="N18" s="177"/>
      <c r="Q18" s="177"/>
      <c r="T18" s="177"/>
      <c r="W18" s="177"/>
      <c r="Z18" s="177"/>
      <c r="AC18" s="177"/>
      <c r="AF18" s="277"/>
      <c r="AI18" s="177"/>
      <c r="AL18" s="177"/>
      <c r="AM18" s="178"/>
      <c r="AN18" s="178"/>
      <c r="AO18" s="176" t="str">
        <f t="shared" ref="AO18" si="2">A18</f>
        <v xml:space="preserve">Canadian Dollar </v>
      </c>
      <c r="AR18" s="177"/>
      <c r="AU18" s="177"/>
      <c r="AX18" s="177"/>
      <c r="BA18" s="177"/>
      <c r="BD18" s="177"/>
      <c r="BG18" s="177"/>
      <c r="BJ18" s="177"/>
      <c r="BM18" s="177"/>
      <c r="BN18" s="178"/>
      <c r="BO18" s="178"/>
      <c r="BP18" s="177"/>
      <c r="BS18" s="752">
        <f t="shared" ref="BS18" si="3">SUM(H18:BP18)</f>
        <v>0</v>
      </c>
    </row>
    <row r="19" spans="1:71" s="12" customFormat="1" ht="12.75">
      <c r="A19" s="179" t="s">
        <v>3736</v>
      </c>
      <c r="E19" s="178"/>
      <c r="H19" s="177"/>
      <c r="K19" s="177"/>
      <c r="N19" s="177"/>
      <c r="Q19" s="177"/>
      <c r="T19" s="177"/>
      <c r="W19" s="177"/>
      <c r="Z19" s="177"/>
      <c r="AC19" s="177"/>
      <c r="AF19" s="277"/>
      <c r="AI19" s="177"/>
      <c r="AL19" s="177"/>
      <c r="AM19" s="178"/>
      <c r="AN19" s="178"/>
      <c r="AO19" s="176" t="str">
        <f t="shared" si="0"/>
        <v>Cayman Islands</v>
      </c>
      <c r="AR19" s="177"/>
      <c r="AU19" s="177"/>
      <c r="AX19" s="177"/>
      <c r="BA19" s="177"/>
      <c r="BD19" s="177"/>
      <c r="BG19" s="177"/>
      <c r="BJ19" s="177"/>
      <c r="BM19" s="177"/>
      <c r="BN19" s="178"/>
      <c r="BO19" s="178"/>
      <c r="BP19" s="177"/>
      <c r="BS19" s="752">
        <f t="shared" si="1"/>
        <v>0</v>
      </c>
    </row>
    <row r="20" spans="1:71" s="12" customFormat="1" ht="12.75">
      <c r="A20" s="933" t="s">
        <v>3380</v>
      </c>
      <c r="E20" s="178"/>
      <c r="H20" s="177"/>
      <c r="K20" s="177"/>
      <c r="N20" s="177"/>
      <c r="Q20" s="177"/>
      <c r="T20" s="177"/>
      <c r="W20" s="177"/>
      <c r="Z20" s="177"/>
      <c r="AC20" s="177"/>
      <c r="AF20" s="277"/>
      <c r="AI20" s="177"/>
      <c r="AL20" s="177"/>
      <c r="AM20" s="178"/>
      <c r="AN20" s="178"/>
      <c r="AO20" s="176" t="str">
        <f t="shared" si="0"/>
        <v>Chilean Peso</v>
      </c>
      <c r="AR20" s="177"/>
      <c r="AU20" s="177"/>
      <c r="AX20" s="177"/>
      <c r="BA20" s="177"/>
      <c r="BD20" s="177"/>
      <c r="BG20" s="177"/>
      <c r="BJ20" s="177"/>
      <c r="BM20" s="177"/>
      <c r="BN20" s="178"/>
      <c r="BO20" s="178"/>
      <c r="BP20" s="177"/>
      <c r="BS20" s="752">
        <f t="shared" si="1"/>
        <v>0</v>
      </c>
    </row>
    <row r="21" spans="1:71" s="12" customFormat="1" ht="12.75">
      <c r="A21" s="933" t="s">
        <v>3737</v>
      </c>
      <c r="E21" s="178"/>
      <c r="H21" s="177"/>
      <c r="K21" s="177"/>
      <c r="N21" s="177"/>
      <c r="Q21" s="177"/>
      <c r="T21" s="177"/>
      <c r="W21" s="177"/>
      <c r="Z21" s="177"/>
      <c r="AC21" s="177"/>
      <c r="AF21" s="277"/>
      <c r="AI21" s="177"/>
      <c r="AL21" s="177"/>
      <c r="AM21" s="178"/>
      <c r="AN21" s="178"/>
      <c r="AO21" s="176" t="str">
        <f t="shared" si="0"/>
        <v>Chinese RMB</v>
      </c>
      <c r="AR21" s="177"/>
      <c r="AU21" s="177"/>
      <c r="AX21" s="177"/>
      <c r="BA21" s="177"/>
      <c r="BD21" s="177"/>
      <c r="BG21" s="177"/>
      <c r="BJ21" s="177"/>
      <c r="BM21" s="177"/>
      <c r="BN21" s="178"/>
      <c r="BO21" s="178"/>
      <c r="BP21" s="177"/>
      <c r="BS21" s="752">
        <f t="shared" si="1"/>
        <v>0</v>
      </c>
    </row>
    <row r="22" spans="1:71" s="12" customFormat="1" ht="12.75">
      <c r="A22" s="179" t="s">
        <v>713</v>
      </c>
      <c r="C22" s="171"/>
      <c r="D22" s="171"/>
      <c r="E22" s="178"/>
      <c r="H22" s="177"/>
      <c r="K22" s="177"/>
      <c r="N22" s="177"/>
      <c r="Q22" s="177"/>
      <c r="T22" s="177"/>
      <c r="W22" s="177"/>
      <c r="Z22" s="177"/>
      <c r="AC22" s="177"/>
      <c r="AF22" s="277"/>
      <c r="AI22" s="177"/>
      <c r="AL22" s="177"/>
      <c r="AM22" s="178"/>
      <c r="AN22" s="178"/>
      <c r="AO22" s="176" t="str">
        <f t="shared" si="0"/>
        <v xml:space="preserve">Colombian Peso </v>
      </c>
      <c r="AR22" s="177"/>
      <c r="AU22" s="177"/>
      <c r="AX22" s="177"/>
      <c r="BA22" s="177"/>
      <c r="BD22" s="177"/>
      <c r="BG22" s="177"/>
      <c r="BJ22" s="177"/>
      <c r="BM22" s="177"/>
      <c r="BN22" s="178"/>
      <c r="BO22" s="178"/>
      <c r="BP22" s="177"/>
      <c r="BS22" s="752">
        <f t="shared" si="1"/>
        <v>0</v>
      </c>
    </row>
    <row r="23" spans="1:71" s="12" customFormat="1" ht="12.75">
      <c r="A23" s="179" t="s">
        <v>714</v>
      </c>
      <c r="E23" s="178"/>
      <c r="H23" s="177"/>
      <c r="K23" s="177"/>
      <c r="N23" s="177"/>
      <c r="Q23" s="177"/>
      <c r="T23" s="177"/>
      <c r="W23" s="177"/>
      <c r="Z23" s="177"/>
      <c r="AC23" s="177"/>
      <c r="AF23" s="277"/>
      <c r="AI23" s="177"/>
      <c r="AL23" s="177"/>
      <c r="AM23" s="178"/>
      <c r="AN23" s="178"/>
      <c r="AO23" s="176" t="str">
        <f t="shared" si="0"/>
        <v xml:space="preserve">Czech Koruna </v>
      </c>
      <c r="AR23" s="177"/>
      <c r="AU23" s="177"/>
      <c r="AX23" s="177"/>
      <c r="BA23" s="177"/>
      <c r="BD23" s="177"/>
      <c r="BG23" s="177"/>
      <c r="BJ23" s="177"/>
      <c r="BM23" s="177"/>
      <c r="BN23" s="178"/>
      <c r="BO23" s="178"/>
      <c r="BP23" s="177"/>
      <c r="BS23" s="752">
        <f t="shared" si="1"/>
        <v>0</v>
      </c>
    </row>
    <row r="24" spans="1:71" s="12" customFormat="1" ht="12.75">
      <c r="A24" s="179" t="s">
        <v>715</v>
      </c>
      <c r="E24" s="178"/>
      <c r="H24" s="177"/>
      <c r="K24" s="177"/>
      <c r="N24" s="177"/>
      <c r="Q24" s="177"/>
      <c r="T24" s="177"/>
      <c r="W24" s="177"/>
      <c r="Z24" s="177"/>
      <c r="AC24" s="177"/>
      <c r="AF24" s="277"/>
      <c r="AI24" s="177"/>
      <c r="AL24" s="177"/>
      <c r="AM24" s="178"/>
      <c r="AN24" s="178"/>
      <c r="AO24" s="176" t="str">
        <f t="shared" si="0"/>
        <v xml:space="preserve">Danish Krone </v>
      </c>
      <c r="AR24" s="177"/>
      <c r="AU24" s="177"/>
      <c r="AX24" s="177"/>
      <c r="BA24" s="177"/>
      <c r="BD24" s="177"/>
      <c r="BG24" s="177"/>
      <c r="BJ24" s="177"/>
      <c r="BM24" s="177"/>
      <c r="BN24" s="178"/>
      <c r="BO24" s="178"/>
      <c r="BP24" s="177"/>
      <c r="BS24" s="752">
        <f t="shared" si="1"/>
        <v>0</v>
      </c>
    </row>
    <row r="25" spans="1:71" s="12" customFormat="1" ht="12.75">
      <c r="A25" s="179" t="s">
        <v>3738</v>
      </c>
      <c r="E25" s="178"/>
      <c r="H25" s="177"/>
      <c r="K25" s="177"/>
      <c r="N25" s="177"/>
      <c r="Q25" s="177"/>
      <c r="T25" s="177"/>
      <c r="W25" s="177"/>
      <c r="Z25" s="177"/>
      <c r="AC25" s="177"/>
      <c r="AF25" s="277"/>
      <c r="AI25" s="177"/>
      <c r="AL25" s="177"/>
      <c r="AM25" s="178"/>
      <c r="AN25" s="178"/>
      <c r="AO25" s="176" t="str">
        <f t="shared" ref="AO25" si="4">A25</f>
        <v>Dominican Republic Peso</v>
      </c>
      <c r="AR25" s="177"/>
      <c r="AU25" s="177"/>
      <c r="AX25" s="177"/>
      <c r="BA25" s="177"/>
      <c r="BD25" s="177"/>
      <c r="BG25" s="177"/>
      <c r="BJ25" s="177"/>
      <c r="BM25" s="177"/>
      <c r="BN25" s="178"/>
      <c r="BO25" s="178"/>
      <c r="BP25" s="177"/>
      <c r="BS25" s="752">
        <f t="shared" ref="BS25" si="5">SUM(H25:BP25)</f>
        <v>0</v>
      </c>
    </row>
    <row r="26" spans="1:71" s="12" customFormat="1" ht="12.75">
      <c r="A26" s="179" t="s">
        <v>716</v>
      </c>
      <c r="E26" s="178"/>
      <c r="H26" s="177"/>
      <c r="K26" s="177"/>
      <c r="N26" s="177"/>
      <c r="Q26" s="177"/>
      <c r="T26" s="177"/>
      <c r="W26" s="177"/>
      <c r="Z26" s="177"/>
      <c r="AC26" s="177"/>
      <c r="AF26" s="277"/>
      <c r="AI26" s="177"/>
      <c r="AL26" s="177"/>
      <c r="AM26" s="178"/>
      <c r="AN26" s="178"/>
      <c r="AO26" s="176" t="str">
        <f t="shared" si="0"/>
        <v xml:space="preserve">Egyptian Pound </v>
      </c>
      <c r="AR26" s="177"/>
      <c r="AU26" s="177"/>
      <c r="AX26" s="177"/>
      <c r="BA26" s="177"/>
      <c r="BD26" s="177"/>
      <c r="BG26" s="177"/>
      <c r="BJ26" s="177"/>
      <c r="BM26" s="177"/>
      <c r="BN26" s="178"/>
      <c r="BO26" s="178"/>
      <c r="BP26" s="177"/>
      <c r="BS26" s="752">
        <f t="shared" si="1"/>
        <v>0</v>
      </c>
    </row>
    <row r="27" spans="1:71" s="12" customFormat="1" ht="12.75">
      <c r="A27" s="179" t="s">
        <v>3767</v>
      </c>
      <c r="E27" s="178"/>
      <c r="H27" s="177"/>
      <c r="K27" s="177"/>
      <c r="N27" s="177"/>
      <c r="Q27" s="177"/>
      <c r="T27" s="177"/>
      <c r="W27" s="177"/>
      <c r="Z27" s="177"/>
      <c r="AC27" s="177"/>
      <c r="AF27" s="277"/>
      <c r="AI27" s="177"/>
      <c r="AL27" s="177"/>
      <c r="AM27" s="178"/>
      <c r="AN27" s="178"/>
      <c r="AO27" s="176" t="str">
        <f t="shared" si="0"/>
        <v xml:space="preserve">Estonian Kroon </v>
      </c>
      <c r="AR27" s="177"/>
      <c r="AU27" s="177"/>
      <c r="AX27" s="177"/>
      <c r="BA27" s="177"/>
      <c r="BD27" s="177"/>
      <c r="BG27" s="177"/>
      <c r="BJ27" s="177"/>
      <c r="BM27" s="177"/>
      <c r="BN27" s="178"/>
      <c r="BO27" s="178"/>
      <c r="BP27" s="177"/>
      <c r="BS27" s="752">
        <f t="shared" si="1"/>
        <v>0</v>
      </c>
    </row>
    <row r="28" spans="1:71" s="12" customFormat="1" ht="12.75">
      <c r="A28" s="179" t="s">
        <v>717</v>
      </c>
      <c r="E28" s="178"/>
      <c r="H28" s="177"/>
      <c r="K28" s="177"/>
      <c r="N28" s="177"/>
      <c r="Q28" s="177"/>
      <c r="T28" s="177"/>
      <c r="W28" s="177"/>
      <c r="Z28" s="177"/>
      <c r="AC28" s="177"/>
      <c r="AF28" s="277"/>
      <c r="AI28" s="177"/>
      <c r="AL28" s="177"/>
      <c r="AM28" s="178"/>
      <c r="AN28" s="178"/>
      <c r="AO28" s="176" t="str">
        <f t="shared" si="0"/>
        <v xml:space="preserve">Euro Currency Unit </v>
      </c>
      <c r="AR28" s="177"/>
      <c r="AU28" s="177"/>
      <c r="AX28" s="177"/>
      <c r="BA28" s="177"/>
      <c r="BD28" s="177"/>
      <c r="BG28" s="177"/>
      <c r="BJ28" s="177"/>
      <c r="BM28" s="177"/>
      <c r="BN28" s="178"/>
      <c r="BO28" s="178"/>
      <c r="BP28" s="177"/>
      <c r="BS28" s="752">
        <f t="shared" si="1"/>
        <v>0</v>
      </c>
    </row>
    <row r="29" spans="1:71" s="12" customFormat="1" ht="12.75">
      <c r="A29" s="179" t="s">
        <v>718</v>
      </c>
      <c r="E29" s="178"/>
      <c r="H29" s="177"/>
      <c r="K29" s="177"/>
      <c r="N29" s="177"/>
      <c r="Q29" s="177"/>
      <c r="T29" s="177"/>
      <c r="W29" s="177"/>
      <c r="Z29" s="177"/>
      <c r="AC29" s="177"/>
      <c r="AF29" s="277"/>
      <c r="AI29" s="177"/>
      <c r="AL29" s="177"/>
      <c r="AM29" s="178"/>
      <c r="AN29" s="178"/>
      <c r="AO29" s="176" t="str">
        <f t="shared" si="0"/>
        <v xml:space="preserve">Hong Kong Dollar </v>
      </c>
      <c r="AR29" s="177"/>
      <c r="AU29" s="177"/>
      <c r="AX29" s="177"/>
      <c r="BA29" s="177"/>
      <c r="BD29" s="177"/>
      <c r="BG29" s="177"/>
      <c r="BJ29" s="177"/>
      <c r="BM29" s="177"/>
      <c r="BN29" s="178"/>
      <c r="BO29" s="178"/>
      <c r="BP29" s="177"/>
      <c r="BS29" s="752">
        <f t="shared" si="1"/>
        <v>0</v>
      </c>
    </row>
    <row r="30" spans="1:71" s="12" customFormat="1" ht="12.75">
      <c r="A30" s="179" t="s">
        <v>719</v>
      </c>
      <c r="E30" s="178"/>
      <c r="H30" s="177"/>
      <c r="K30" s="177"/>
      <c r="N30" s="177"/>
      <c r="Q30" s="177"/>
      <c r="T30" s="177"/>
      <c r="W30" s="177"/>
      <c r="Z30" s="177"/>
      <c r="AC30" s="177"/>
      <c r="AF30" s="277"/>
      <c r="AI30" s="177"/>
      <c r="AL30" s="177"/>
      <c r="AM30" s="178"/>
      <c r="AN30" s="178"/>
      <c r="AO30" s="176" t="str">
        <f t="shared" si="0"/>
        <v xml:space="preserve">Hungarian Forint </v>
      </c>
      <c r="AR30" s="177"/>
      <c r="AU30" s="177"/>
      <c r="AX30" s="177"/>
      <c r="BA30" s="177"/>
      <c r="BD30" s="177"/>
      <c r="BG30" s="177"/>
      <c r="BJ30" s="177"/>
      <c r="BM30" s="177"/>
      <c r="BN30" s="178"/>
      <c r="BO30" s="178"/>
      <c r="BP30" s="177"/>
      <c r="BS30" s="752">
        <f t="shared" si="1"/>
        <v>0</v>
      </c>
    </row>
    <row r="31" spans="1:71" s="12" customFormat="1" ht="12.75">
      <c r="A31" s="179" t="s">
        <v>720</v>
      </c>
      <c r="E31" s="178"/>
      <c r="H31" s="177"/>
      <c r="K31" s="177"/>
      <c r="N31" s="177"/>
      <c r="Q31" s="177"/>
      <c r="T31" s="177"/>
      <c r="W31" s="177"/>
      <c r="Z31" s="177"/>
      <c r="AC31" s="177"/>
      <c r="AF31" s="277"/>
      <c r="AI31" s="177"/>
      <c r="AL31" s="177"/>
      <c r="AM31" s="178"/>
      <c r="AN31" s="178"/>
      <c r="AO31" s="176" t="str">
        <f t="shared" si="0"/>
        <v xml:space="preserve">Indian Rupee </v>
      </c>
      <c r="AR31" s="177"/>
      <c r="AU31" s="177"/>
      <c r="AX31" s="177"/>
      <c r="BA31" s="177"/>
      <c r="BD31" s="177"/>
      <c r="BG31" s="177"/>
      <c r="BJ31" s="177"/>
      <c r="BM31" s="177"/>
      <c r="BN31" s="178"/>
      <c r="BO31" s="178"/>
      <c r="BP31" s="177"/>
      <c r="BS31" s="752">
        <f t="shared" si="1"/>
        <v>0</v>
      </c>
    </row>
    <row r="32" spans="1:71" s="12" customFormat="1" ht="12.75">
      <c r="A32" s="179" t="s">
        <v>3388</v>
      </c>
      <c r="E32" s="178"/>
      <c r="H32" s="177"/>
      <c r="K32" s="177"/>
      <c r="N32" s="177"/>
      <c r="Q32" s="177"/>
      <c r="T32" s="177"/>
      <c r="W32" s="177"/>
      <c r="Z32" s="177"/>
      <c r="AC32" s="177"/>
      <c r="AF32" s="277"/>
      <c r="AI32" s="177"/>
      <c r="AL32" s="177"/>
      <c r="AM32" s="178"/>
      <c r="AN32" s="178"/>
      <c r="AO32" s="176" t="str">
        <f t="shared" si="0"/>
        <v xml:space="preserve">Indonesian Rupiah </v>
      </c>
      <c r="AR32" s="177"/>
      <c r="AU32" s="177"/>
      <c r="AX32" s="177"/>
      <c r="BA32" s="177"/>
      <c r="BD32" s="177"/>
      <c r="BG32" s="177"/>
      <c r="BJ32" s="177"/>
      <c r="BM32" s="177"/>
      <c r="BN32" s="178"/>
      <c r="BO32" s="178"/>
      <c r="BP32" s="177"/>
      <c r="BS32" s="752">
        <f t="shared" si="1"/>
        <v>0</v>
      </c>
    </row>
    <row r="33" spans="1:71" s="12" customFormat="1" ht="12.75">
      <c r="A33" s="179" t="s">
        <v>721</v>
      </c>
      <c r="E33" s="178"/>
      <c r="H33" s="177"/>
      <c r="K33" s="177"/>
      <c r="N33" s="177"/>
      <c r="Q33" s="177"/>
      <c r="T33" s="177"/>
      <c r="W33" s="177"/>
      <c r="Z33" s="177"/>
      <c r="AC33" s="177"/>
      <c r="AF33" s="277"/>
      <c r="AI33" s="177"/>
      <c r="AL33" s="177"/>
      <c r="AM33" s="178"/>
      <c r="AN33" s="178"/>
      <c r="AO33" s="176" t="str">
        <f t="shared" si="0"/>
        <v xml:space="preserve">Israeli Shekel </v>
      </c>
      <c r="AR33" s="177"/>
      <c r="AU33" s="177"/>
      <c r="AX33" s="177"/>
      <c r="BA33" s="177"/>
      <c r="BD33" s="177"/>
      <c r="BG33" s="177"/>
      <c r="BJ33" s="177"/>
      <c r="BM33" s="177"/>
      <c r="BN33" s="178"/>
      <c r="BO33" s="178"/>
      <c r="BP33" s="177"/>
      <c r="BS33" s="752">
        <f t="shared" si="1"/>
        <v>0</v>
      </c>
    </row>
    <row r="34" spans="1:71" s="12" customFormat="1" ht="12.75">
      <c r="A34" s="179" t="s">
        <v>722</v>
      </c>
      <c r="E34" s="178"/>
      <c r="H34" s="177"/>
      <c r="K34" s="177"/>
      <c r="N34" s="177"/>
      <c r="Q34" s="177"/>
      <c r="T34" s="177"/>
      <c r="W34" s="177"/>
      <c r="Z34" s="177"/>
      <c r="AC34" s="177"/>
      <c r="AF34" s="277"/>
      <c r="AI34" s="177"/>
      <c r="AL34" s="177"/>
      <c r="AM34" s="178"/>
      <c r="AN34" s="178"/>
      <c r="AO34" s="176" t="str">
        <f t="shared" si="0"/>
        <v xml:space="preserve">Japanese Yen </v>
      </c>
      <c r="AR34" s="177"/>
      <c r="AU34" s="177"/>
      <c r="AX34" s="177"/>
      <c r="BA34" s="177"/>
      <c r="BD34" s="177"/>
      <c r="BG34" s="177"/>
      <c r="BJ34" s="177"/>
      <c r="BM34" s="177"/>
      <c r="BN34" s="178"/>
      <c r="BO34" s="178"/>
      <c r="BP34" s="177"/>
      <c r="BS34" s="752">
        <f t="shared" si="1"/>
        <v>0</v>
      </c>
    </row>
    <row r="35" spans="1:71" s="12" customFormat="1" ht="12.75">
      <c r="A35" s="179" t="s">
        <v>723</v>
      </c>
      <c r="E35" s="178"/>
      <c r="H35" s="177"/>
      <c r="K35" s="177"/>
      <c r="N35" s="177"/>
      <c r="Q35" s="177"/>
      <c r="T35" s="177"/>
      <c r="W35" s="177"/>
      <c r="Z35" s="177"/>
      <c r="AC35" s="177"/>
      <c r="AF35" s="277"/>
      <c r="AI35" s="177"/>
      <c r="AL35" s="177"/>
      <c r="AM35" s="178"/>
      <c r="AN35" s="178"/>
      <c r="AO35" s="176" t="str">
        <f t="shared" si="0"/>
        <v xml:space="preserve">Malaysian Ringgit </v>
      </c>
      <c r="AR35" s="177"/>
      <c r="AU35" s="177"/>
      <c r="AX35" s="177"/>
      <c r="BA35" s="177"/>
      <c r="BD35" s="177"/>
      <c r="BG35" s="177"/>
      <c r="BJ35" s="177"/>
      <c r="BM35" s="177"/>
      <c r="BN35" s="178"/>
      <c r="BO35" s="178"/>
      <c r="BP35" s="177"/>
      <c r="BS35" s="752">
        <f t="shared" si="1"/>
        <v>0</v>
      </c>
    </row>
    <row r="36" spans="1:71" s="12" customFormat="1" ht="12.75">
      <c r="A36" s="179" t="s">
        <v>2772</v>
      </c>
      <c r="E36" s="178"/>
      <c r="H36" s="177"/>
      <c r="K36" s="177"/>
      <c r="N36" s="177"/>
      <c r="Q36" s="177"/>
      <c r="T36" s="177"/>
      <c r="W36" s="177"/>
      <c r="Z36" s="177"/>
      <c r="AC36" s="177"/>
      <c r="AF36" s="277"/>
      <c r="AI36" s="177"/>
      <c r="AL36" s="177"/>
      <c r="AM36" s="178"/>
      <c r="AN36" s="178"/>
      <c r="AO36" s="176" t="str">
        <f t="shared" si="0"/>
        <v xml:space="preserve">Mexican Peso </v>
      </c>
      <c r="AR36" s="177"/>
      <c r="AU36" s="177"/>
      <c r="AX36" s="177"/>
      <c r="BA36" s="177"/>
      <c r="BD36" s="177"/>
      <c r="BG36" s="177"/>
      <c r="BJ36" s="177"/>
      <c r="BM36" s="177"/>
      <c r="BN36" s="178"/>
      <c r="BO36" s="178"/>
      <c r="BP36" s="177"/>
      <c r="BS36" s="752">
        <f t="shared" si="1"/>
        <v>0</v>
      </c>
    </row>
    <row r="37" spans="1:71" s="12" customFormat="1" ht="12.75">
      <c r="A37" s="179" t="s">
        <v>724</v>
      </c>
      <c r="E37" s="178"/>
      <c r="H37" s="177"/>
      <c r="K37" s="177"/>
      <c r="N37" s="177"/>
      <c r="Q37" s="177"/>
      <c r="T37" s="177"/>
      <c r="W37" s="177"/>
      <c r="Z37" s="177"/>
      <c r="AC37" s="177"/>
      <c r="AF37" s="277"/>
      <c r="AI37" s="177"/>
      <c r="AL37" s="177"/>
      <c r="AM37" s="178"/>
      <c r="AN37" s="178"/>
      <c r="AO37" s="176" t="str">
        <f t="shared" si="0"/>
        <v xml:space="preserve">New Taiwan Dollar </v>
      </c>
      <c r="AR37" s="177"/>
      <c r="AU37" s="177"/>
      <c r="AX37" s="177"/>
      <c r="BA37" s="177"/>
      <c r="BD37" s="177"/>
      <c r="BG37" s="177"/>
      <c r="BJ37" s="177"/>
      <c r="BM37" s="177"/>
      <c r="BN37" s="178"/>
      <c r="BO37" s="178"/>
      <c r="BP37" s="177"/>
      <c r="BS37" s="752">
        <f t="shared" si="1"/>
        <v>0</v>
      </c>
    </row>
    <row r="38" spans="1:71" s="12" customFormat="1" ht="12.75">
      <c r="A38" s="179" t="s">
        <v>725</v>
      </c>
      <c r="E38" s="178"/>
      <c r="H38" s="177"/>
      <c r="K38" s="177"/>
      <c r="N38" s="177"/>
      <c r="Q38" s="177"/>
      <c r="T38" s="177"/>
      <c r="W38" s="177"/>
      <c r="Z38" s="177"/>
      <c r="AC38" s="177"/>
      <c r="AF38" s="277"/>
      <c r="AI38" s="177"/>
      <c r="AL38" s="177"/>
      <c r="AM38" s="178"/>
      <c r="AN38" s="178"/>
      <c r="AO38" s="176" t="str">
        <f t="shared" si="0"/>
        <v xml:space="preserve">New Zealand Dollar </v>
      </c>
      <c r="AR38" s="177"/>
      <c r="AU38" s="177"/>
      <c r="AX38" s="177"/>
      <c r="BA38" s="177"/>
      <c r="BD38" s="177"/>
      <c r="BG38" s="177"/>
      <c r="BJ38" s="177"/>
      <c r="BM38" s="177"/>
      <c r="BN38" s="178"/>
      <c r="BO38" s="178"/>
      <c r="BP38" s="177"/>
      <c r="BS38" s="752">
        <f t="shared" si="1"/>
        <v>0</v>
      </c>
    </row>
    <row r="39" spans="1:71" s="12" customFormat="1" ht="12.75">
      <c r="A39" s="179" t="s">
        <v>726</v>
      </c>
      <c r="E39" s="178"/>
      <c r="H39" s="177"/>
      <c r="K39" s="177"/>
      <c r="N39" s="177"/>
      <c r="Q39" s="177"/>
      <c r="T39" s="177"/>
      <c r="W39" s="177"/>
      <c r="Z39" s="177"/>
      <c r="AC39" s="177"/>
      <c r="AF39" s="277"/>
      <c r="AI39" s="177"/>
      <c r="AL39" s="177"/>
      <c r="AM39" s="178"/>
      <c r="AN39" s="178"/>
      <c r="AO39" s="176" t="str">
        <f t="shared" si="0"/>
        <v xml:space="preserve">Norwegian Krone </v>
      </c>
      <c r="AR39" s="177"/>
      <c r="AU39" s="177"/>
      <c r="AX39" s="177"/>
      <c r="BA39" s="177"/>
      <c r="BD39" s="177"/>
      <c r="BG39" s="177"/>
      <c r="BJ39" s="177"/>
      <c r="BM39" s="177"/>
      <c r="BN39" s="178"/>
      <c r="BO39" s="178"/>
      <c r="BP39" s="177"/>
      <c r="BS39" s="752">
        <f t="shared" si="1"/>
        <v>0</v>
      </c>
    </row>
    <row r="40" spans="1:71" s="12" customFormat="1" ht="12.75">
      <c r="A40" s="179" t="s">
        <v>3768</v>
      </c>
      <c r="E40" s="178"/>
      <c r="H40" s="177"/>
      <c r="K40" s="177"/>
      <c r="N40" s="177"/>
      <c r="Q40" s="177"/>
      <c r="T40" s="177"/>
      <c r="W40" s="177"/>
      <c r="Z40" s="177"/>
      <c r="AC40" s="177"/>
      <c r="AF40" s="277"/>
      <c r="AI40" s="177"/>
      <c r="AL40" s="177"/>
      <c r="AM40" s="178"/>
      <c r="AN40" s="178"/>
      <c r="AO40" s="176" t="str">
        <f t="shared" si="0"/>
        <v xml:space="preserve">Pakistani Rupee </v>
      </c>
      <c r="AR40" s="177"/>
      <c r="AU40" s="177"/>
      <c r="AX40" s="177"/>
      <c r="BA40" s="177"/>
      <c r="BD40" s="177"/>
      <c r="BG40" s="177"/>
      <c r="BJ40" s="177"/>
      <c r="BM40" s="177"/>
      <c r="BN40" s="178"/>
      <c r="BO40" s="178"/>
      <c r="BP40" s="177"/>
      <c r="BS40" s="752">
        <f t="shared" si="1"/>
        <v>0</v>
      </c>
    </row>
    <row r="41" spans="1:71" s="12" customFormat="1" ht="12.75">
      <c r="A41" s="179" t="s">
        <v>3418</v>
      </c>
      <c r="E41" s="178"/>
      <c r="H41" s="177"/>
      <c r="K41" s="177"/>
      <c r="N41" s="177"/>
      <c r="Q41" s="177"/>
      <c r="T41" s="177"/>
      <c r="W41" s="177"/>
      <c r="Z41" s="177"/>
      <c r="AC41" s="177"/>
      <c r="AF41" s="277"/>
      <c r="AI41" s="177"/>
      <c r="AL41" s="177"/>
      <c r="AM41" s="178"/>
      <c r="AN41" s="178"/>
      <c r="AO41" s="176" t="str">
        <f t="shared" si="0"/>
        <v xml:space="preserve">Peruvian Sol </v>
      </c>
      <c r="AR41" s="177"/>
      <c r="AU41" s="177"/>
      <c r="AX41" s="177"/>
      <c r="BA41" s="177"/>
      <c r="BD41" s="177"/>
      <c r="BG41" s="177"/>
      <c r="BJ41" s="177"/>
      <c r="BM41" s="177"/>
      <c r="BN41" s="178"/>
      <c r="BO41" s="178"/>
      <c r="BP41" s="177"/>
      <c r="BS41" s="752">
        <f t="shared" si="1"/>
        <v>0</v>
      </c>
    </row>
    <row r="42" spans="1:71" s="12" customFormat="1" ht="12.75">
      <c r="A42" s="179" t="s">
        <v>727</v>
      </c>
      <c r="D42" s="171"/>
      <c r="E42" s="178"/>
      <c r="H42" s="177"/>
      <c r="K42" s="177"/>
      <c r="N42" s="177"/>
      <c r="Q42" s="177"/>
      <c r="T42" s="177"/>
      <c r="W42" s="177"/>
      <c r="Z42" s="177"/>
      <c r="AC42" s="177"/>
      <c r="AF42" s="277"/>
      <c r="AI42" s="177"/>
      <c r="AL42" s="177"/>
      <c r="AM42" s="178"/>
      <c r="AN42" s="178"/>
      <c r="AO42" s="176" t="str">
        <f t="shared" si="0"/>
        <v xml:space="preserve">Philippines Peso </v>
      </c>
      <c r="AR42" s="177"/>
      <c r="AU42" s="177"/>
      <c r="AX42" s="177"/>
      <c r="BA42" s="177"/>
      <c r="BD42" s="177"/>
      <c r="BG42" s="177"/>
      <c r="BJ42" s="177"/>
      <c r="BM42" s="177"/>
      <c r="BN42" s="178"/>
      <c r="BO42" s="178"/>
      <c r="BP42" s="177"/>
      <c r="BS42" s="752">
        <f t="shared" si="1"/>
        <v>0</v>
      </c>
    </row>
    <row r="43" spans="1:71" s="12" customFormat="1" ht="12.75">
      <c r="A43" s="179" t="s">
        <v>728</v>
      </c>
      <c r="E43" s="178"/>
      <c r="H43" s="177"/>
      <c r="K43" s="177"/>
      <c r="N43" s="177"/>
      <c r="Q43" s="177"/>
      <c r="T43" s="177"/>
      <c r="W43" s="177"/>
      <c r="Z43" s="177"/>
      <c r="AC43" s="177"/>
      <c r="AF43" s="277"/>
      <c r="AI43" s="177"/>
      <c r="AL43" s="177"/>
      <c r="AM43" s="178"/>
      <c r="AN43" s="178"/>
      <c r="AO43" s="176" t="str">
        <f t="shared" si="0"/>
        <v xml:space="preserve">Polish Zloty </v>
      </c>
      <c r="AR43" s="177"/>
      <c r="AU43" s="177"/>
      <c r="AX43" s="177"/>
      <c r="BA43" s="177"/>
      <c r="BD43" s="177"/>
      <c r="BG43" s="177"/>
      <c r="BJ43" s="177"/>
      <c r="BM43" s="177"/>
      <c r="BN43" s="178"/>
      <c r="BO43" s="178"/>
      <c r="BP43" s="177"/>
      <c r="BS43" s="752">
        <f t="shared" si="1"/>
        <v>0</v>
      </c>
    </row>
    <row r="44" spans="1:71" s="12" customFormat="1" ht="12.75">
      <c r="A44" s="179" t="s">
        <v>3417</v>
      </c>
      <c r="E44" s="178"/>
      <c r="H44" s="177"/>
      <c r="K44" s="177"/>
      <c r="N44" s="177"/>
      <c r="Q44" s="177"/>
      <c r="T44" s="177"/>
      <c r="W44" s="177"/>
      <c r="Z44" s="177"/>
      <c r="AC44" s="177"/>
      <c r="AF44" s="277"/>
      <c r="AI44" s="177"/>
      <c r="AL44" s="177"/>
      <c r="AM44" s="178"/>
      <c r="AN44" s="178"/>
      <c r="AO44" s="176" t="str">
        <f t="shared" si="0"/>
        <v>Russian Ruble</v>
      </c>
      <c r="AR44" s="177"/>
      <c r="AU44" s="177"/>
      <c r="AX44" s="177"/>
      <c r="BA44" s="177"/>
      <c r="BD44" s="177"/>
      <c r="BG44" s="177"/>
      <c r="BJ44" s="177"/>
      <c r="BM44" s="177"/>
      <c r="BN44" s="178"/>
      <c r="BO44" s="178"/>
      <c r="BP44" s="177"/>
      <c r="BS44" s="752">
        <f t="shared" ref="BS44" si="6">SUM(H44:BP44)</f>
        <v>0</v>
      </c>
    </row>
    <row r="45" spans="1:71" s="12" customFormat="1" ht="12.75">
      <c r="A45" s="179" t="s">
        <v>729</v>
      </c>
      <c r="E45" s="178"/>
      <c r="H45" s="177"/>
      <c r="K45" s="177"/>
      <c r="N45" s="177"/>
      <c r="Q45" s="177"/>
      <c r="T45" s="177"/>
      <c r="W45" s="177"/>
      <c r="Z45" s="177"/>
      <c r="AC45" s="177"/>
      <c r="AF45" s="277"/>
      <c r="AI45" s="177"/>
      <c r="AL45" s="177"/>
      <c r="AM45" s="178"/>
      <c r="AN45" s="178"/>
      <c r="AO45" s="176" t="str">
        <f t="shared" si="0"/>
        <v xml:space="preserve">Singapore Dollar </v>
      </c>
      <c r="AR45" s="177"/>
      <c r="AU45" s="177"/>
      <c r="AX45" s="177"/>
      <c r="BA45" s="177"/>
      <c r="BD45" s="177"/>
      <c r="BG45" s="177"/>
      <c r="BJ45" s="177"/>
      <c r="BM45" s="177"/>
      <c r="BN45" s="178"/>
      <c r="BO45" s="178"/>
      <c r="BP45" s="177"/>
      <c r="BS45" s="752">
        <f t="shared" si="1"/>
        <v>0</v>
      </c>
    </row>
    <row r="46" spans="1:71" s="12" customFormat="1" ht="12.75">
      <c r="A46" s="179" t="s">
        <v>2773</v>
      </c>
      <c r="E46" s="178"/>
      <c r="H46" s="177"/>
      <c r="K46" s="177"/>
      <c r="N46" s="177"/>
      <c r="Q46" s="177"/>
      <c r="T46" s="177"/>
      <c r="W46" s="177"/>
      <c r="Z46" s="177"/>
      <c r="AC46" s="177"/>
      <c r="AF46" s="277"/>
      <c r="AI46" s="177"/>
      <c r="AL46" s="177"/>
      <c r="AM46" s="178"/>
      <c r="AN46" s="178"/>
      <c r="AO46" s="176" t="str">
        <f t="shared" si="0"/>
        <v xml:space="preserve">South African Rand </v>
      </c>
      <c r="AR46" s="177"/>
      <c r="AU46" s="177"/>
      <c r="AX46" s="177"/>
      <c r="BA46" s="177"/>
      <c r="BD46" s="177"/>
      <c r="BG46" s="177"/>
      <c r="BJ46" s="177"/>
      <c r="BM46" s="177"/>
      <c r="BN46" s="178"/>
      <c r="BO46" s="178"/>
      <c r="BP46" s="177"/>
      <c r="BS46" s="752">
        <f t="shared" si="1"/>
        <v>0</v>
      </c>
    </row>
    <row r="47" spans="1:71" s="12" customFormat="1" ht="12.75">
      <c r="A47" s="179" t="s">
        <v>730</v>
      </c>
      <c r="E47" s="178"/>
      <c r="H47" s="177"/>
      <c r="K47" s="177"/>
      <c r="N47" s="177"/>
      <c r="Q47" s="177"/>
      <c r="T47" s="177"/>
      <c r="W47" s="177"/>
      <c r="Z47" s="177"/>
      <c r="AC47" s="177"/>
      <c r="AF47" s="277"/>
      <c r="AI47" s="177"/>
      <c r="AL47" s="177"/>
      <c r="AM47" s="178"/>
      <c r="AN47" s="178"/>
      <c r="AO47" s="176" t="str">
        <f t="shared" si="0"/>
        <v xml:space="preserve">South Korean Won </v>
      </c>
      <c r="AR47" s="177"/>
      <c r="AU47" s="177"/>
      <c r="AX47" s="177"/>
      <c r="BA47" s="177"/>
      <c r="BD47" s="177"/>
      <c r="BG47" s="177"/>
      <c r="BJ47" s="177"/>
      <c r="BM47" s="177"/>
      <c r="BN47" s="178"/>
      <c r="BO47" s="178"/>
      <c r="BP47" s="177"/>
      <c r="BS47" s="752">
        <f t="shared" si="1"/>
        <v>0</v>
      </c>
    </row>
    <row r="48" spans="1:71" s="12" customFormat="1" ht="12.75">
      <c r="A48" s="179" t="s">
        <v>731</v>
      </c>
      <c r="E48" s="178"/>
      <c r="H48" s="177"/>
      <c r="K48" s="177"/>
      <c r="N48" s="177"/>
      <c r="Q48" s="177"/>
      <c r="T48" s="177"/>
      <c r="W48" s="177"/>
      <c r="Z48" s="177"/>
      <c r="AC48" s="177"/>
      <c r="AF48" s="277"/>
      <c r="AI48" s="177"/>
      <c r="AL48" s="177"/>
      <c r="AM48" s="178"/>
      <c r="AN48" s="178"/>
      <c r="AO48" s="176" t="str">
        <f t="shared" si="0"/>
        <v xml:space="preserve">Sri Lanka Rupee </v>
      </c>
      <c r="AR48" s="177"/>
      <c r="AU48" s="177"/>
      <c r="AX48" s="177"/>
      <c r="BA48" s="177"/>
      <c r="BD48" s="177"/>
      <c r="BG48" s="177"/>
      <c r="BJ48" s="177"/>
      <c r="BM48" s="177"/>
      <c r="BN48" s="178"/>
      <c r="BO48" s="178"/>
      <c r="BP48" s="177"/>
      <c r="BS48" s="752">
        <f t="shared" si="1"/>
        <v>0</v>
      </c>
    </row>
    <row r="49" spans="1:71" s="12" customFormat="1" ht="12.75">
      <c r="A49" s="179" t="s">
        <v>732</v>
      </c>
      <c r="E49" s="178"/>
      <c r="H49" s="177"/>
      <c r="K49" s="177"/>
      <c r="N49" s="177"/>
      <c r="Q49" s="177"/>
      <c r="T49" s="177"/>
      <c r="W49" s="177"/>
      <c r="Z49" s="177"/>
      <c r="AC49" s="177"/>
      <c r="AF49" s="277"/>
      <c r="AI49" s="177"/>
      <c r="AL49" s="177"/>
      <c r="AM49" s="178"/>
      <c r="AN49" s="178"/>
      <c r="AO49" s="176" t="str">
        <f t="shared" si="0"/>
        <v xml:space="preserve">Swedish Krona </v>
      </c>
      <c r="AR49" s="177"/>
      <c r="AU49" s="177"/>
      <c r="AX49" s="177"/>
      <c r="BA49" s="177"/>
      <c r="BD49" s="177"/>
      <c r="BG49" s="177"/>
      <c r="BJ49" s="177"/>
      <c r="BM49" s="177"/>
      <c r="BN49" s="178"/>
      <c r="BO49" s="178"/>
      <c r="BP49" s="177"/>
      <c r="BS49" s="752">
        <f t="shared" si="1"/>
        <v>0</v>
      </c>
    </row>
    <row r="50" spans="1:71" s="12" customFormat="1" ht="12.75">
      <c r="A50" s="179" t="s">
        <v>733</v>
      </c>
      <c r="E50" s="178"/>
      <c r="H50" s="177"/>
      <c r="K50" s="177"/>
      <c r="N50" s="177"/>
      <c r="Q50" s="177"/>
      <c r="T50" s="177"/>
      <c r="W50" s="177"/>
      <c r="Z50" s="177"/>
      <c r="AC50" s="177"/>
      <c r="AF50" s="277"/>
      <c r="AI50" s="177"/>
      <c r="AL50" s="177"/>
      <c r="AM50" s="178"/>
      <c r="AN50" s="178"/>
      <c r="AO50" s="176" t="str">
        <f t="shared" si="0"/>
        <v xml:space="preserve">Swiss Franc </v>
      </c>
      <c r="AR50" s="177"/>
      <c r="AU50" s="177"/>
      <c r="AX50" s="177"/>
      <c r="BA50" s="177"/>
      <c r="BD50" s="177"/>
      <c r="BG50" s="177"/>
      <c r="BJ50" s="177"/>
      <c r="BM50" s="177"/>
      <c r="BN50" s="178"/>
      <c r="BO50" s="178"/>
      <c r="BP50" s="177"/>
      <c r="BS50" s="752">
        <f t="shared" si="1"/>
        <v>0</v>
      </c>
    </row>
    <row r="51" spans="1:71" s="12" customFormat="1" ht="12.75">
      <c r="A51" s="179" t="s">
        <v>734</v>
      </c>
      <c r="E51" s="178"/>
      <c r="H51" s="177"/>
      <c r="K51" s="177"/>
      <c r="N51" s="177"/>
      <c r="Q51" s="177"/>
      <c r="T51" s="177"/>
      <c r="W51" s="177"/>
      <c r="Z51" s="177"/>
      <c r="AC51" s="177"/>
      <c r="AF51" s="277"/>
      <c r="AI51" s="177"/>
      <c r="AL51" s="177"/>
      <c r="AM51" s="178"/>
      <c r="AN51" s="178"/>
      <c r="AO51" s="176" t="str">
        <f t="shared" si="0"/>
        <v xml:space="preserve">Thailand Baht </v>
      </c>
      <c r="AR51" s="177"/>
      <c r="AU51" s="177"/>
      <c r="AX51" s="177"/>
      <c r="BA51" s="177"/>
      <c r="BD51" s="177"/>
      <c r="BG51" s="177"/>
      <c r="BJ51" s="177"/>
      <c r="BM51" s="177"/>
      <c r="BN51" s="178"/>
      <c r="BO51" s="178"/>
      <c r="BP51" s="177"/>
      <c r="BS51" s="752">
        <f t="shared" si="1"/>
        <v>0</v>
      </c>
    </row>
    <row r="52" spans="1:71" s="12" customFormat="1" ht="12.75">
      <c r="A52" s="179" t="s">
        <v>735</v>
      </c>
      <c r="E52" s="178"/>
      <c r="H52" s="177"/>
      <c r="K52" s="177"/>
      <c r="N52" s="177"/>
      <c r="Q52" s="177"/>
      <c r="T52" s="177"/>
      <c r="W52" s="177"/>
      <c r="Z52" s="177"/>
      <c r="AC52" s="177"/>
      <c r="AF52" s="277"/>
      <c r="AI52" s="177"/>
      <c r="AL52" s="177"/>
      <c r="AM52" s="178"/>
      <c r="AN52" s="178"/>
      <c r="AO52" s="176" t="str">
        <f t="shared" si="0"/>
        <v xml:space="preserve">Turkish Lira </v>
      </c>
      <c r="AR52" s="177"/>
      <c r="AU52" s="177"/>
      <c r="AX52" s="177"/>
      <c r="BA52" s="177"/>
      <c r="BD52" s="177"/>
      <c r="BG52" s="177"/>
      <c r="BJ52" s="177"/>
      <c r="BM52" s="177"/>
      <c r="BN52" s="178"/>
      <c r="BO52" s="178"/>
      <c r="BP52" s="177"/>
      <c r="BS52" s="752">
        <f t="shared" si="1"/>
        <v>0</v>
      </c>
    </row>
    <row r="53" spans="1:71" s="12" customFormat="1" ht="12.75">
      <c r="A53" s="179" t="s">
        <v>3739</v>
      </c>
      <c r="E53" s="178"/>
      <c r="H53" s="177"/>
      <c r="K53" s="177"/>
      <c r="N53" s="177"/>
      <c r="Q53" s="177"/>
      <c r="T53" s="177"/>
      <c r="W53" s="177"/>
      <c r="Z53" s="177"/>
      <c r="AC53" s="177"/>
      <c r="AF53" s="277"/>
      <c r="AI53" s="177"/>
      <c r="AL53" s="177"/>
      <c r="AM53" s="178"/>
      <c r="AN53" s="178"/>
      <c r="AO53" s="176" t="str">
        <f t="shared" si="0"/>
        <v>United Arab Emirates Dollar</v>
      </c>
      <c r="AR53" s="177"/>
      <c r="AU53" s="177"/>
      <c r="AX53" s="177"/>
      <c r="BA53" s="177"/>
      <c r="BD53" s="177"/>
      <c r="BG53" s="177"/>
      <c r="BJ53" s="177"/>
      <c r="BM53" s="177"/>
      <c r="BN53" s="178"/>
      <c r="BO53" s="178"/>
      <c r="BP53" s="177"/>
      <c r="BS53" s="752">
        <f t="shared" si="1"/>
        <v>0</v>
      </c>
    </row>
    <row r="54" spans="1:71" s="12" customFormat="1" ht="12.75">
      <c r="A54" s="179" t="s">
        <v>3740</v>
      </c>
      <c r="E54" s="178"/>
      <c r="H54" s="177"/>
      <c r="K54" s="177"/>
      <c r="N54" s="177"/>
      <c r="Q54" s="177"/>
      <c r="T54" s="177"/>
      <c r="W54" s="177"/>
      <c r="Z54" s="177"/>
      <c r="AC54" s="177"/>
      <c r="AF54" s="277"/>
      <c r="AI54" s="177"/>
      <c r="AL54" s="177"/>
      <c r="AM54" s="178"/>
      <c r="AN54" s="178"/>
      <c r="AO54" s="176" t="str">
        <f t="shared" ref="AO54" si="7">A54</f>
        <v>Uruguayan Peso</v>
      </c>
      <c r="AR54" s="177"/>
      <c r="AU54" s="177"/>
      <c r="AX54" s="177"/>
      <c r="BA54" s="177"/>
      <c r="BD54" s="177"/>
      <c r="BG54" s="177"/>
      <c r="BJ54" s="177"/>
      <c r="BM54" s="177"/>
      <c r="BN54" s="178"/>
      <c r="BO54" s="178"/>
      <c r="BP54" s="177"/>
      <c r="BS54" s="752">
        <f t="shared" ref="BS54" si="8">SUM(H54:BP54)</f>
        <v>0</v>
      </c>
    </row>
    <row r="55" spans="1:71" s="12" customFormat="1" ht="12.75">
      <c r="A55" s="179" t="s">
        <v>3379</v>
      </c>
      <c r="E55" s="178"/>
      <c r="H55" s="177"/>
      <c r="K55" s="177"/>
      <c r="N55" s="177"/>
      <c r="Q55" s="177"/>
      <c r="T55" s="177"/>
      <c r="W55" s="177"/>
      <c r="Z55" s="177"/>
      <c r="AC55" s="177"/>
      <c r="AF55" s="277"/>
      <c r="AI55" s="177"/>
      <c r="AL55" s="177"/>
      <c r="AM55" s="178"/>
      <c r="AN55" s="178"/>
      <c r="AO55" s="176" t="str">
        <f t="shared" si="0"/>
        <v>U.S Dollar</v>
      </c>
      <c r="AR55" s="177"/>
      <c r="AU55" s="177"/>
      <c r="AX55" s="177"/>
      <c r="BA55" s="177"/>
      <c r="BD55" s="177"/>
      <c r="BG55" s="177"/>
      <c r="BJ55" s="177"/>
      <c r="BM55" s="177"/>
      <c r="BN55" s="178"/>
      <c r="BO55" s="178"/>
      <c r="BP55" s="177"/>
      <c r="BS55" s="752">
        <f t="shared" si="1"/>
        <v>0</v>
      </c>
    </row>
    <row r="56" spans="1:71" s="12" customFormat="1" ht="12.75">
      <c r="A56" s="179" t="s">
        <v>736</v>
      </c>
      <c r="E56" s="178"/>
      <c r="H56" s="751"/>
      <c r="K56" s="751"/>
      <c r="N56" s="751"/>
      <c r="Q56" s="751"/>
      <c r="T56" s="751"/>
      <c r="W56" s="751"/>
      <c r="Z56" s="751"/>
      <c r="AC56" s="751"/>
      <c r="AF56" s="751"/>
      <c r="AI56" s="751"/>
      <c r="AL56" s="751"/>
      <c r="AM56" s="178"/>
      <c r="AN56" s="178"/>
      <c r="AO56" s="176" t="str">
        <f t="shared" si="0"/>
        <v>Other (Please list)</v>
      </c>
      <c r="AR56" s="751"/>
      <c r="AU56" s="751"/>
      <c r="AX56" s="751"/>
      <c r="BA56" s="751"/>
      <c r="BD56" s="751"/>
      <c r="BG56" s="751"/>
      <c r="BJ56" s="751"/>
      <c r="BM56" s="751"/>
      <c r="BN56" s="178"/>
      <c r="BO56" s="178"/>
      <c r="BP56" s="751"/>
      <c r="BS56" s="342"/>
    </row>
    <row r="57" spans="1:71" s="12" customFormat="1" ht="12.75">
      <c r="A57" s="179"/>
      <c r="B57" s="6"/>
      <c r="E57" s="178"/>
      <c r="H57" s="177"/>
      <c r="K57" s="177"/>
      <c r="N57" s="177"/>
      <c r="Q57" s="177"/>
      <c r="T57" s="177"/>
      <c r="W57" s="177"/>
      <c r="Z57" s="177"/>
      <c r="AC57" s="177"/>
      <c r="AF57" s="277"/>
      <c r="AI57" s="177"/>
      <c r="AL57" s="177"/>
      <c r="AM57" s="178"/>
      <c r="AN57" s="178"/>
      <c r="AO57" s="6"/>
      <c r="AR57" s="177"/>
      <c r="AU57" s="177"/>
      <c r="AX57" s="177"/>
      <c r="BA57" s="177"/>
      <c r="BD57" s="177"/>
      <c r="BG57" s="177"/>
      <c r="BJ57" s="177"/>
      <c r="BM57" s="177"/>
      <c r="BN57" s="178"/>
      <c r="BO57" s="178"/>
      <c r="BP57" s="177"/>
      <c r="BS57" s="752">
        <f t="shared" si="1"/>
        <v>0</v>
      </c>
    </row>
    <row r="58" spans="1:71" s="12" customFormat="1" ht="12.75">
      <c r="A58" s="179"/>
      <c r="B58" s="6"/>
      <c r="E58" s="178"/>
      <c r="H58" s="177"/>
      <c r="K58" s="177"/>
      <c r="N58" s="177"/>
      <c r="Q58" s="177"/>
      <c r="T58" s="177"/>
      <c r="W58" s="177"/>
      <c r="Z58" s="177"/>
      <c r="AC58" s="177"/>
      <c r="AF58" s="277"/>
      <c r="AI58" s="177"/>
      <c r="AL58" s="177"/>
      <c r="AM58" s="178"/>
      <c r="AN58" s="178"/>
      <c r="AO58" s="6"/>
      <c r="AR58" s="177"/>
      <c r="AU58" s="177"/>
      <c r="AX58" s="177"/>
      <c r="BA58" s="177"/>
      <c r="BD58" s="177"/>
      <c r="BG58" s="177"/>
      <c r="BJ58" s="177"/>
      <c r="BM58" s="177"/>
      <c r="BN58" s="178"/>
      <c r="BO58" s="178"/>
      <c r="BP58" s="177"/>
      <c r="BS58" s="752">
        <f t="shared" si="1"/>
        <v>0</v>
      </c>
    </row>
    <row r="59" spans="1:71" s="12" customFormat="1" ht="12.75">
      <c r="A59" s="179"/>
      <c r="B59" s="6"/>
      <c r="E59" s="178"/>
      <c r="H59" s="177"/>
      <c r="K59" s="177"/>
      <c r="N59" s="177"/>
      <c r="Q59" s="177"/>
      <c r="T59" s="177"/>
      <c r="W59" s="177"/>
      <c r="Z59" s="177"/>
      <c r="AC59" s="177"/>
      <c r="AF59" s="277"/>
      <c r="AI59" s="177"/>
      <c r="AL59" s="177"/>
      <c r="AM59" s="178"/>
      <c r="AN59" s="178"/>
      <c r="AO59" s="6"/>
      <c r="AR59" s="177"/>
      <c r="AU59" s="177"/>
      <c r="AX59" s="177"/>
      <c r="BA59" s="177"/>
      <c r="BD59" s="177"/>
      <c r="BG59" s="177"/>
      <c r="BJ59" s="177"/>
      <c r="BM59" s="177"/>
      <c r="BN59" s="178"/>
      <c r="BO59" s="178"/>
      <c r="BP59" s="177"/>
      <c r="BS59" s="752">
        <f t="shared" si="1"/>
        <v>0</v>
      </c>
    </row>
    <row r="60" spans="1:71" s="12" customFormat="1" ht="12.75">
      <c r="A60" s="179"/>
      <c r="B60" s="6"/>
      <c r="E60" s="178"/>
      <c r="H60" s="177"/>
      <c r="K60" s="177"/>
      <c r="N60" s="177"/>
      <c r="Q60" s="177"/>
      <c r="T60" s="177"/>
      <c r="W60" s="177"/>
      <c r="Z60" s="177"/>
      <c r="AC60" s="177"/>
      <c r="AF60" s="277"/>
      <c r="AI60" s="177"/>
      <c r="AL60" s="177"/>
      <c r="AM60" s="178"/>
      <c r="AN60" s="178"/>
      <c r="AO60" s="6"/>
      <c r="AR60" s="177"/>
      <c r="AU60" s="177"/>
      <c r="AX60" s="177"/>
      <c r="BA60" s="177"/>
      <c r="BD60" s="177"/>
      <c r="BG60" s="177"/>
      <c r="BJ60" s="177"/>
      <c r="BM60" s="177"/>
      <c r="BN60" s="178"/>
      <c r="BO60" s="178"/>
      <c r="BP60" s="177"/>
      <c r="BS60" s="752">
        <f t="shared" si="1"/>
        <v>0</v>
      </c>
    </row>
    <row r="61" spans="1:71" s="12" customFormat="1" ht="12.75">
      <c r="A61" s="179"/>
      <c r="B61" s="6"/>
      <c r="E61" s="178"/>
      <c r="H61" s="177"/>
      <c r="K61" s="177"/>
      <c r="N61" s="177"/>
      <c r="Q61" s="177"/>
      <c r="T61" s="177"/>
      <c r="W61" s="177"/>
      <c r="Z61" s="177"/>
      <c r="AC61" s="177"/>
      <c r="AF61" s="277"/>
      <c r="AI61" s="177"/>
      <c r="AL61" s="177"/>
      <c r="AM61" s="178"/>
      <c r="AN61" s="178"/>
      <c r="AO61" s="6"/>
      <c r="AR61" s="177"/>
      <c r="AU61" s="177"/>
      <c r="AX61" s="177"/>
      <c r="BA61" s="177"/>
      <c r="BD61" s="177"/>
      <c r="BG61" s="177"/>
      <c r="BJ61" s="177"/>
      <c r="BM61" s="177"/>
      <c r="BN61" s="178"/>
      <c r="BO61" s="178"/>
      <c r="BP61" s="177"/>
      <c r="BS61" s="752">
        <f t="shared" si="1"/>
        <v>0</v>
      </c>
    </row>
    <row r="62" spans="1:71" s="12" customFormat="1" ht="12.75">
      <c r="A62" s="179"/>
      <c r="B62" s="6"/>
      <c r="E62" s="178"/>
      <c r="H62" s="177"/>
      <c r="K62" s="177"/>
      <c r="N62" s="177"/>
      <c r="Q62" s="177"/>
      <c r="T62" s="177"/>
      <c r="W62" s="177"/>
      <c r="Z62" s="177"/>
      <c r="AC62" s="177"/>
      <c r="AF62" s="277"/>
      <c r="AI62" s="177"/>
      <c r="AL62" s="177"/>
      <c r="AM62" s="178"/>
      <c r="AN62" s="178"/>
      <c r="AO62" s="6"/>
      <c r="AR62" s="177"/>
      <c r="AU62" s="177"/>
      <c r="AX62" s="177"/>
      <c r="BA62" s="177"/>
      <c r="BD62" s="177"/>
      <c r="BG62" s="177"/>
      <c r="BJ62" s="177"/>
      <c r="BM62" s="177"/>
      <c r="BN62" s="178"/>
      <c r="BO62" s="178"/>
      <c r="BP62" s="177"/>
      <c r="BS62" s="752">
        <f t="shared" si="1"/>
        <v>0</v>
      </c>
    </row>
    <row r="63" spans="1:71" s="12" customFormat="1" ht="13.5" thickBot="1">
      <c r="A63" s="171"/>
      <c r="E63" s="213"/>
      <c r="G63" s="180" t="s">
        <v>246</v>
      </c>
      <c r="H63" s="211">
        <f>SUM(H14:H62)</f>
        <v>0</v>
      </c>
      <c r="J63" s="180" t="s">
        <v>246</v>
      </c>
      <c r="K63" s="211">
        <f>SUM(K14:K62)</f>
        <v>0</v>
      </c>
      <c r="M63" s="180" t="s">
        <v>246</v>
      </c>
      <c r="N63" s="211">
        <f>SUM(N14:N62)</f>
        <v>0</v>
      </c>
      <c r="P63" s="180" t="s">
        <v>246</v>
      </c>
      <c r="Q63" s="211">
        <f>SUM(Q14:Q62)</f>
        <v>0</v>
      </c>
      <c r="S63" s="180" t="s">
        <v>246</v>
      </c>
      <c r="T63" s="211">
        <f>SUM(T14:T62)</f>
        <v>0</v>
      </c>
      <c r="V63" s="180" t="s">
        <v>246</v>
      </c>
      <c r="W63" s="211">
        <f>SUM(W14:W62)</f>
        <v>0</v>
      </c>
      <c r="Y63" s="180" t="s">
        <v>246</v>
      </c>
      <c r="Z63" s="211">
        <f>SUM(Z14:Z62)</f>
        <v>0</v>
      </c>
      <c r="AB63" s="180" t="s">
        <v>246</v>
      </c>
      <c r="AC63" s="211">
        <f>SUM(AC14:AC62)</f>
        <v>0</v>
      </c>
      <c r="AE63" s="180" t="s">
        <v>246</v>
      </c>
      <c r="AF63" s="211">
        <f>SUM(AF14:AF62)</f>
        <v>0</v>
      </c>
      <c r="AH63" s="180" t="s">
        <v>246</v>
      </c>
      <c r="AI63" s="211">
        <f>SUM(AI14:AI62)</f>
        <v>0</v>
      </c>
      <c r="AK63" s="180" t="s">
        <v>246</v>
      </c>
      <c r="AL63" s="211">
        <f>SUM(AL14:AL62)</f>
        <v>0</v>
      </c>
      <c r="AM63" s="213"/>
      <c r="AN63" s="213"/>
      <c r="AQ63" s="180" t="s">
        <v>246</v>
      </c>
      <c r="AR63" s="211">
        <f>SUM(AR14:AR62)</f>
        <v>0</v>
      </c>
      <c r="AT63" s="180" t="s">
        <v>246</v>
      </c>
      <c r="AU63" s="211">
        <f>SUM(AU14:AU62)</f>
        <v>0</v>
      </c>
      <c r="AW63" s="180" t="s">
        <v>246</v>
      </c>
      <c r="AX63" s="211">
        <f>SUM(AX14:AX62)</f>
        <v>0</v>
      </c>
      <c r="AZ63" s="180" t="s">
        <v>246</v>
      </c>
      <c r="BA63" s="211">
        <f>SUM(BA14:BA62)</f>
        <v>0</v>
      </c>
      <c r="BC63" s="180" t="s">
        <v>246</v>
      </c>
      <c r="BD63" s="211">
        <f>SUM(BD14:BD62)</f>
        <v>0</v>
      </c>
      <c r="BF63" s="180" t="s">
        <v>246</v>
      </c>
      <c r="BG63" s="211">
        <f>SUM(BG14:BG62)</f>
        <v>0</v>
      </c>
      <c r="BI63" s="180" t="s">
        <v>246</v>
      </c>
      <c r="BJ63" s="211">
        <f>SUM(BJ14:BJ62)</f>
        <v>0</v>
      </c>
      <c r="BL63" s="180" t="s">
        <v>246</v>
      </c>
      <c r="BM63" s="211">
        <f>SUM(BM14:BM62)</f>
        <v>0</v>
      </c>
      <c r="BN63" s="114"/>
      <c r="BO63" s="180" t="s">
        <v>246</v>
      </c>
      <c r="BP63" s="211">
        <f>SUM(BP14:BP62)</f>
        <v>0</v>
      </c>
      <c r="BR63" s="180" t="s">
        <v>246</v>
      </c>
      <c r="BS63" s="212">
        <f>SUM(BS14:BS62)</f>
        <v>0</v>
      </c>
    </row>
    <row r="64" spans="1:71" s="12" customFormat="1" ht="13.5" thickTop="1">
      <c r="A64" s="171"/>
      <c r="BS64" s="169" t="str">
        <f>IF(BS63='Tab 1A-GASB 3-40'!G118,"Agrees","Error")</f>
        <v>Agrees</v>
      </c>
    </row>
    <row r="65" spans="1:71" s="12" customFormat="1" ht="12.75">
      <c r="A65" s="171"/>
      <c r="BR65" s="529" t="s">
        <v>900</v>
      </c>
      <c r="BS65" s="528">
        <f>BS63-'Tab 1A-GASB 3-40'!G118</f>
        <v>0</v>
      </c>
    </row>
    <row r="66" spans="1:71" s="12" customFormat="1" ht="12.75">
      <c r="A66" s="171"/>
    </row>
    <row r="67" spans="1:71" s="12" customFormat="1" ht="12.75">
      <c r="A67" s="171"/>
    </row>
    <row r="68" spans="1:71" s="12" customFormat="1" ht="12.75">
      <c r="A68" s="171"/>
    </row>
    <row r="69" spans="1:71" s="12" customFormat="1" ht="12.75">
      <c r="A69" s="171"/>
    </row>
    <row r="70" spans="1:71" s="12" customFormat="1" ht="12.75">
      <c r="A70" s="171"/>
    </row>
    <row r="71" spans="1:71" s="12" customFormat="1" ht="12.75">
      <c r="A71" s="171"/>
    </row>
    <row r="72" spans="1:71" s="12" customFormat="1" ht="12.75"/>
  </sheetData>
  <sheetProtection algorithmName="SHA-512" hashValue="abGXU38qEqYZj+CxFYtlFGcAfQZ4GFT2Ivq12x78iRP0QnqRixTE/OA3Q3y3fsyriOk5KtH5PADTOkGnRfXOVg==" saltValue="Ox2Ih9MNV2zX1cu20rMMfA==" spinCount="100000" sheet="1" objects="1" scenarios="1"/>
  <mergeCells count="17">
    <mergeCell ref="D5:H5"/>
    <mergeCell ref="D6:H6"/>
    <mergeCell ref="A10:H10"/>
    <mergeCell ref="A11:H11"/>
    <mergeCell ref="D1:H1"/>
    <mergeCell ref="D2:H2"/>
    <mergeCell ref="C8:G8"/>
    <mergeCell ref="A7:C7"/>
    <mergeCell ref="A4:C4"/>
    <mergeCell ref="A5:C5"/>
    <mergeCell ref="A6:C6"/>
    <mergeCell ref="D7:H7"/>
    <mergeCell ref="A1:C1"/>
    <mergeCell ref="A2:C2"/>
    <mergeCell ref="A3:C3"/>
    <mergeCell ref="D3:H3"/>
    <mergeCell ref="D4:H4"/>
  </mergeCells>
  <phoneticPr fontId="46" type="noConversion"/>
  <conditionalFormatting sqref="A11:H11">
    <cfRule type="containsText" dxfId="167" priority="1" operator="containsText" text="Answer Required">
      <formula>NOT(ISERROR(SEARCH("Answer Required",A11)))</formula>
    </cfRule>
  </conditionalFormatting>
  <dataValidations xWindow="659" yWindow="294" count="2">
    <dataValidation type="whole" allowBlank="1" showInputMessage="1" showErrorMessage="1" error="Please enter a whole number only." sqref="AL56 BJ56 BG56 BD56 H56 AU56 AR56 AI56 AC56 Z56 W56 T56 Q56 N56 K56 BM56 BP56 BA56 AX56 BN14:BN17 BO15:BO17 AM14:AN62 E14:E62 BN17:BO62 AF14:AF62" xr:uid="{00000000-0002-0000-0600-000000000000}">
      <formula1>-9999999999999990000</formula1>
      <formula2>9999999999999990000</formula2>
    </dataValidation>
    <dataValidation type="whole" allowBlank="1" showInputMessage="1" showErrorMessage="1" error="Enter a whole number." sqref="AX57:AX62 BP57:BP62 BM57:BM62 BJ57:BJ62 BG57:BG62 BD57:BD62 H57:H62 AU57:AU62 AR57:AR62 AL57:AL62 AI57:AI62 AC57:AC62 Z57:Z62 W57:W62 T57:T62 Q57:Q62 N57:N62 K57:K62 BA57:BA62 BA14:BA55 H14:H55 K14:K55 N14:N55 Q14:Q55 T14:T55 W14:W55 Z14:Z55 AC14:AC55 AI14:AI55 AL14:AL55 AR14:AR55 AU14:AU55 BD14:BD55 BG14:BG55 BJ14:BJ55 BM14:BM55 BP14:BP55 AX14:AX55" xr:uid="{00000000-0002-0000-0600-000001000000}">
      <formula1>-9999999999999</formula1>
      <formula2>9999999999999</formula2>
    </dataValidation>
  </dataValidations>
  <pageMargins left="0.5" right="0.36" top="0.86" bottom="0.72" header="0.44" footer="0.5"/>
  <pageSetup paperSize="5" scale="50" fitToWidth="2" orientation="landscape" cellComments="asDisplayed" r:id="rId1"/>
  <headerFooter alignWithMargins="0">
    <oddHeader>&amp;C&amp;"Times New Roman,Bold"Attachment 10
Enterprise Fund Financial Statement Template
&amp;A</oddHeader>
    <oddFooter>&amp;L&amp;"Times New Roman,Regular"&amp;F\&amp;A&amp;R&amp;"Times New Roman,Regular"Page &amp;P</oddFooter>
  </headerFooter>
  <colBreaks count="1" manualBreakCount="1">
    <brk id="39"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E94"/>
  <sheetViews>
    <sheetView showGridLines="0" showZeros="0" topLeftCell="A21" zoomScale="90" zoomScaleNormal="90" zoomScaleSheetLayoutView="100" workbookViewId="0">
      <selection activeCell="G40" sqref="G40"/>
    </sheetView>
  </sheetViews>
  <sheetFormatPr defaultColWidth="9.140625" defaultRowHeight="12.75"/>
  <cols>
    <col min="1" max="1" width="20.28515625" style="12" customWidth="1"/>
    <col min="2" max="2" width="30.7109375" style="12" customWidth="1"/>
    <col min="3" max="3" width="49.140625" style="12" customWidth="1"/>
    <col min="4" max="4" width="20.85546875" style="12" customWidth="1"/>
    <col min="5" max="5" width="15.7109375" style="12" customWidth="1"/>
    <col min="6" max="6" width="9.140625" style="12"/>
    <col min="7" max="7" width="28.140625" style="12" customWidth="1"/>
    <col min="8" max="8" width="7.85546875" style="12" customWidth="1"/>
    <col min="9" max="16384" width="9.140625" style="12"/>
  </cols>
  <sheetData>
    <row r="1" spans="1:5" ht="13.5" customHeight="1">
      <c r="A1" s="1131" t="s">
        <v>272</v>
      </c>
      <c r="B1" s="1131"/>
      <c r="C1" s="1141" t="str">
        <f>'Enterprise Template'!E1</f>
        <v/>
      </c>
      <c r="D1" s="1142"/>
      <c r="E1" s="1143"/>
    </row>
    <row r="2" spans="1:5" ht="13.5" customHeight="1">
      <c r="A2" s="1131" t="s">
        <v>190</v>
      </c>
      <c r="B2" s="1131"/>
      <c r="C2" s="1141" t="str">
        <f>IF('Enterprise Template'!E2="","",'Enterprise Template'!E2)</f>
        <v/>
      </c>
      <c r="D2" s="1142"/>
      <c r="E2" s="1143"/>
    </row>
    <row r="3" spans="1:5" ht="13.5" customHeight="1">
      <c r="A3" s="1131" t="s">
        <v>447</v>
      </c>
      <c r="B3" s="1131"/>
      <c r="C3" s="1144" t="str">
        <f>IF('Enterprise Template'!E3="","",'Enterprise Template'!E3)</f>
        <v/>
      </c>
      <c r="D3" s="1145"/>
      <c r="E3" s="1146"/>
    </row>
    <row r="4" spans="1:5" ht="13.5" customHeight="1">
      <c r="A4" s="1131" t="s">
        <v>448</v>
      </c>
      <c r="B4" s="1131"/>
      <c r="C4" s="1147" t="str">
        <f>IF('Enterprise Template'!E4="","",'Enterprise Template'!E4)</f>
        <v/>
      </c>
      <c r="D4" s="1148"/>
      <c r="E4" s="1149"/>
    </row>
    <row r="5" spans="1:5" ht="13.5" customHeight="1">
      <c r="A5" s="1131" t="s">
        <v>2847</v>
      </c>
      <c r="B5" s="1131"/>
      <c r="C5" s="1135" t="str">
        <f>IF('Enterprise Template'!E5="","",'Enterprise Template'!E5)</f>
        <v/>
      </c>
      <c r="D5" s="1136"/>
      <c r="E5" s="1137"/>
    </row>
    <row r="6" spans="1:5" ht="13.5" customHeight="1">
      <c r="A6" s="1131" t="s">
        <v>449</v>
      </c>
      <c r="B6" s="1131"/>
      <c r="C6" s="1138" t="str">
        <f>IF('Enterprise Template'!E6="","",'Enterprise Template'!E6)</f>
        <v/>
      </c>
      <c r="D6" s="1139"/>
      <c r="E6" s="1140"/>
    </row>
    <row r="7" spans="1:5" ht="13.5" customHeight="1">
      <c r="A7" s="1131" t="s">
        <v>224</v>
      </c>
      <c r="B7" s="1131"/>
      <c r="C7" s="1141" t="str">
        <f>'Enterprise Template'!E7</f>
        <v/>
      </c>
      <c r="D7" s="1142"/>
      <c r="E7" s="1143"/>
    </row>
    <row r="8" spans="1:5">
      <c r="A8" s="13"/>
      <c r="B8" s="355"/>
      <c r="C8" s="355"/>
      <c r="D8" s="166"/>
      <c r="E8" s="166"/>
    </row>
    <row r="9" spans="1:5">
      <c r="A9" s="329"/>
      <c r="B9" s="753"/>
      <c r="C9" s="753"/>
      <c r="D9" s="167"/>
      <c r="E9" s="167"/>
    </row>
    <row r="10" spans="1:5">
      <c r="A10" s="270" t="s">
        <v>2881</v>
      </c>
      <c r="C10" s="270"/>
      <c r="D10" s="270"/>
      <c r="E10" s="270"/>
    </row>
    <row r="11" spans="1:5">
      <c r="A11" s="754" t="s">
        <v>2882</v>
      </c>
      <c r="C11" s="270"/>
      <c r="D11" s="270"/>
      <c r="E11" s="270"/>
    </row>
    <row r="12" spans="1:5">
      <c r="A12" s="754" t="s">
        <v>2883</v>
      </c>
      <c r="B12" s="270"/>
      <c r="C12" s="270"/>
      <c r="D12" s="270"/>
      <c r="E12" s="270"/>
    </row>
    <row r="13" spans="1:5">
      <c r="A13" s="270" t="s">
        <v>2884</v>
      </c>
      <c r="B13" s="270"/>
      <c r="C13" s="270"/>
      <c r="D13" s="270"/>
      <c r="E13" s="270"/>
    </row>
    <row r="14" spans="1:5">
      <c r="A14" s="270"/>
      <c r="B14" s="270"/>
      <c r="C14" s="270"/>
      <c r="D14" s="270"/>
      <c r="E14" s="270"/>
    </row>
    <row r="15" spans="1:5" ht="18" customHeight="1" thickBot="1">
      <c r="A15" s="780" t="s">
        <v>491</v>
      </c>
      <c r="B15" s="755" t="s">
        <v>111</v>
      </c>
      <c r="C15" s="756" t="s">
        <v>492</v>
      </c>
      <c r="D15" s="757" t="s">
        <v>930</v>
      </c>
      <c r="E15" s="270"/>
    </row>
    <row r="16" spans="1:5" ht="42" customHeight="1">
      <c r="A16" s="758" t="s">
        <v>493</v>
      </c>
      <c r="B16" s="759" t="s">
        <v>112</v>
      </c>
      <c r="C16" s="760" t="s">
        <v>507</v>
      </c>
      <c r="D16" s="761" t="str">
        <f>IF(('Enterprise Template'!G45+'Enterprise Template'!G77+SUM('Enterprise Template'!$G$35:$G$38))&gt;0,"Answer Required","N/A")</f>
        <v>N/A</v>
      </c>
      <c r="E16" s="270"/>
    </row>
    <row r="17" spans="1:5" ht="42" customHeight="1">
      <c r="A17" s="758" t="s">
        <v>508</v>
      </c>
      <c r="B17" s="762" t="s">
        <v>931</v>
      </c>
      <c r="C17" s="763" t="s">
        <v>509</v>
      </c>
      <c r="D17" s="761" t="str">
        <f>IF(('Enterprise Template'!G45+'Enterprise Template'!G77+SUM('Enterprise Template'!$G$35:$G$38))&gt;0,"Answer Required","N/A")</f>
        <v>N/A</v>
      </c>
      <c r="E17" s="270" t="s">
        <v>995</v>
      </c>
    </row>
    <row r="18" spans="1:5" ht="54.95" customHeight="1">
      <c r="A18" s="758" t="s">
        <v>510</v>
      </c>
      <c r="B18" s="762" t="s">
        <v>511</v>
      </c>
      <c r="C18" s="763" t="s">
        <v>509</v>
      </c>
      <c r="D18" s="761" t="str">
        <f>IF(('Enterprise Template'!G45+'Enterprise Template'!G77+SUM('Enterprise Template'!$G$35:$G$38))&gt;0,"Answer Required","N/A")</f>
        <v>N/A</v>
      </c>
      <c r="E18" s="270" t="s">
        <v>995</v>
      </c>
    </row>
    <row r="19" spans="1:5" ht="54.95" customHeight="1">
      <c r="A19" s="758" t="s">
        <v>512</v>
      </c>
      <c r="B19" s="762" t="s">
        <v>2714</v>
      </c>
      <c r="C19" s="763" t="s">
        <v>113</v>
      </c>
      <c r="D19" s="761" t="str">
        <f>IF(('Enterprise Template'!G45+'Enterprise Template'!G77+SUM('Enterprise Template'!$G$35:$G$38))&gt;0,"Answer Required","N/A")</f>
        <v>N/A</v>
      </c>
      <c r="E19" s="270" t="s">
        <v>996</v>
      </c>
    </row>
    <row r="20" spans="1:5" ht="54.95" customHeight="1">
      <c r="A20" s="758" t="s">
        <v>513</v>
      </c>
      <c r="B20" s="762" t="s">
        <v>2715</v>
      </c>
      <c r="C20" s="763" t="s">
        <v>113</v>
      </c>
      <c r="D20" s="761" t="str">
        <f>IF(('Enterprise Template'!G45+'Enterprise Template'!G77+SUM('Enterprise Template'!$G$35:$G$38))&gt;0,"Answer Required","N/A")</f>
        <v>N/A</v>
      </c>
      <c r="E20" s="270" t="s">
        <v>996</v>
      </c>
    </row>
    <row r="21" spans="1:5" ht="42" customHeight="1">
      <c r="A21" s="758" t="s">
        <v>514</v>
      </c>
      <c r="B21" s="762" t="s">
        <v>2716</v>
      </c>
      <c r="C21" s="760" t="s">
        <v>165</v>
      </c>
      <c r="D21" s="761" t="str">
        <f>IF(('Enterprise Template'!G45+'Enterprise Template'!G77+SUM('Enterprise Template'!$G$35:$G$38))&gt;0,"Answer Required","N/A")</f>
        <v>N/A</v>
      </c>
      <c r="E21" s="270" t="s">
        <v>996</v>
      </c>
    </row>
    <row r="22" spans="1:5" ht="47.25" customHeight="1">
      <c r="A22" s="758" t="s">
        <v>515</v>
      </c>
      <c r="B22" s="759" t="s">
        <v>2689</v>
      </c>
      <c r="C22" s="760" t="s">
        <v>2885</v>
      </c>
      <c r="D22" s="761" t="str">
        <f>IF(('Enterprise Template'!G45+'Enterprise Template'!G77+SUM('Enterprise Template'!$G$35:$G$38))&gt;0,"Answer Required","N/A")</f>
        <v>N/A</v>
      </c>
      <c r="E22" s="270" t="s">
        <v>970</v>
      </c>
    </row>
    <row r="23" spans="1:5" ht="25.5">
      <c r="A23" s="758" t="s">
        <v>969</v>
      </c>
      <c r="B23" s="759" t="s">
        <v>2690</v>
      </c>
      <c r="C23" s="760" t="s">
        <v>2691</v>
      </c>
      <c r="D23" s="761" t="str">
        <f>IF(('Enterprise Template'!G45+'Enterprise Template'!G77+SUM('Enterprise Template'!$G$35:$G$38))&gt;0,"Answer Required","N/A")</f>
        <v>N/A</v>
      </c>
      <c r="E23" s="270" t="s">
        <v>970</v>
      </c>
    </row>
    <row r="24" spans="1:5" ht="42" customHeight="1">
      <c r="A24" s="758" t="s">
        <v>2687</v>
      </c>
      <c r="B24" s="759" t="s">
        <v>2692</v>
      </c>
      <c r="C24" s="760" t="s">
        <v>2886</v>
      </c>
      <c r="D24" s="761" t="str">
        <f>IF(('Enterprise Template'!G45+'Enterprise Template'!G77+SUM('Enterprise Template'!$G$35:$G$38))&gt;0,"Answer Required","N/A")</f>
        <v>N/A</v>
      </c>
      <c r="E24" s="270" t="s">
        <v>2694</v>
      </c>
    </row>
    <row r="25" spans="1:5">
      <c r="A25" s="758" t="s">
        <v>2688</v>
      </c>
      <c r="B25" s="762" t="s">
        <v>516</v>
      </c>
      <c r="C25" s="763" t="s">
        <v>517</v>
      </c>
      <c r="D25" s="761" t="str">
        <f>IF(('Enterprise Template'!G45+'Enterprise Template'!G77+SUM('Enterprise Template'!$G$35:$G$38))&gt;0,"Answer Required","N/A")</f>
        <v>N/A</v>
      </c>
      <c r="E25" s="270" t="s">
        <v>2693</v>
      </c>
    </row>
    <row r="26" spans="1:5">
      <c r="A26" s="270"/>
      <c r="B26" s="270"/>
      <c r="C26" s="270"/>
      <c r="D26" s="270"/>
      <c r="E26" s="270"/>
    </row>
    <row r="27" spans="1:5">
      <c r="A27" s="270" t="s">
        <v>518</v>
      </c>
      <c r="C27" s="270"/>
      <c r="D27" s="270"/>
      <c r="E27" s="270"/>
    </row>
    <row r="28" spans="1:5">
      <c r="A28" s="270"/>
      <c r="C28" s="270"/>
      <c r="D28" s="270"/>
      <c r="E28" s="270"/>
    </row>
    <row r="29" spans="1:5">
      <c r="A29" s="764" t="s">
        <v>2887</v>
      </c>
      <c r="C29" s="270"/>
      <c r="D29" s="270"/>
      <c r="E29" s="270"/>
    </row>
    <row r="30" spans="1:5">
      <c r="A30" s="270" t="s">
        <v>2888</v>
      </c>
      <c r="C30" s="270"/>
      <c r="D30" s="270"/>
      <c r="E30" s="270"/>
    </row>
    <row r="31" spans="1:5">
      <c r="A31" s="270" t="s">
        <v>2827</v>
      </c>
      <c r="C31" s="270"/>
      <c r="D31" s="270"/>
      <c r="E31" s="270"/>
    </row>
    <row r="32" spans="1:5">
      <c r="A32" s="270"/>
      <c r="C32" s="270"/>
      <c r="D32" s="270"/>
      <c r="E32" s="270"/>
    </row>
    <row r="33" spans="1:5">
      <c r="A33" s="764" t="s">
        <v>2889</v>
      </c>
      <c r="C33" s="270"/>
      <c r="D33" s="270"/>
      <c r="E33" s="270"/>
    </row>
    <row r="34" spans="1:5">
      <c r="A34" s="270" t="s">
        <v>479</v>
      </c>
      <c r="C34" s="270"/>
      <c r="D34" s="270"/>
      <c r="E34" s="270"/>
    </row>
    <row r="35" spans="1:5">
      <c r="A35" s="270" t="s">
        <v>519</v>
      </c>
      <c r="C35" s="270"/>
      <c r="D35" s="270"/>
      <c r="E35" s="270"/>
    </row>
    <row r="36" spans="1:5">
      <c r="A36" s="270"/>
      <c r="C36" s="270"/>
      <c r="D36" s="270"/>
      <c r="E36" s="270"/>
    </row>
    <row r="37" spans="1:5" ht="15.75" customHeight="1">
      <c r="A37" s="270" t="s">
        <v>2828</v>
      </c>
      <c r="B37" s="270"/>
      <c r="C37" s="270"/>
      <c r="D37" s="270"/>
      <c r="E37" s="270"/>
    </row>
    <row r="38" spans="1:5">
      <c r="A38" s="270" t="s">
        <v>2829</v>
      </c>
      <c r="B38" s="270"/>
      <c r="C38" s="270"/>
      <c r="D38" s="270"/>
      <c r="E38" s="270"/>
    </row>
    <row r="39" spans="1:5">
      <c r="A39" s="708" t="s">
        <v>2830</v>
      </c>
      <c r="B39" s="270"/>
      <c r="C39" s="270"/>
      <c r="D39" s="270"/>
      <c r="E39" s="270"/>
    </row>
    <row r="40" spans="1:5" ht="15.75" customHeight="1">
      <c r="A40" s="12" t="s">
        <v>2831</v>
      </c>
      <c r="B40" s="765"/>
      <c r="C40" s="765"/>
      <c r="D40" s="765"/>
      <c r="E40" s="765"/>
    </row>
    <row r="41" spans="1:5" ht="15.75" customHeight="1">
      <c r="A41" s="12" t="s">
        <v>2832</v>
      </c>
      <c r="B41" s="765"/>
      <c r="C41" s="765"/>
      <c r="D41" s="765"/>
      <c r="E41" s="765"/>
    </row>
    <row r="42" spans="1:5" ht="15.75" customHeight="1">
      <c r="A42" s="12" t="s">
        <v>2833</v>
      </c>
      <c r="B42" s="270"/>
      <c r="C42" s="270"/>
      <c r="D42" s="270"/>
      <c r="E42" s="270"/>
    </row>
    <row r="43" spans="1:5" ht="24.75" customHeight="1">
      <c r="A43" s="270" t="s">
        <v>2834</v>
      </c>
      <c r="B43" s="270"/>
      <c r="C43" s="270"/>
      <c r="D43" s="270"/>
      <c r="E43" s="270"/>
    </row>
    <row r="44" spans="1:5">
      <c r="A44" s="270"/>
      <c r="B44" s="270"/>
      <c r="C44" s="270"/>
      <c r="D44" s="270"/>
      <c r="E44" s="270"/>
    </row>
    <row r="45" spans="1:5">
      <c r="A45" s="708" t="s">
        <v>2890</v>
      </c>
      <c r="B45" s="270"/>
      <c r="C45" s="270"/>
      <c r="D45" s="270"/>
      <c r="E45" s="270"/>
    </row>
    <row r="46" spans="1:5">
      <c r="A46" s="708" t="s">
        <v>2891</v>
      </c>
      <c r="B46" s="270"/>
      <c r="C46" s="270"/>
      <c r="D46" s="270"/>
      <c r="E46" s="270"/>
    </row>
    <row r="47" spans="1:5">
      <c r="A47" s="708" t="s">
        <v>2964</v>
      </c>
      <c r="B47" s="270"/>
      <c r="C47" s="270"/>
      <c r="D47" s="270"/>
      <c r="E47" s="270"/>
    </row>
    <row r="48" spans="1:5">
      <c r="A48" s="708"/>
      <c r="B48" s="270"/>
      <c r="C48" s="270"/>
      <c r="D48" s="270"/>
      <c r="E48" s="270"/>
    </row>
    <row r="49" spans="1:5">
      <c r="A49" s="270" t="s">
        <v>2892</v>
      </c>
      <c r="B49" s="270"/>
      <c r="C49" s="270"/>
      <c r="D49" s="270"/>
      <c r="E49" s="270"/>
    </row>
    <row r="50" spans="1:5">
      <c r="A50" s="270"/>
      <c r="B50" s="270"/>
      <c r="C50" s="270"/>
      <c r="D50" s="270"/>
      <c r="E50" s="270"/>
    </row>
    <row r="51" spans="1:5">
      <c r="A51" s="270"/>
      <c r="B51" s="270"/>
      <c r="C51" s="270"/>
      <c r="D51" s="270"/>
      <c r="E51" s="766" t="s">
        <v>526</v>
      </c>
    </row>
    <row r="52" spans="1:5">
      <c r="A52" s="270" t="s">
        <v>2893</v>
      </c>
      <c r="B52" s="270"/>
      <c r="C52" s="270"/>
      <c r="D52" s="270"/>
      <c r="E52" s="767" t="str">
        <f>IF($D$17="no","Answer Required",IF($D$18="no","Answer Required",IF($D$19="no","Answer Required",IF($D$20="no","Answer Required",IF($D$21="no","Answer Required","N/A")))))</f>
        <v>N/A</v>
      </c>
    </row>
    <row r="53" spans="1:5">
      <c r="A53" s="270" t="s">
        <v>2894</v>
      </c>
      <c r="B53" s="270"/>
      <c r="C53" s="270"/>
      <c r="D53" s="270"/>
      <c r="E53" s="270"/>
    </row>
    <row r="54" spans="1:5">
      <c r="A54" s="270"/>
      <c r="B54" s="270"/>
      <c r="C54" s="270"/>
      <c r="D54" s="270"/>
      <c r="E54" s="270"/>
    </row>
    <row r="55" spans="1:5" ht="45" customHeight="1">
      <c r="A55" s="1132" t="str">
        <f>IF(E52="No","Answer Required", "N/A")</f>
        <v>N/A</v>
      </c>
      <c r="B55" s="1133"/>
      <c r="C55" s="1133"/>
      <c r="D55" s="1133"/>
      <c r="E55" s="1134"/>
    </row>
    <row r="56" spans="1:5">
      <c r="A56" s="270"/>
      <c r="B56" s="270"/>
      <c r="C56" s="270"/>
      <c r="D56" s="270"/>
      <c r="E56" s="270"/>
    </row>
    <row r="57" spans="1:5">
      <c r="A57" s="270"/>
      <c r="B57" s="270"/>
      <c r="C57" s="270"/>
      <c r="D57" s="270"/>
      <c r="E57" s="270"/>
    </row>
    <row r="58" spans="1:5">
      <c r="A58" s="768"/>
      <c r="B58" s="768"/>
      <c r="C58" s="768"/>
      <c r="D58" s="768"/>
      <c r="E58" s="768"/>
    </row>
    <row r="59" spans="1:5" ht="13.5" hidden="1" customHeight="1">
      <c r="A59" s="768"/>
      <c r="B59" s="768"/>
      <c r="C59" s="768"/>
      <c r="D59" s="768"/>
      <c r="E59" s="768"/>
    </row>
    <row r="60" spans="1:5" hidden="1">
      <c r="A60" s="768"/>
      <c r="B60" s="768"/>
      <c r="C60" s="768"/>
      <c r="D60" s="768" t="s">
        <v>454</v>
      </c>
      <c r="E60" s="768"/>
    </row>
    <row r="61" spans="1:5" hidden="1">
      <c r="A61" s="768"/>
      <c r="B61" s="768"/>
      <c r="C61" s="768"/>
      <c r="D61" s="768" t="s">
        <v>455</v>
      </c>
      <c r="E61" s="768"/>
    </row>
    <row r="62" spans="1:5" hidden="1">
      <c r="A62" s="768"/>
      <c r="B62" s="768"/>
      <c r="C62" s="768"/>
      <c r="D62" s="768" t="s">
        <v>456</v>
      </c>
      <c r="E62" s="768"/>
    </row>
    <row r="63" spans="1:5" hidden="1"/>
    <row r="86" spans="2:5">
      <c r="B86" s="14"/>
      <c r="C86" s="14"/>
      <c r="D86" s="14"/>
      <c r="E86" s="14"/>
    </row>
    <row r="87" spans="2:5">
      <c r="B87" s="14"/>
      <c r="C87" s="14"/>
      <c r="D87" s="14"/>
      <c r="E87" s="14"/>
    </row>
    <row r="88" spans="2:5">
      <c r="B88" s="14"/>
      <c r="C88" s="14"/>
      <c r="D88" s="14"/>
      <c r="E88" s="14"/>
    </row>
    <row r="89" spans="2:5">
      <c r="B89" s="14"/>
      <c r="C89" s="14"/>
      <c r="D89" s="14"/>
      <c r="E89" s="14"/>
    </row>
    <row r="90" spans="2:5">
      <c r="B90" s="14"/>
      <c r="C90" s="14"/>
      <c r="D90" s="14"/>
      <c r="E90" s="14"/>
    </row>
    <row r="91" spans="2:5">
      <c r="B91" s="14"/>
      <c r="C91" s="14"/>
      <c r="D91" s="14"/>
      <c r="E91" s="14"/>
    </row>
    <row r="92" spans="2:5">
      <c r="B92" s="14"/>
      <c r="C92" s="14"/>
      <c r="D92" s="14"/>
      <c r="E92" s="14"/>
    </row>
    <row r="93" spans="2:5">
      <c r="B93" s="14"/>
      <c r="C93" s="14"/>
      <c r="D93" s="14"/>
      <c r="E93" s="14"/>
    </row>
    <row r="94" spans="2:5">
      <c r="B94" s="14"/>
      <c r="C94" s="14"/>
      <c r="D94" s="14"/>
      <c r="E94" s="14"/>
    </row>
  </sheetData>
  <sheetProtection algorithmName="SHA-512" hashValue="5G+qQXg2U/I046WPkpygF47+4It/WZeSQzMDQ8t+NX0YwzKs3Iyf6lr1AOhxe6GKQvV5+Y4w4suUdjdiWtI34g==" saltValue="dbOJWsKGbTG4tscGVLoDVA==" spinCount="100000" sheet="1" objects="1" scenarios="1"/>
  <mergeCells count="15">
    <mergeCell ref="A6:B6"/>
    <mergeCell ref="A7:B7"/>
    <mergeCell ref="A55:E55"/>
    <mergeCell ref="A1:B1"/>
    <mergeCell ref="A2:B2"/>
    <mergeCell ref="A3:B3"/>
    <mergeCell ref="A4:B4"/>
    <mergeCell ref="A5:B5"/>
    <mergeCell ref="C5:E5"/>
    <mergeCell ref="C6:E6"/>
    <mergeCell ref="C7:E7"/>
    <mergeCell ref="C1:E1"/>
    <mergeCell ref="C2:E2"/>
    <mergeCell ref="C3:E3"/>
    <mergeCell ref="C4:E4"/>
  </mergeCells>
  <phoneticPr fontId="46" type="noConversion"/>
  <conditionalFormatting sqref="A55:E55">
    <cfRule type="cellIs" dxfId="166" priority="2" operator="equal">
      <formula>"Answer Required"</formula>
    </cfRule>
  </conditionalFormatting>
  <conditionalFormatting sqref="D16:D25">
    <cfRule type="cellIs" dxfId="165" priority="4" operator="equal">
      <formula>"Answer Required"</formula>
    </cfRule>
  </conditionalFormatting>
  <conditionalFormatting sqref="E52">
    <cfRule type="cellIs" dxfId="164" priority="1" operator="equal">
      <formula>"Answer Required"</formula>
    </cfRule>
  </conditionalFormatting>
  <dataValidations count="1">
    <dataValidation type="list" allowBlank="1" showInputMessage="1" showErrorMessage="1" error="Please use the drop-down list to select Yes, No, or N/A." sqref="D16:D25 E52" xr:uid="{00000000-0002-0000-0700-000001000000}">
      <formula1>$D$60:$D$62</formula1>
    </dataValidation>
  </dataValidations>
  <pageMargins left="0.5" right="0.5" top="1.25" bottom="1" header="0.44" footer="0.5"/>
  <pageSetup scale="56"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H71"/>
  <sheetViews>
    <sheetView showGridLines="0" zoomScaleNormal="100" zoomScaleSheetLayoutView="80" workbookViewId="0">
      <selection activeCell="B15" sqref="B15"/>
    </sheetView>
  </sheetViews>
  <sheetFormatPr defaultColWidth="8" defaultRowHeight="12.6" customHeight="1"/>
  <cols>
    <col min="1" max="1" width="32.28515625" style="51" customWidth="1"/>
    <col min="2" max="2" width="26.42578125" style="53" customWidth="1"/>
    <col min="3" max="3" width="15.7109375" style="51" customWidth="1"/>
    <col min="4" max="4" width="25.85546875" style="51" customWidth="1"/>
    <col min="5" max="5" width="15.5703125" style="51" customWidth="1"/>
    <col min="6" max="6" width="17.85546875" style="51" customWidth="1"/>
    <col min="7" max="7" width="8" style="51" customWidth="1"/>
    <col min="8" max="8" width="11.5703125" style="51" customWidth="1"/>
    <col min="9" max="16384" width="8" style="51"/>
  </cols>
  <sheetData>
    <row r="1" spans="1:8" ht="12.6" customHeight="1">
      <c r="A1" s="48" t="s">
        <v>272</v>
      </c>
      <c r="B1" s="1156" t="str">
        <f>'Enterprise Template'!E1</f>
        <v/>
      </c>
      <c r="C1" s="1157"/>
      <c r="D1" s="1157"/>
      <c r="E1" s="1157"/>
      <c r="F1" s="1158"/>
    </row>
    <row r="2" spans="1:8" ht="12.75" customHeight="1">
      <c r="A2" s="48" t="s">
        <v>190</v>
      </c>
      <c r="B2" s="1156" t="str">
        <f>IF('Enterprise Template'!E2="","",'Enterprise Template'!E2)</f>
        <v/>
      </c>
      <c r="C2" s="1157"/>
      <c r="D2" s="1157"/>
      <c r="E2" s="1157"/>
      <c r="F2" s="1158"/>
    </row>
    <row r="3" spans="1:8" ht="12.75" customHeight="1">
      <c r="A3" s="48" t="s">
        <v>447</v>
      </c>
      <c r="B3" s="1159" t="str">
        <f>IF('Enterprise Template'!E3="","",'Enterprise Template'!E3)</f>
        <v/>
      </c>
      <c r="C3" s="1160"/>
      <c r="D3" s="1160"/>
      <c r="E3" s="1160"/>
      <c r="F3" s="1161"/>
    </row>
    <row r="4" spans="1:8" ht="12.75" customHeight="1">
      <c r="A4" s="48" t="s">
        <v>448</v>
      </c>
      <c r="B4" s="1162" t="str">
        <f>IF('Enterprise Template'!E4="","",'Enterprise Template'!E4)</f>
        <v/>
      </c>
      <c r="C4" s="1163"/>
      <c r="D4" s="1163"/>
      <c r="E4" s="1163"/>
      <c r="F4" s="1164"/>
    </row>
    <row r="5" spans="1:8" ht="12.75" customHeight="1">
      <c r="A5" s="48" t="s">
        <v>2847</v>
      </c>
      <c r="B5" s="1150" t="str">
        <f>IF('Enterprise Template'!E5="","",'Enterprise Template'!E5)</f>
        <v/>
      </c>
      <c r="C5" s="1151"/>
      <c r="D5" s="1151"/>
      <c r="E5" s="1151"/>
      <c r="F5" s="1152"/>
    </row>
    <row r="6" spans="1:8" ht="12.6" customHeight="1">
      <c r="A6" s="48" t="s">
        <v>449</v>
      </c>
      <c r="B6" s="1153" t="str">
        <f>IF('Enterprise Template'!E6="","",'Enterprise Template'!E6)</f>
        <v/>
      </c>
      <c r="C6" s="1154"/>
      <c r="D6" s="1154"/>
      <c r="E6" s="1154"/>
      <c r="F6" s="1155"/>
      <c r="H6" s="12"/>
    </row>
    <row r="7" spans="1:8" ht="12.6" customHeight="1">
      <c r="A7" s="48" t="s">
        <v>224</v>
      </c>
      <c r="B7" s="1156" t="str">
        <f>'Enterprise Template'!E7</f>
        <v/>
      </c>
      <c r="C7" s="1157"/>
      <c r="D7" s="1157"/>
      <c r="E7" s="1157"/>
      <c r="F7" s="1158"/>
    </row>
    <row r="9" spans="1:8" ht="12.6" customHeight="1">
      <c r="A9" s="52" t="s">
        <v>138</v>
      </c>
    </row>
    <row r="10" spans="1:8" ht="12.6" customHeight="1">
      <c r="A10" s="54" t="str">
        <f>'Enterprise Template'!$A$27:$D$27</f>
        <v>For the Year Ended June 30, 2024</v>
      </c>
    </row>
    <row r="11" spans="1:8" ht="12.6" customHeight="1">
      <c r="A11" s="55"/>
      <c r="B11" s="56"/>
      <c r="C11" s="57"/>
      <c r="D11" s="57"/>
      <c r="E11" s="57"/>
      <c r="F11" s="57"/>
    </row>
    <row r="12" spans="1:8" s="58" customFormat="1" ht="36" customHeight="1">
      <c r="B12" s="59"/>
    </row>
    <row r="13" spans="1:8" s="58" customFormat="1" ht="33.75">
      <c r="B13" s="60" t="s">
        <v>561</v>
      </c>
      <c r="D13" s="436" t="s">
        <v>3619</v>
      </c>
      <c r="H13" s="389"/>
    </row>
    <row r="14" spans="1:8" ht="12.6" customHeight="1">
      <c r="A14" s="58" t="s">
        <v>259</v>
      </c>
      <c r="B14" s="61"/>
    </row>
    <row r="15" spans="1:8" ht="15" customHeight="1">
      <c r="A15" s="62" t="s">
        <v>213</v>
      </c>
      <c r="B15" s="2"/>
      <c r="D15" s="2"/>
      <c r="H15" s="194"/>
    </row>
    <row r="16" spans="1:8" ht="15" customHeight="1">
      <c r="A16" s="62" t="s">
        <v>214</v>
      </c>
      <c r="B16" s="2"/>
      <c r="D16" s="2"/>
      <c r="H16" s="194"/>
    </row>
    <row r="17" spans="1:8" ht="15" customHeight="1">
      <c r="A17" s="62" t="s">
        <v>260</v>
      </c>
      <c r="B17" s="2"/>
      <c r="D17" s="2"/>
      <c r="H17" s="194"/>
    </row>
    <row r="18" spans="1:8" ht="15" customHeight="1">
      <c r="A18" s="62" t="s">
        <v>427</v>
      </c>
      <c r="B18" s="2"/>
      <c r="D18" s="2"/>
      <c r="H18" s="194"/>
    </row>
    <row r="19" spans="1:8" ht="15" customHeight="1">
      <c r="A19" s="823" t="s">
        <v>3201</v>
      </c>
      <c r="B19" s="2"/>
      <c r="D19" s="2"/>
      <c r="H19" s="194"/>
    </row>
    <row r="20" spans="1:8" ht="15" customHeight="1">
      <c r="A20" s="62" t="s">
        <v>262</v>
      </c>
      <c r="B20" s="2"/>
      <c r="D20" s="2"/>
      <c r="H20" s="194"/>
    </row>
    <row r="21" spans="1:8" ht="15" hidden="1" customHeight="1">
      <c r="A21" s="62" t="s">
        <v>263</v>
      </c>
      <c r="B21" s="561"/>
      <c r="C21" s="105" t="s">
        <v>351</v>
      </c>
      <c r="D21" s="561"/>
      <c r="H21" s="194"/>
    </row>
    <row r="22" spans="1:8" ht="15" customHeight="1">
      <c r="A22" s="62" t="s">
        <v>258</v>
      </c>
      <c r="B22" s="64">
        <f>SUM(B15:B21)</f>
        <v>0</v>
      </c>
      <c r="D22" s="64">
        <f>SUM(D15:D21)</f>
        <v>0</v>
      </c>
      <c r="H22" s="194"/>
    </row>
    <row r="23" spans="1:8" ht="15" customHeight="1">
      <c r="A23" s="62"/>
      <c r="B23" s="65"/>
    </row>
    <row r="24" spans="1:8" ht="12" customHeight="1">
      <c r="A24" s="66"/>
      <c r="B24" s="65"/>
    </row>
    <row r="25" spans="1:8" ht="28.5" customHeight="1">
      <c r="A25" s="66" t="s">
        <v>444</v>
      </c>
      <c r="B25" s="2"/>
      <c r="D25" s="2"/>
      <c r="H25" s="194"/>
    </row>
    <row r="26" spans="1:8" ht="12.6" customHeight="1" thickBot="1">
      <c r="A26" s="51" t="s">
        <v>264</v>
      </c>
      <c r="B26" s="286">
        <f>IF(SUM(B22,B25)=SUM('Enterprise Template'!G55,'Enterprise Template'!G88),SUM(B22,B25),"ERROR")</f>
        <v>0</v>
      </c>
      <c r="C26" s="63"/>
      <c r="D26" s="286">
        <f>IF(SUM(D22,D25)='Enterprise Template'!G88,SUM(D22,D25),"ERROR")</f>
        <v>0</v>
      </c>
      <c r="E26" s="345"/>
      <c r="H26" s="345"/>
    </row>
    <row r="27" spans="1:8" ht="12.6" customHeight="1" thickTop="1">
      <c r="A27" s="289" t="s">
        <v>440</v>
      </c>
      <c r="B27" s="287">
        <f>(SUM(B22,B25)-SUM('Enterprise Template'!G55,'Enterprise Template'!G88))</f>
        <v>0</v>
      </c>
      <c r="C27" s="289" t="s">
        <v>440</v>
      </c>
      <c r="D27" s="288">
        <f>(SUM(D22,D25)-'Enterprise Template'!G88)</f>
        <v>0</v>
      </c>
      <c r="E27" s="288"/>
    </row>
    <row r="28" spans="1:8" ht="12.6" customHeight="1">
      <c r="H28" s="288"/>
    </row>
    <row r="30" spans="1:8" ht="12.6" customHeight="1">
      <c r="A30" s="51" t="s">
        <v>575</v>
      </c>
      <c r="B30" s="68">
        <f>'Enterprise Template'!G57</f>
        <v>0</v>
      </c>
      <c r="C30" s="105" t="s">
        <v>351</v>
      </c>
    </row>
    <row r="31" spans="1:8" ht="12.6" customHeight="1">
      <c r="C31" s="63"/>
    </row>
    <row r="32" spans="1:8" ht="12.6" customHeight="1">
      <c r="A32" s="51" t="s">
        <v>166</v>
      </c>
      <c r="B32" s="68">
        <f>'Enterprise Template'!G58</f>
        <v>0</v>
      </c>
      <c r="C32" s="105" t="s">
        <v>352</v>
      </c>
    </row>
    <row r="35" spans="1:4" ht="12.6" customHeight="1">
      <c r="A35" s="249" t="s">
        <v>980</v>
      </c>
    </row>
    <row r="36" spans="1:4" ht="12.6" customHeight="1">
      <c r="A36" s="533" t="s">
        <v>981</v>
      </c>
    </row>
    <row r="37" spans="1:4" ht="12.6" customHeight="1">
      <c r="A37" s="51" t="s">
        <v>184</v>
      </c>
    </row>
    <row r="39" spans="1:4" ht="12.6" customHeight="1">
      <c r="A39" s="616" t="s">
        <v>1000</v>
      </c>
      <c r="B39" s="616" t="s">
        <v>1010</v>
      </c>
      <c r="C39" s="616" t="s">
        <v>1001</v>
      </c>
      <c r="D39" s="69" t="s">
        <v>110</v>
      </c>
    </row>
    <row r="40" spans="1:4" ht="11.25">
      <c r="A40" s="185"/>
      <c r="B40" s="613" t="str">
        <f>IF(A40="","",IFERROR(VLOOKUP(A40,'Fund Vlookup'!$B:$C,2,FALSE),"Verify fund number and contact DOA"))</f>
        <v/>
      </c>
      <c r="C40" s="812"/>
      <c r="D40" s="71"/>
    </row>
    <row r="41" spans="1:4" ht="11.25">
      <c r="A41" s="185"/>
      <c r="B41" s="613" t="str">
        <f>IF(A41="","",IFERROR(VLOOKUP(A41,'Fund Vlookup'!$B:$C,2,FALSE),"Verify fund number and contact DOA"))</f>
        <v/>
      </c>
      <c r="C41" s="185"/>
      <c r="D41" s="71"/>
    </row>
    <row r="42" spans="1:4" ht="11.25">
      <c r="A42" s="185"/>
      <c r="B42" s="613" t="str">
        <f>IF(A42="","",IFERROR(VLOOKUP(A42,'Fund Vlookup'!$B:$C,2,FALSE),"Verify fund number and contact DOA"))</f>
        <v/>
      </c>
      <c r="C42" s="185"/>
      <c r="D42" s="71"/>
    </row>
    <row r="43" spans="1:4" ht="11.25">
      <c r="A43" s="185"/>
      <c r="B43" s="613" t="str">
        <f>IF(A43="","",IFERROR(VLOOKUP(A43,'Fund Vlookup'!$B:$C,2,FALSE),"Verify fund number and contact DOA"))</f>
        <v/>
      </c>
      <c r="C43" s="185"/>
      <c r="D43" s="71"/>
    </row>
    <row r="44" spans="1:4" ht="11.25">
      <c r="A44" s="185"/>
      <c r="B44" s="613" t="str">
        <f>IF(A44="","",IFERROR(VLOOKUP(A44,'Fund Vlookup'!$B:$C,2,FALSE),"Verify fund number and contact DOA"))</f>
        <v/>
      </c>
      <c r="C44" s="185"/>
      <c r="D44" s="71"/>
    </row>
    <row r="45" spans="1:4" ht="11.25">
      <c r="A45" s="185"/>
      <c r="B45" s="613" t="str">
        <f>IF(A45="","",IFERROR(VLOOKUP(A45,'Fund Vlookup'!$B:$C,2,FALSE),"Verify fund number and contact DOA"))</f>
        <v/>
      </c>
      <c r="C45" s="185"/>
      <c r="D45" s="71"/>
    </row>
    <row r="46" spans="1:4" ht="11.25">
      <c r="A46" s="185"/>
      <c r="B46" s="613" t="str">
        <f>IF(A46="","",IFERROR(VLOOKUP(A46,'Fund Vlookup'!$B:$C,2,FALSE),"Verify fund number and contact DOA"))</f>
        <v/>
      </c>
      <c r="C46" s="185"/>
      <c r="D46" s="71"/>
    </row>
    <row r="47" spans="1:4" ht="11.25">
      <c r="A47" s="185"/>
      <c r="B47" s="613" t="str">
        <f>IF(A47="","",IFERROR(VLOOKUP(A47,'Fund Vlookup'!$B:$C,2,FALSE),"Verify fund number and contact DOA"))</f>
        <v/>
      </c>
      <c r="C47" s="185"/>
      <c r="D47" s="71"/>
    </row>
    <row r="49" spans="1:6" ht="12.6" customHeight="1" thickBot="1">
      <c r="A49" s="51" t="s">
        <v>469</v>
      </c>
      <c r="D49" s="70">
        <f>IF(SUM(D40:D47)=B30,SUM(D40:D47), "ERROR")</f>
        <v>0</v>
      </c>
    </row>
    <row r="50" spans="1:6" ht="12.6" customHeight="1" thickTop="1">
      <c r="C50" s="299" t="s">
        <v>440</v>
      </c>
      <c r="D50" s="300">
        <f>SUM(D40:D47)-B30</f>
        <v>0</v>
      </c>
    </row>
    <row r="53" spans="1:6" ht="15" customHeight="1">
      <c r="A53" s="249" t="s">
        <v>982</v>
      </c>
    </row>
    <row r="55" spans="1:6" ht="12.6" customHeight="1">
      <c r="A55" s="616" t="s">
        <v>2992</v>
      </c>
      <c r="B55" s="616" t="s">
        <v>965</v>
      </c>
      <c r="C55" s="616" t="s">
        <v>1000</v>
      </c>
      <c r="D55" s="616" t="s">
        <v>1010</v>
      </c>
      <c r="E55" s="616" t="s">
        <v>1001</v>
      </c>
      <c r="F55" s="69" t="s">
        <v>110</v>
      </c>
    </row>
    <row r="56" spans="1:6" s="62" customFormat="1" ht="11.25">
      <c r="A56" s="813"/>
      <c r="B56" s="184"/>
      <c r="C56" s="185"/>
      <c r="D56" s="614" t="str">
        <f>IF(C56="","",IFERROR(VLOOKUP(C56,'Fund Vlookup'!$B:$C,2,FALSE),"Verify fund number and contact DOA"))</f>
        <v/>
      </c>
      <c r="E56" s="812"/>
      <c r="F56" s="159"/>
    </row>
    <row r="57" spans="1:6" ht="11.25">
      <c r="A57" s="184"/>
      <c r="B57" s="184"/>
      <c r="C57" s="185"/>
      <c r="D57" s="614" t="str">
        <f>IF(C57="","",IFERROR(VLOOKUP(C57,'Fund Vlookup'!$B:$C,2,FALSE),"Verify fund number and contact DOA"))</f>
        <v/>
      </c>
      <c r="E57" s="185"/>
      <c r="F57" s="159"/>
    </row>
    <row r="58" spans="1:6" ht="11.25">
      <c r="A58" s="184"/>
      <c r="B58" s="184"/>
      <c r="C58" s="185"/>
      <c r="D58" s="614" t="str">
        <f>IF(C58="","",IFERROR(VLOOKUP(C58,'Fund Vlookup'!$B:$C,2,FALSE),"Verify fund number and contact DOA"))</f>
        <v/>
      </c>
      <c r="E58" s="185"/>
      <c r="F58" s="159"/>
    </row>
    <row r="59" spans="1:6" ht="11.25">
      <c r="A59" s="184"/>
      <c r="B59" s="184"/>
      <c r="C59" s="185"/>
      <c r="D59" s="614" t="str">
        <f>IF(C59="","",IFERROR(VLOOKUP(C59,'Fund Vlookup'!$B:$C,2,FALSE),"Verify fund number and contact DOA"))</f>
        <v/>
      </c>
      <c r="E59" s="185"/>
      <c r="F59" s="159"/>
    </row>
    <row r="60" spans="1:6" ht="11.25">
      <c r="A60" s="184"/>
      <c r="B60" s="184"/>
      <c r="C60" s="185"/>
      <c r="D60" s="614" t="str">
        <f>IF(C60="","",IFERROR(VLOOKUP(C60,'Fund Vlookup'!$B:$C,2,FALSE),"Verify fund number and contact DOA"))</f>
        <v/>
      </c>
      <c r="E60" s="185"/>
      <c r="F60" s="159"/>
    </row>
    <row r="61" spans="1:6" ht="11.25">
      <c r="A61" s="184"/>
      <c r="B61" s="184"/>
      <c r="C61" s="185"/>
      <c r="D61" s="614" t="str">
        <f>IF(C61="","",IFERROR(VLOOKUP(C61,'Fund Vlookup'!$B:$C,2,FALSE),"Verify fund number and contact DOA"))</f>
        <v/>
      </c>
      <c r="E61" s="185"/>
      <c r="F61" s="159"/>
    </row>
    <row r="62" spans="1:6" ht="11.25">
      <c r="A62" s="184"/>
      <c r="B62" s="184"/>
      <c r="C62" s="185"/>
      <c r="D62" s="614" t="str">
        <f>IF(C62="","",IFERROR(VLOOKUP(C62,'Fund Vlookup'!$B:$C,2,FALSE),"Verify fund number and contact DOA"))</f>
        <v/>
      </c>
      <c r="E62" s="185"/>
      <c r="F62" s="159"/>
    </row>
    <row r="63" spans="1:6" ht="11.25">
      <c r="A63" s="184"/>
      <c r="B63" s="184"/>
      <c r="C63" s="185"/>
      <c r="D63" s="614" t="str">
        <f>IF(C63="","",IFERROR(VLOOKUP(C63,'Fund Vlookup'!$B:$C,2,FALSE),"Verify fund number and contact DOA"))</f>
        <v/>
      </c>
      <c r="E63" s="185"/>
      <c r="F63" s="159"/>
    </row>
    <row r="64" spans="1:6" ht="11.25">
      <c r="A64" s="184"/>
      <c r="B64" s="184"/>
      <c r="C64" s="185"/>
      <c r="D64" s="614" t="str">
        <f>IF(C64="","",IFERROR(VLOOKUP(C64,'Fund Vlookup'!$B:$C,2,FALSE),"Verify fund number and contact DOA"))</f>
        <v/>
      </c>
      <c r="E64" s="185"/>
      <c r="F64" s="159"/>
    </row>
    <row r="65" spans="1:6" ht="11.25">
      <c r="A65" s="184"/>
      <c r="B65" s="184"/>
      <c r="C65" s="185"/>
      <c r="D65" s="614" t="str">
        <f>IF(C65="","",IFERROR(VLOOKUP(C65,'Fund Vlookup'!$B:$C,2,FALSE),"Verify fund number and contact DOA"))</f>
        <v/>
      </c>
      <c r="E65" s="185"/>
      <c r="F65" s="159"/>
    </row>
    <row r="66" spans="1:6" ht="11.25">
      <c r="A66" s="184"/>
      <c r="B66" s="184"/>
      <c r="C66" s="185"/>
      <c r="D66" s="614" t="str">
        <f>IF(C66="","",IFERROR(VLOOKUP(C66,'Fund Vlookup'!$B:$C,2,FALSE),"Verify fund number and contact DOA"))</f>
        <v/>
      </c>
      <c r="E66" s="185"/>
      <c r="F66" s="159"/>
    </row>
    <row r="67" spans="1:6" ht="11.25">
      <c r="A67" s="184"/>
      <c r="B67" s="184"/>
      <c r="C67" s="185"/>
      <c r="D67" s="614" t="str">
        <f>IF(C67="","",IFERROR(VLOOKUP(C67,'Fund Vlookup'!$B:$C,2,FALSE),"Verify fund number and contact DOA"))</f>
        <v/>
      </c>
      <c r="E67" s="185"/>
      <c r="F67" s="159"/>
    </row>
    <row r="68" spans="1:6" ht="11.25">
      <c r="A68" s="184"/>
      <c r="B68" s="184"/>
      <c r="C68" s="185"/>
      <c r="D68" s="614" t="str">
        <f>IF(C68="","",IFERROR(VLOOKUP(C68,'Fund Vlookup'!$B:$C,2,FALSE),"Verify fund number and contact DOA"))</f>
        <v/>
      </c>
      <c r="E68" s="185"/>
      <c r="F68" s="159"/>
    </row>
    <row r="70" spans="1:6" ht="12.6" customHeight="1" thickBot="1">
      <c r="A70" s="51" t="s">
        <v>468</v>
      </c>
      <c r="F70" s="70">
        <f>IF(SUM(F56:F68)=B32,SUM(F56:F68), "ERROR")</f>
        <v>0</v>
      </c>
    </row>
    <row r="71" spans="1:6" ht="12.6" customHeight="1" thickTop="1">
      <c r="E71" s="299" t="s">
        <v>440</v>
      </c>
      <c r="F71" s="300">
        <f>SUM(F56:F68)-B32</f>
        <v>0</v>
      </c>
    </row>
  </sheetData>
  <sheetProtection algorithmName="SHA-512" hashValue="SWC9mxgKvc2PoJY7mmV/UJx9E1mCRx479sDwAHIBgaAdm6GUS05TkRAtGVEf5vh+iLR72f7zqSMV6jWw5iZgDw==" saltValue="WSk0y9kCTTSRUy0j/TRFpQ==" spinCount="100000" sheet="1" objects="1" scenarios="1"/>
  <mergeCells count="7">
    <mergeCell ref="B5:F5"/>
    <mergeCell ref="B6:F6"/>
    <mergeCell ref="B7:F7"/>
    <mergeCell ref="B1:F1"/>
    <mergeCell ref="B2:F2"/>
    <mergeCell ref="B3:F3"/>
    <mergeCell ref="B4:F4"/>
  </mergeCells>
  <phoneticPr fontId="46" type="noConversion"/>
  <dataValidations xWindow="149" yWindow="258" count="6">
    <dataValidation type="whole" allowBlank="1" showInputMessage="1" showErrorMessage="1" error="Enter a whole number" sqref="F56:F68 D40:D47" xr:uid="{00000000-0002-0000-0800-000000000000}">
      <formula1>-9999999999999</formula1>
      <formula2>99999999999999</formula2>
    </dataValidation>
    <dataValidation type="whole" allowBlank="1" showInputMessage="1" showErrorMessage="1" sqref="B23:B24" xr:uid="{00000000-0002-0000-0800-000001000000}">
      <formula1>0</formula1>
      <formula2>9.99999999999999E+26</formula2>
    </dataValidation>
    <dataValidation type="whole" allowBlank="1" showInputMessage="1" showErrorMessage="1" error="Enter a whole number" sqref="B15:B21 D15:D21" xr:uid="{00000000-0002-0000-0800-000002000000}">
      <formula1>-99999999999999</formula1>
      <formula2>99999999999999</formula2>
    </dataValidation>
    <dataValidation type="whole" allowBlank="1" showInputMessage="1" showErrorMessage="1" error="Please enter a negative, whole number._x000a_" sqref="B25 D25" xr:uid="{00000000-0002-0000-0800-000003000000}">
      <formula1>-9999999999999</formula1>
      <formula2>0</formula2>
    </dataValidation>
    <dataValidation type="whole" allowBlank="1" showInputMessage="1" showErrorMessage="1" error="Enter a business unit number between 10000 and 99900" sqref="B56:B68" xr:uid="{00000000-0002-0000-0800-000004000000}">
      <formula1>10000</formula1>
      <formula2>99900</formula2>
    </dataValidation>
    <dataValidation type="whole" allowBlank="1" showInputMessage="1" showErrorMessage="1" error="Enter a fund number between 01000 and 99999." sqref="C56:C68 A40:A47" xr:uid="{00000000-0002-0000-0800-000005000000}">
      <formula1>1000</formula1>
      <formula2>99999</formula2>
    </dataValidation>
  </dataValidations>
  <pageMargins left="0.5" right="0.5" top="1.25" bottom="1" header="0.44" footer="0.5"/>
  <pageSetup scale="60" orientation="portrait" cellComments="asDisplayed" r:id="rId1"/>
  <headerFooter alignWithMargins="0">
    <oddHeader>&amp;C&amp;"Times New Roman,Bold"Attachment 10
Enterprise Fund Financial Statement Template
&amp;A</oddHeader>
    <oddFooter>&amp;L&amp;"Times New Roman,Regular"&amp;F\&amp;A&amp;R&amp;"Times New Roman,Regular"Page &amp;P</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Fund Vlookup</vt:lpstr>
      <vt:lpstr>HLookup Tables</vt:lpstr>
      <vt:lpstr>Enterprise Template</vt:lpstr>
      <vt:lpstr>Template Flux</vt:lpstr>
      <vt:lpstr>Tab 1A-GASB 3-40</vt:lpstr>
      <vt:lpstr>Tab 1B-CE.&amp;Inv. Not w Tr </vt:lpstr>
      <vt:lpstr>Tab 1C-Foreign Currency Inv</vt:lpstr>
      <vt:lpstr>Tab 1D-GASB 31</vt:lpstr>
      <vt:lpstr>Tab 2-Receivables</vt:lpstr>
      <vt:lpstr>Tab 3-Capital Assets</vt:lpstr>
      <vt:lpstr>Tab 4-Due to Other Agy or Funds</vt:lpstr>
      <vt:lpstr>Tab 5-LT Liabilities</vt:lpstr>
      <vt:lpstr>Tab 6-Commitments</vt:lpstr>
      <vt:lpstr>Tab 7-Miscellaneous</vt:lpstr>
      <vt:lpstr>Tab 8-Restatements</vt:lpstr>
      <vt:lpstr>Tab 9-Unearned Revenue</vt:lpstr>
      <vt:lpstr>Tab 10-Deficit Net Position</vt:lpstr>
      <vt:lpstr>Tab 11-Transfers</vt:lpstr>
      <vt:lpstr>Tab 12-Net Inv in Cap Assets</vt:lpstr>
      <vt:lpstr>Tab 13-Cash Flow Analysis</vt:lpstr>
      <vt:lpstr>Tab 14-Fund Conversion</vt:lpstr>
      <vt:lpstr>Certification</vt:lpstr>
      <vt:lpstr>Revision Control Log</vt:lpstr>
      <vt:lpstr>Certification!Print_Area</vt:lpstr>
      <vt:lpstr>'Enterprise Template'!Print_Area</vt:lpstr>
      <vt:lpstr>'HLookup Tables'!Print_Area</vt:lpstr>
      <vt:lpstr>'Tab 12-Net Inv in Cap Assets'!Print_Area</vt:lpstr>
      <vt:lpstr>'Tab 13-Cash Flow Analysis'!Print_Area</vt:lpstr>
      <vt:lpstr>'Tab 1A-GASB 3-40'!Print_Area</vt:lpstr>
      <vt:lpstr>'Tab 1B-CE.&amp;Inv. Not w Tr '!Print_Area</vt:lpstr>
      <vt:lpstr>'Tab 1C-Foreign Currency Inv'!Print_Area</vt:lpstr>
      <vt:lpstr>'Tab 1D-GASB 31'!Print_Area</vt:lpstr>
      <vt:lpstr>'Tab 3-Capital Assets'!Print_Area</vt:lpstr>
      <vt:lpstr>'Tab 5-LT Liabilities'!Print_Area</vt:lpstr>
      <vt:lpstr>'Tab 6-Commitments'!Print_Area</vt:lpstr>
      <vt:lpstr>'Tab 7-Miscellaneous'!Print_Area</vt:lpstr>
      <vt:lpstr>'HLookup Tables'!Print_Titles</vt:lpstr>
      <vt:lpstr>'Revision Control Log'!Print_Titles</vt:lpstr>
      <vt:lpstr>'Tab 1B-CE.&amp;Inv. Not w Tr '!Print_Titles</vt:lpstr>
      <vt:lpstr>'Template Flux'!Print_Titles</vt:lpstr>
      <vt:lpstr>Segments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10 - Enterprise Fund</dc:title>
  <dc:subject>Attachment 10 - Enterprise Fund</dc:subject>
  <dc:creator>Virginia Department of Accounts</dc:creator>
  <cp:lastPrinted>2024-04-12T14:33:46Z</cp:lastPrinted>
  <dcterms:created xsi:type="dcterms:W3CDTF">2003-02-19T20:11:55Z</dcterms:created>
  <dcterms:modified xsi:type="dcterms:W3CDTF">2024-04-26T12:14:53Z</dcterms:modified>
</cp:coreProperties>
</file>