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ms\Documents on the Web\"/>
    </mc:Choice>
  </mc:AlternateContent>
  <xr:revisionPtr revIDLastSave="0" documentId="13_ncr:1_{435F6CE0-6FE6-43F1-A765-EF4528A16EAE}" xr6:coauthVersionLast="47" xr6:coauthVersionMax="47" xr10:uidLastSave="{00000000-0000-0000-0000-000000000000}"/>
  <bookViews>
    <workbookView xWindow="540" yWindow="525" windowWidth="22980" windowHeight="13635" xr2:uid="{1AA57F1D-7CB9-469E-89BE-42BCA93BED8B}"/>
  </bookViews>
  <sheets>
    <sheet name="Directions" sheetId="2" r:id="rId1"/>
    <sheet name="Imputed Life for ORP Retirees" sheetId="1" r:id="rId2"/>
  </sheets>
  <definedNames>
    <definedName name="coverage">'Imputed Life for ORP Retirees'!$U$43:$W$101</definedName>
    <definedName name="_xlnm.Print_Area" localSheetId="1">'Imputed Life for ORP Retirees'!$A$1:$K$41</definedName>
    <definedName name="Z_252DB083_95AB_4582_8BC4_81FA9B7C456B_.wvu.PrintArea" localSheetId="1" hidden="1">'Imputed Life for ORP Retirees'!$A$1:$K$41</definedName>
    <definedName name="Z_7D9D28F3_8114_45B5_AFC0_2B2A9170F2E9_.wvu.PrintArea" localSheetId="1" hidden="1">'Imputed Life for ORP Retirees'!$A$1:$K$41</definedName>
    <definedName name="Z_86351972_45A2_473A_9847_1C002D938950_.wvu.PrintArea" localSheetId="1" hidden="1">'Imputed Life for ORP Retirees'!$A$1:$K$41</definedName>
  </definedNames>
  <calcPr calcId="191029"/>
  <customWorkbookViews>
    <customWorkbookView name="W2 Data" guid="{252DB083-95AB-4582-8BC4-81FA9B7C456B}" maximized="1" windowWidth="1020" windowHeight="546" activeSheetId="1"/>
    <customWorkbookView name="Coverage Value" guid="{7D9D28F3-8114-45B5-AFC0-2B2A9170F2E9}" maximized="1" windowWidth="1020" windowHeight="546" activeSheetId="1"/>
    <customWorkbookView name="Calculation Detail" guid="{86351972-45A2-473A-9847-1C002D938950}" maximized="1" windowWidth="1020" windowHeight="54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5" i="1" l="1"/>
  <c r="U123" i="1" s="1"/>
  <c r="U107" i="1"/>
  <c r="L9" i="1" s="1"/>
  <c r="U43" i="1"/>
  <c r="U44" i="1"/>
  <c r="V44" i="1" s="1"/>
  <c r="W44" i="1" s="1"/>
  <c r="U47" i="1"/>
  <c r="U48" i="1"/>
  <c r="U49" i="1"/>
  <c r="U50" i="1"/>
  <c r="U51" i="1"/>
  <c r="U52" i="1"/>
  <c r="U53" i="1"/>
  <c r="U54" i="1"/>
  <c r="U55" i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46" i="1"/>
  <c r="U45" i="1"/>
  <c r="U103" i="1"/>
  <c r="B30" i="1" s="1"/>
  <c r="S127" i="1"/>
  <c r="U127" i="1" s="1"/>
  <c r="U129" i="1" s="1"/>
  <c r="U130" i="1" s="1"/>
  <c r="W43" i="1"/>
  <c r="W88" i="1"/>
  <c r="W91" i="1"/>
  <c r="W75" i="1"/>
  <c r="W59" i="1"/>
  <c r="W60" i="1"/>
  <c r="W76" i="1"/>
  <c r="W92" i="1"/>
  <c r="W89" i="1"/>
  <c r="W73" i="1"/>
  <c r="W57" i="1"/>
  <c r="W46" i="1"/>
  <c r="W62" i="1"/>
  <c r="W78" i="1"/>
  <c r="W94" i="1"/>
  <c r="W93" i="1"/>
  <c r="W77" i="1"/>
  <c r="W61" i="1"/>
  <c r="W45" i="1"/>
  <c r="W58" i="1"/>
  <c r="W74" i="1"/>
  <c r="W90" i="1"/>
  <c r="W87" i="1"/>
  <c r="W71" i="1"/>
  <c r="W55" i="1"/>
  <c r="W48" i="1"/>
  <c r="W64" i="1"/>
  <c r="W80" i="1"/>
  <c r="W96" i="1"/>
  <c r="W99" i="1"/>
  <c r="W83" i="1"/>
  <c r="W67" i="1"/>
  <c r="W51" i="1"/>
  <c r="W52" i="1"/>
  <c r="W68" i="1"/>
  <c r="W84" i="1"/>
  <c r="W97" i="1"/>
  <c r="W65" i="1"/>
  <c r="W49" i="1"/>
  <c r="W54" i="1"/>
  <c r="W70" i="1"/>
  <c r="W86" i="1"/>
  <c r="W98" i="1"/>
  <c r="W85" i="1"/>
  <c r="W69" i="1"/>
  <c r="W53" i="1"/>
  <c r="W50" i="1"/>
  <c r="W66" i="1"/>
  <c r="W82" i="1"/>
  <c r="W100" i="1"/>
  <c r="W81" i="1"/>
  <c r="W95" i="1"/>
  <c r="W79" i="1"/>
  <c r="W63" i="1"/>
  <c r="W47" i="1"/>
  <c r="W56" i="1"/>
  <c r="W72" i="1"/>
  <c r="U124" i="1" l="1"/>
  <c r="W105" i="1" s="1"/>
  <c r="U131" i="1" s="1"/>
  <c r="U132" i="1" s="1"/>
  <c r="I31" i="1"/>
  <c r="U133" i="1"/>
  <c r="U134" i="1" l="1"/>
  <c r="I34" i="1" s="1"/>
  <c r="I36" i="1" l="1"/>
  <c r="I38" i="1"/>
</calcChain>
</file>

<file path=xl/sharedStrings.xml><?xml version="1.0" encoding="utf-8"?>
<sst xmlns="http://schemas.openxmlformats.org/spreadsheetml/2006/main" count="80" uniqueCount="79">
  <si>
    <t>Current Life Amount</t>
  </si>
  <si>
    <t>Fully Reduced Amount</t>
  </si>
  <si>
    <t xml:space="preserve">Post Retirement Life Insurance Calculation </t>
  </si>
  <si>
    <t>Current Amount</t>
  </si>
  <si>
    <t xml:space="preserve">25% reduction on January 1st after 12 months from separating service </t>
  </si>
  <si>
    <t>25% reduction every January 1st thereafter</t>
  </si>
  <si>
    <t>Final 25% reduction January 1st to fully reduced amount</t>
  </si>
  <si>
    <t>Name</t>
  </si>
  <si>
    <t>Coverage</t>
  </si>
  <si>
    <t>Age</t>
  </si>
  <si>
    <t>Cost</t>
  </si>
  <si>
    <t xml:space="preserve">Under 25 </t>
  </si>
  <si>
    <t xml:space="preserve">25 through 29 </t>
  </si>
  <si>
    <t xml:space="preserve">30 through 34 </t>
  </si>
  <si>
    <t xml:space="preserve">35 through 39 </t>
  </si>
  <si>
    <t xml:space="preserve">40 through 44 </t>
  </si>
  <si>
    <t xml:space="preserve">45 through 49 </t>
  </si>
  <si>
    <t xml:space="preserve">50 through 54 </t>
  </si>
  <si>
    <t xml:space="preserve">55 through 59 </t>
  </si>
  <si>
    <t xml:space="preserve">60 through 64 </t>
  </si>
  <si>
    <t xml:space="preserve">65 through 69 </t>
  </si>
  <si>
    <t xml:space="preserve">70 and older </t>
  </si>
  <si>
    <t>Salary at Retirement</t>
  </si>
  <si>
    <t>Birthdate</t>
  </si>
  <si>
    <t>Date of Retirement</t>
  </si>
  <si>
    <t>Non-taxable amt</t>
  </si>
  <si>
    <t>Value</t>
  </si>
  <si>
    <t>per 1000</t>
  </si>
  <si>
    <t>rate based on age</t>
  </si>
  <si>
    <t>Cost per 1000 for one month</t>
  </si>
  <si>
    <t>Imputed income/month</t>
  </si>
  <si>
    <t>Number of months</t>
  </si>
  <si>
    <t>Amt reported on W-2</t>
  </si>
  <si>
    <t>Annual salary at date of retirement</t>
  </si>
  <si>
    <t>Reported on W2 for:</t>
  </si>
  <si>
    <t>First Reduction</t>
  </si>
  <si>
    <t>Second Reduction</t>
  </si>
  <si>
    <t>Calendar Year</t>
  </si>
  <si>
    <t>Rate:</t>
  </si>
  <si>
    <t>Enter begin date for the period of time you need to calculate imputed income.</t>
  </si>
  <si>
    <t>Enter end date for the period of time you need to calculate imputed income.</t>
  </si>
  <si>
    <t>This will always be 12/31 of the tax year you are working with.</t>
  </si>
  <si>
    <t>Retiree's name</t>
  </si>
  <si>
    <t>Year Retirement effective</t>
  </si>
  <si>
    <t>Retiree's birthdate</t>
  </si>
  <si>
    <t>Rate &lt; 55</t>
  </si>
  <si>
    <t>Rate =&gt;55</t>
  </si>
  <si>
    <t>Amount Reported in Box M of W2:</t>
  </si>
  <si>
    <t>Amount Reported in Box N of W2:</t>
  </si>
  <si>
    <t>Amount Reported in Box 1, 3, 5</t>
  </si>
  <si>
    <t>&amp; 12 (Code C) of W2:</t>
  </si>
  <si>
    <t>Length of Service (years)</t>
  </si>
  <si>
    <t>Age at Retirement</t>
  </si>
  <si>
    <t>Month</t>
  </si>
  <si>
    <t>Year</t>
  </si>
  <si>
    <t>MM/DD/YYYY</t>
  </si>
  <si>
    <t>retiree must be 50 with 10 yrs service or 55 with 5 years service</t>
  </si>
  <si>
    <t>Length of service - to be eligible for continued coverage under state's GTL policy,</t>
  </si>
  <si>
    <t>MM/DD/YYYY format of effective retirement date - used to determine eligibility for continued coverage</t>
  </si>
  <si>
    <t>for Calendar Year</t>
  </si>
  <si>
    <t>Age as of December 31 of tax year</t>
  </si>
  <si>
    <t>Taxable value</t>
  </si>
  <si>
    <t>Employee ID Number</t>
  </si>
  <si>
    <t>00123456700</t>
  </si>
  <si>
    <t>Agency #</t>
  </si>
  <si>
    <t>Prepared By:</t>
  </si>
  <si>
    <t>Date:</t>
  </si>
  <si>
    <t>If the employee retired in the current year, this date should be the same as # 5 below</t>
  </si>
  <si>
    <t xml:space="preserve">Month Retirement effective </t>
  </si>
  <si>
    <r>
      <t xml:space="preserve">This should be January 1 of the current year if the employee retired in a </t>
    </r>
    <r>
      <rPr>
        <b/>
        <sz val="10"/>
        <rFont val="Arial"/>
        <family val="2"/>
      </rPr>
      <t>prior</t>
    </r>
    <r>
      <rPr>
        <sz val="10"/>
        <rFont val="Arial"/>
        <family val="2"/>
      </rPr>
      <t xml:space="preserve"> calendar year.</t>
    </r>
  </si>
  <si>
    <t>Number of months imputed income</t>
  </si>
  <si>
    <t>Agency Name</t>
  </si>
  <si>
    <t>DOA Use only:</t>
  </si>
  <si>
    <t>EMPL Record #</t>
  </si>
  <si>
    <t>0</t>
  </si>
  <si>
    <t># of months of imputed income to be added</t>
  </si>
  <si>
    <t>If the employee retired in the current year, the Begin Date should be the same as # 5 below</t>
  </si>
  <si>
    <t xml:space="preserve">November </t>
  </si>
  <si>
    <t>last updated 11/15/2024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</si>
</sst>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[$-409]mmmm\ d\,\ yyyy;@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sz val="12"/>
      <name val="Bookshelf Symbol 1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Bookshelf Symbol 1"/>
    </font>
    <font>
      <sz val="10"/>
      <name val="Arial"/>
      <family val="2"/>
    </font>
    <font>
      <vertAlign val="superscript"/>
      <sz val="12"/>
      <name val="Bookshelf Symbol 1"/>
    </font>
    <font>
      <u val="doub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3" fontId="0" fillId="0" borderId="0" xfId="0" applyNumberFormat="1"/>
    <xf numFmtId="49" fontId="0" fillId="0" borderId="0" xfId="0" applyNumberFormat="1"/>
    <xf numFmtId="1" fontId="0" fillId="0" borderId="0" xfId="0" applyNumberFormat="1"/>
    <xf numFmtId="9" fontId="0" fillId="0" borderId="0" xfId="0" applyNumberFormat="1"/>
    <xf numFmtId="0" fontId="6" fillId="0" borderId="0" xfId="0" applyFont="1" applyAlignment="1">
      <alignment wrapText="1"/>
    </xf>
    <xf numFmtId="2" fontId="6" fillId="0" borderId="2" xfId="0" applyNumberFormat="1" applyFont="1" applyBorder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0" fontId="7" fillId="0" borderId="0" xfId="0" applyFont="1"/>
    <xf numFmtId="164" fontId="7" fillId="0" borderId="0" xfId="0" applyNumberFormat="1" applyFont="1"/>
    <xf numFmtId="1" fontId="3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horizontal="left" vertical="top"/>
    </xf>
    <xf numFmtId="0" fontId="0" fillId="2" borderId="4" xfId="0" applyFill="1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8" fillId="2" borderId="6" xfId="0" applyFont="1" applyFill="1" applyBorder="1"/>
    <xf numFmtId="0" fontId="0" fillId="2" borderId="0" xfId="0" applyFill="1"/>
    <xf numFmtId="0" fontId="9" fillId="2" borderId="0" xfId="0" applyFont="1" applyFill="1" applyAlignment="1">
      <alignment horizontal="right"/>
    </xf>
    <xf numFmtId="1" fontId="9" fillId="2" borderId="0" xfId="0" applyNumberFormat="1" applyFont="1" applyFill="1" applyAlignment="1">
      <alignment horizontal="center"/>
    </xf>
    <xf numFmtId="0" fontId="0" fillId="2" borderId="7" xfId="0" applyFill="1" applyBorder="1"/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4" fontId="0" fillId="2" borderId="9" xfId="0" applyNumberFormat="1" applyFill="1" applyBorder="1"/>
    <xf numFmtId="0" fontId="0" fillId="2" borderId="10" xfId="0" applyFill="1" applyBorder="1"/>
    <xf numFmtId="0" fontId="4" fillId="0" borderId="0" xfId="0" applyFont="1"/>
    <xf numFmtId="0" fontId="8" fillId="2" borderId="0" xfId="0" applyFont="1" applyFill="1"/>
    <xf numFmtId="0" fontId="0" fillId="0" borderId="6" xfId="0" applyBorder="1"/>
    <xf numFmtId="14" fontId="10" fillId="3" borderId="11" xfId="0" applyNumberFormat="1" applyFont="1" applyFill="1" applyBorder="1" applyAlignment="1" applyProtection="1">
      <alignment horizontal="center"/>
      <protection locked="0"/>
    </xf>
    <xf numFmtId="0" fontId="10" fillId="3" borderId="11" xfId="0" applyFont="1" applyFill="1" applyBorder="1" applyAlignment="1" applyProtection="1">
      <alignment horizontal="center"/>
      <protection locked="0"/>
    </xf>
    <xf numFmtId="164" fontId="12" fillId="3" borderId="11" xfId="0" applyNumberFormat="1" applyFont="1" applyFill="1" applyBorder="1" applyAlignment="1" applyProtection="1">
      <alignment horizontal="center"/>
      <protection locked="0"/>
    </xf>
    <xf numFmtId="0" fontId="13" fillId="2" borderId="12" xfId="0" applyFont="1" applyFill="1" applyBorder="1"/>
    <xf numFmtId="166" fontId="0" fillId="0" borderId="0" xfId="0" applyNumberFormat="1"/>
    <xf numFmtId="166" fontId="2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 vertical="top"/>
    </xf>
    <xf numFmtId="0" fontId="17" fillId="0" borderId="0" xfId="0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2" fontId="0" fillId="0" borderId="0" xfId="0" applyNumberFormat="1"/>
    <xf numFmtId="2" fontId="15" fillId="0" borderId="0" xfId="0" applyNumberFormat="1" applyFont="1" applyAlignment="1" applyProtection="1">
      <alignment horizontal="center"/>
      <protection locked="0"/>
    </xf>
    <xf numFmtId="49" fontId="10" fillId="3" borderId="1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18" fillId="0" borderId="0" xfId="0" applyFont="1" applyAlignment="1">
      <alignment horizontal="left" vertical="top"/>
    </xf>
    <xf numFmtId="0" fontId="19" fillId="0" borderId="0" xfId="0" applyFont="1"/>
    <xf numFmtId="0" fontId="12" fillId="3" borderId="11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2" fillId="0" borderId="0" xfId="0" applyFont="1"/>
    <xf numFmtId="0" fontId="10" fillId="3" borderId="13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6E86F-CBB5-44DE-A9D2-F9072E345805}">
  <dimension ref="A5:B30"/>
  <sheetViews>
    <sheetView tabSelected="1" workbookViewId="0">
      <selection activeCell="B5" sqref="B5"/>
    </sheetView>
  </sheetViews>
  <sheetFormatPr defaultRowHeight="12.5"/>
  <sheetData>
    <row r="5" spans="1:2">
      <c r="A5">
        <v>1</v>
      </c>
      <c r="B5" t="s">
        <v>39</v>
      </c>
    </row>
    <row r="6" spans="1:2" ht="13">
      <c r="B6" t="s">
        <v>69</v>
      </c>
    </row>
    <row r="7" spans="1:2" ht="13">
      <c r="B7" s="6" t="s">
        <v>67</v>
      </c>
    </row>
    <row r="9" spans="1:2">
      <c r="A9">
        <v>2</v>
      </c>
      <c r="B9" t="s">
        <v>40</v>
      </c>
    </row>
    <row r="10" spans="1:2">
      <c r="B10" t="s">
        <v>41</v>
      </c>
    </row>
    <row r="12" spans="1:2">
      <c r="A12">
        <v>3</v>
      </c>
      <c r="B12" t="s">
        <v>42</v>
      </c>
    </row>
    <row r="14" spans="1:2">
      <c r="A14">
        <v>4</v>
      </c>
      <c r="B14" t="s">
        <v>44</v>
      </c>
    </row>
    <row r="16" spans="1:2">
      <c r="A16">
        <v>5</v>
      </c>
      <c r="B16" t="s">
        <v>68</v>
      </c>
    </row>
    <row r="18" spans="1:2">
      <c r="A18">
        <v>6</v>
      </c>
      <c r="B18" t="s">
        <v>43</v>
      </c>
    </row>
    <row r="20" spans="1:2">
      <c r="A20">
        <v>7</v>
      </c>
      <c r="B20" t="s">
        <v>58</v>
      </c>
    </row>
    <row r="22" spans="1:2">
      <c r="A22">
        <v>8</v>
      </c>
      <c r="B22" t="s">
        <v>57</v>
      </c>
    </row>
    <row r="23" spans="1:2">
      <c r="B23" t="s">
        <v>56</v>
      </c>
    </row>
    <row r="25" spans="1:2">
      <c r="A25">
        <v>9</v>
      </c>
      <c r="B25" t="s">
        <v>33</v>
      </c>
    </row>
    <row r="30" spans="1:2">
      <c r="A30" s="3" t="s">
        <v>78</v>
      </c>
    </row>
  </sheetData>
  <customSheetViews>
    <customSheetView guid="{252DB083-95AB-4582-8BC4-81FA9B7C456B}" showRuler="0">
      <selection activeCell="B21" sqref="B21"/>
      <pageMargins left="0.75" right="0.75" top="1" bottom="1" header="0.5" footer="0.5"/>
      <headerFooter alignWithMargins="0"/>
    </customSheetView>
    <customSheetView guid="{7D9D28F3-8114-45B5-AFC0-2B2A9170F2E9}" showRuler="0">
      <selection activeCell="B21" sqref="B21"/>
      <pageMargins left="0.75" right="0.75" top="1" bottom="1" header="0.5" footer="0.5"/>
      <headerFooter alignWithMargins="0"/>
    </customSheetView>
    <customSheetView guid="{86351972-45A2-473A-9847-1C002D938950}" showRuler="0">
      <selection activeCell="B21" sqref="B21"/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12D5-EFEC-4C2C-AB38-48592DD0D52E}">
  <sheetPr>
    <pageSetUpPr fitToPage="1"/>
  </sheetPr>
  <dimension ref="A2:AJ136"/>
  <sheetViews>
    <sheetView workbookViewId="0">
      <selection activeCell="H24" sqref="H24"/>
    </sheetView>
  </sheetViews>
  <sheetFormatPr defaultRowHeight="12.5"/>
  <cols>
    <col min="1" max="1" width="12.7265625" customWidth="1"/>
    <col min="2" max="2" width="2.7265625" customWidth="1"/>
    <col min="3" max="3" width="12.7265625" customWidth="1"/>
    <col min="4" max="4" width="2.26953125" customWidth="1"/>
    <col min="5" max="5" width="14.453125" bestFit="1" customWidth="1"/>
    <col min="6" max="6" width="2.54296875" bestFit="1" customWidth="1"/>
    <col min="7" max="7" width="2.81640625" customWidth="1"/>
    <col min="8" max="8" width="12.7265625" customWidth="1"/>
    <col min="9" max="9" width="14.453125" customWidth="1"/>
    <col min="10" max="10" width="2.453125" customWidth="1"/>
    <col min="11" max="11" width="12.7265625" customWidth="1"/>
    <col min="12" max="14" width="10.1796875" customWidth="1"/>
    <col min="20" max="20" width="30.453125" bestFit="1" customWidth="1"/>
    <col min="21" max="21" width="12.7265625" bestFit="1" customWidth="1"/>
    <col min="22" max="22" width="11.453125" bestFit="1" customWidth="1"/>
    <col min="26" max="26" width="10.1796875" bestFit="1" customWidth="1"/>
    <col min="36" max="36" width="10.1796875" bestFit="1" customWidth="1"/>
  </cols>
  <sheetData>
    <row r="2" spans="1:24" ht="15.5">
      <c r="A2" s="64" t="s">
        <v>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4" spans="1:24" ht="19.5" customHeight="1">
      <c r="C4" s="7" t="s">
        <v>71</v>
      </c>
      <c r="D4" s="7"/>
      <c r="E4" s="66"/>
      <c r="F4" s="67"/>
      <c r="G4" s="67"/>
      <c r="H4" s="67"/>
      <c r="I4" s="68"/>
      <c r="J4" s="61"/>
      <c r="L4" s="2"/>
      <c r="M4" s="2"/>
      <c r="N4" s="2"/>
      <c r="O4" s="1"/>
      <c r="P4" s="1"/>
      <c r="Q4" s="1"/>
    </row>
    <row r="5" spans="1:24" ht="13">
      <c r="C5" s="7"/>
    </row>
    <row r="6" spans="1:24" ht="19.5" customHeight="1">
      <c r="C6" s="7" t="s">
        <v>64</v>
      </c>
      <c r="D6" s="2"/>
      <c r="E6" s="59"/>
      <c r="H6" s="2"/>
      <c r="K6" s="2"/>
      <c r="L6" s="2"/>
      <c r="M6" s="2"/>
      <c r="N6" s="2"/>
      <c r="O6" s="1"/>
      <c r="P6" s="1"/>
      <c r="Q6" s="1"/>
    </row>
    <row r="7" spans="1:24" ht="13">
      <c r="L7" s="6" t="s">
        <v>76</v>
      </c>
    </row>
    <row r="8" spans="1:24" ht="18.5">
      <c r="C8" s="7" t="s">
        <v>59</v>
      </c>
      <c r="E8" s="44">
        <v>45597</v>
      </c>
      <c r="F8" s="61">
        <v>1</v>
      </c>
      <c r="H8" s="44">
        <v>45657</v>
      </c>
      <c r="I8" s="61">
        <v>2</v>
      </c>
      <c r="L8" t="s">
        <v>75</v>
      </c>
    </row>
    <row r="9" spans="1:24">
      <c r="L9" s="16">
        <f>ROUND(U107,0)</f>
        <v>2</v>
      </c>
    </row>
    <row r="10" spans="1:24">
      <c r="W10" s="1"/>
      <c r="X10" s="1"/>
    </row>
    <row r="11" spans="1:24" ht="19.5" customHeight="1">
      <c r="C11" s="7" t="s">
        <v>7</v>
      </c>
      <c r="D11" s="7"/>
      <c r="E11" s="66"/>
      <c r="F11" s="67"/>
      <c r="G11" s="67"/>
      <c r="H11" s="67"/>
      <c r="I11" s="68"/>
      <c r="J11" s="61">
        <v>3</v>
      </c>
      <c r="L11" s="2"/>
      <c r="M11" s="2"/>
      <c r="N11" s="2"/>
      <c r="O11" s="1"/>
      <c r="P11" s="1"/>
      <c r="Q11" s="1"/>
    </row>
    <row r="12" spans="1:24">
      <c r="C12" s="2"/>
      <c r="D12" s="2"/>
      <c r="H12" s="2"/>
      <c r="K12" s="2"/>
      <c r="L12" s="2"/>
      <c r="M12" s="2"/>
      <c r="N12" s="2"/>
      <c r="O12" s="1"/>
      <c r="P12" s="1"/>
      <c r="Q12" s="1"/>
    </row>
    <row r="13" spans="1:24" ht="19.5" customHeight="1">
      <c r="C13" s="7" t="s">
        <v>62</v>
      </c>
      <c r="D13" s="2"/>
      <c r="E13" s="59" t="s">
        <v>63</v>
      </c>
      <c r="H13" s="2"/>
      <c r="K13" s="2"/>
      <c r="L13" s="2"/>
      <c r="M13" s="2"/>
      <c r="N13" s="2"/>
      <c r="O13" s="1"/>
      <c r="P13" s="1"/>
      <c r="Q13" s="1"/>
    </row>
    <row r="14" spans="1:24">
      <c r="C14" s="2"/>
      <c r="D14" s="2"/>
      <c r="H14" s="2"/>
      <c r="K14" s="2"/>
      <c r="L14" s="2"/>
      <c r="M14" s="2"/>
      <c r="N14" s="2"/>
      <c r="O14" s="1"/>
      <c r="P14" s="1"/>
      <c r="Q14" s="1"/>
    </row>
    <row r="15" spans="1:24" ht="15.5">
      <c r="C15" s="7" t="s">
        <v>73</v>
      </c>
      <c r="D15" s="2"/>
      <c r="E15" s="59" t="s">
        <v>74</v>
      </c>
      <c r="H15" s="2"/>
      <c r="K15" s="2"/>
      <c r="L15" s="2"/>
      <c r="M15" s="2"/>
      <c r="N15" s="2"/>
      <c r="O15" s="1"/>
      <c r="P15" s="1"/>
      <c r="Q15" s="1"/>
    </row>
    <row r="16" spans="1:24">
      <c r="C16" s="2"/>
      <c r="D16" s="2"/>
      <c r="H16" s="2"/>
      <c r="K16" s="2"/>
      <c r="L16" s="2"/>
      <c r="M16" s="2"/>
      <c r="N16" s="2"/>
      <c r="O16" s="1"/>
      <c r="P16" s="1"/>
      <c r="Q16" s="1"/>
    </row>
    <row r="17" spans="2:18" ht="19.5" customHeight="1">
      <c r="C17" s="7" t="s">
        <v>23</v>
      </c>
      <c r="D17" s="7"/>
      <c r="E17" s="44">
        <v>16068</v>
      </c>
      <c r="F17" s="61">
        <v>4</v>
      </c>
    </row>
    <row r="18" spans="2:18">
      <c r="C18" s="2"/>
      <c r="D18" s="2"/>
    </row>
    <row r="19" spans="2:18" ht="19.5" customHeight="1">
      <c r="C19" s="7" t="s">
        <v>24</v>
      </c>
      <c r="D19" s="7"/>
      <c r="E19" s="63" t="s">
        <v>77</v>
      </c>
      <c r="F19" s="61">
        <v>5</v>
      </c>
      <c r="H19" s="45">
        <v>2024</v>
      </c>
      <c r="I19" s="61">
        <v>6</v>
      </c>
      <c r="K19" s="48"/>
      <c r="O19" s="15"/>
      <c r="P19" s="15"/>
      <c r="Q19" s="15"/>
      <c r="R19" s="2"/>
    </row>
    <row r="20" spans="2:18" ht="13">
      <c r="C20" s="7"/>
      <c r="D20" s="7"/>
      <c r="E20" s="49" t="s">
        <v>53</v>
      </c>
      <c r="H20" s="49" t="s">
        <v>54</v>
      </c>
      <c r="K20" s="48"/>
      <c r="O20" s="15"/>
      <c r="P20" s="15"/>
      <c r="Q20" s="15"/>
      <c r="R20" s="2"/>
    </row>
    <row r="21" spans="2:18" ht="6" customHeight="1">
      <c r="C21" s="7"/>
      <c r="D21" s="7"/>
      <c r="E21" s="49"/>
      <c r="H21" s="49"/>
      <c r="K21" s="48"/>
      <c r="O21" s="15"/>
      <c r="P21" s="15"/>
      <c r="Q21" s="15"/>
      <c r="R21" s="2"/>
    </row>
    <row r="22" spans="2:18" ht="19.5" customHeight="1">
      <c r="C22" s="7"/>
      <c r="D22" s="7"/>
      <c r="E22" s="44">
        <v>45597</v>
      </c>
      <c r="F22" s="61">
        <v>7</v>
      </c>
      <c r="H22" s="49"/>
      <c r="K22" s="48"/>
      <c r="O22" s="15"/>
      <c r="P22" s="15"/>
      <c r="Q22" s="15"/>
      <c r="R22" s="2"/>
    </row>
    <row r="23" spans="2:18" ht="13">
      <c r="C23" s="7"/>
      <c r="D23" s="7"/>
      <c r="E23" s="49" t="s">
        <v>55</v>
      </c>
      <c r="H23" s="49"/>
      <c r="K23" s="48"/>
      <c r="O23" s="15"/>
      <c r="P23" s="15"/>
      <c r="Q23" s="15"/>
      <c r="R23" s="2"/>
    </row>
    <row r="24" spans="2:18" ht="15.5">
      <c r="C24" s="7"/>
      <c r="D24" s="7"/>
      <c r="I24" s="25"/>
      <c r="O24" s="15"/>
      <c r="P24" s="15"/>
      <c r="Q24" s="15"/>
      <c r="R24" s="2"/>
    </row>
    <row r="25" spans="2:18" ht="19.5" customHeight="1">
      <c r="C25" s="7" t="s">
        <v>51</v>
      </c>
      <c r="D25" s="7"/>
      <c r="E25" s="45">
        <v>15</v>
      </c>
      <c r="F25" s="61">
        <v>8</v>
      </c>
      <c r="I25" s="25"/>
      <c r="O25" s="15"/>
      <c r="P25" s="15"/>
      <c r="Q25" s="15"/>
      <c r="R25" s="2"/>
    </row>
    <row r="26" spans="2:18" ht="15.5">
      <c r="C26" s="7"/>
      <c r="D26" s="7"/>
      <c r="I26" s="25"/>
      <c r="O26" s="15"/>
      <c r="P26" s="15"/>
      <c r="Q26" s="15"/>
      <c r="R26" s="2"/>
    </row>
    <row r="27" spans="2:18" ht="19.5" customHeight="1">
      <c r="C27" s="7" t="s">
        <v>22</v>
      </c>
      <c r="D27" s="7"/>
      <c r="E27" s="46">
        <v>129364</v>
      </c>
      <c r="F27" s="61">
        <v>9</v>
      </c>
      <c r="G27" s="3"/>
    </row>
    <row r="28" spans="2:18" ht="13">
      <c r="E28" s="7"/>
      <c r="G28" s="22"/>
      <c r="H28" s="5"/>
      <c r="I28" s="3"/>
    </row>
    <row r="29" spans="2:18">
      <c r="E29" s="2"/>
    </row>
    <row r="30" spans="2:18" ht="15.5">
      <c r="B30" s="47" t="str">
        <f>IF(OR(AND($U$103&gt;49,$U$103&lt;55,$E$25&gt;9),AND($U$103&gt;54,$E$25&gt;4))," ","EMPLOYEE INELIGIBLE FOR CONTINUED GTL COVERAGE")</f>
        <v xml:space="preserve"> </v>
      </c>
      <c r="C30" s="27"/>
      <c r="D30" s="27"/>
      <c r="E30" s="26"/>
      <c r="F30" s="27"/>
      <c r="G30" s="27"/>
      <c r="H30" s="27"/>
      <c r="I30" s="27"/>
      <c r="J30" s="28"/>
      <c r="K30" s="43"/>
      <c r="L30" s="16"/>
    </row>
    <row r="31" spans="2:18" ht="13">
      <c r="B31" s="29"/>
      <c r="C31" s="42"/>
      <c r="D31" s="42"/>
      <c r="E31" s="30"/>
      <c r="F31" s="30"/>
      <c r="G31" s="31" t="s">
        <v>34</v>
      </c>
      <c r="H31" s="30"/>
      <c r="I31" s="32">
        <f>IF(B30=" ",S127,"N/A")</f>
        <v>2024</v>
      </c>
      <c r="J31" s="33"/>
      <c r="K31" s="43"/>
    </row>
    <row r="32" spans="2:18">
      <c r="B32" s="29"/>
      <c r="C32" s="42"/>
      <c r="D32" s="42"/>
      <c r="E32" s="30"/>
      <c r="F32" s="30"/>
      <c r="G32" s="34"/>
      <c r="H32" s="30"/>
      <c r="I32" s="35"/>
      <c r="J32" s="33"/>
      <c r="K32" s="43"/>
      <c r="L32" s="41"/>
    </row>
    <row r="33" spans="2:25" ht="13">
      <c r="B33" s="29"/>
      <c r="C33" s="42"/>
      <c r="D33" s="42"/>
      <c r="E33" s="30"/>
      <c r="F33" s="30"/>
      <c r="G33" s="31" t="s">
        <v>49</v>
      </c>
      <c r="H33" s="30"/>
      <c r="I33" s="35"/>
      <c r="J33" s="33"/>
      <c r="K33" s="43"/>
    </row>
    <row r="34" spans="2:25" ht="13">
      <c r="B34" s="29"/>
      <c r="C34" s="42"/>
      <c r="D34" s="42"/>
      <c r="E34" s="30"/>
      <c r="F34" s="30"/>
      <c r="G34" s="31" t="s">
        <v>50</v>
      </c>
      <c r="H34" s="30"/>
      <c r="I34" s="36">
        <f>U134</f>
        <v>865.2</v>
      </c>
      <c r="J34" s="33"/>
      <c r="K34" s="43"/>
      <c r="W34" s="17"/>
      <c r="X34" s="17"/>
      <c r="Y34" s="17"/>
    </row>
    <row r="35" spans="2:25" ht="13">
      <c r="B35" s="29"/>
      <c r="C35" s="42"/>
      <c r="D35" s="42"/>
      <c r="E35" s="30"/>
      <c r="F35" s="30"/>
      <c r="G35" s="31"/>
      <c r="H35" s="30"/>
      <c r="I35" s="36"/>
      <c r="J35" s="33"/>
      <c r="K35" s="43"/>
      <c r="W35" s="17"/>
      <c r="X35" s="17"/>
      <c r="Y35" s="17"/>
    </row>
    <row r="36" spans="2:25" ht="13">
      <c r="B36" s="29"/>
      <c r="C36" s="42"/>
      <c r="D36" s="42"/>
      <c r="E36" s="30"/>
      <c r="F36" s="30"/>
      <c r="G36" s="31" t="s">
        <v>47</v>
      </c>
      <c r="H36" s="30"/>
      <c r="I36" s="36">
        <f>I34*0.062</f>
        <v>53.642400000000002</v>
      </c>
      <c r="J36" s="33"/>
      <c r="K36" s="43"/>
      <c r="W36" s="17"/>
      <c r="X36" s="17"/>
      <c r="Y36" s="17"/>
    </row>
    <row r="37" spans="2:25" ht="13">
      <c r="B37" s="29"/>
      <c r="C37" s="42"/>
      <c r="D37" s="42"/>
      <c r="E37" s="30"/>
      <c r="F37" s="30"/>
      <c r="G37" s="31"/>
      <c r="H37" s="30"/>
      <c r="I37" s="36"/>
      <c r="J37" s="33"/>
      <c r="K37" s="43"/>
      <c r="W37" s="17"/>
      <c r="X37" s="17"/>
      <c r="Y37" s="17"/>
    </row>
    <row r="38" spans="2:25" ht="13">
      <c r="B38" s="29"/>
      <c r="C38" s="42"/>
      <c r="D38" s="42"/>
      <c r="E38" s="30"/>
      <c r="F38" s="30"/>
      <c r="G38" s="31" t="s">
        <v>48</v>
      </c>
      <c r="H38" s="30"/>
      <c r="I38" s="36">
        <f>I34*0.0145</f>
        <v>12.545400000000001</v>
      </c>
      <c r="J38" s="33"/>
      <c r="K38" s="43"/>
      <c r="W38" s="17"/>
      <c r="X38" s="17"/>
      <c r="Y38" s="17"/>
    </row>
    <row r="39" spans="2:25">
      <c r="B39" s="37"/>
      <c r="C39" s="38"/>
      <c r="D39" s="38"/>
      <c r="E39" s="38"/>
      <c r="F39" s="38"/>
      <c r="G39" s="39"/>
      <c r="H39" s="38"/>
      <c r="I39" s="38"/>
      <c r="J39" s="40"/>
      <c r="K39" s="43"/>
    </row>
    <row r="40" spans="2:25">
      <c r="J40" s="21"/>
    </row>
    <row r="41" spans="2:25">
      <c r="E41" s="4"/>
    </row>
    <row r="42" spans="2:25" ht="13" thickBot="1">
      <c r="B42" t="s">
        <v>65</v>
      </c>
      <c r="D42" s="60"/>
      <c r="E42" s="60"/>
      <c r="F42" s="60"/>
      <c r="H42" s="2" t="s">
        <v>66</v>
      </c>
      <c r="I42" s="60"/>
      <c r="J42" s="60"/>
      <c r="U42" s="41" t="s">
        <v>37</v>
      </c>
      <c r="V42" s="4"/>
      <c r="W42" s="9" t="s">
        <v>8</v>
      </c>
    </row>
    <row r="43" spans="2:25" ht="13">
      <c r="T43" s="2" t="s">
        <v>0</v>
      </c>
      <c r="U43" s="6">
        <f>H19</f>
        <v>2024</v>
      </c>
      <c r="V43" s="50">
        <v>1</v>
      </c>
      <c r="W43" s="8">
        <f>(ROUNDUP($E$27,-3)*2)</f>
        <v>260000</v>
      </c>
      <c r="Y43" s="3" t="s">
        <v>3</v>
      </c>
    </row>
    <row r="44" spans="2:25" ht="13.5" thickBot="1">
      <c r="B44" s="21" t="s">
        <v>72</v>
      </c>
      <c r="D44" s="60"/>
      <c r="E44" s="60"/>
      <c r="F44" s="60"/>
      <c r="H44" s="2" t="s">
        <v>66</v>
      </c>
      <c r="I44" s="60"/>
      <c r="J44" s="60"/>
      <c r="T44" s="2"/>
      <c r="U44" s="7">
        <f>IF($E$19&lt;&gt;"January",U43+1," ")</f>
        <v>2025</v>
      </c>
      <c r="V44" s="50">
        <f>IF(U44&lt;&gt;" ",V43," ")</f>
        <v>1</v>
      </c>
      <c r="W44" s="8">
        <f>IF(V44&gt;0,$W$43," ")</f>
        <v>260000</v>
      </c>
    </row>
    <row r="45" spans="2:25" ht="13">
      <c r="D45" s="21"/>
      <c r="T45" s="2" t="s">
        <v>35</v>
      </c>
      <c r="U45" s="6">
        <f>IF($E$19="January",$H$19+1,$H$19+2)</f>
        <v>2026</v>
      </c>
      <c r="V45" s="50">
        <v>0.75</v>
      </c>
      <c r="W45" s="8">
        <f>$W$43*0.75</f>
        <v>195000</v>
      </c>
      <c r="Y45" s="3" t="s">
        <v>4</v>
      </c>
    </row>
    <row r="46" spans="2:25" ht="13">
      <c r="T46" s="2" t="s">
        <v>36</v>
      </c>
      <c r="U46" s="6">
        <f>IF($E$19="January",$H$19+2,$H$19+3)</f>
        <v>2027</v>
      </c>
      <c r="V46" s="50">
        <v>0.5</v>
      </c>
      <c r="W46" s="8">
        <f>$W$43*0.5</f>
        <v>130000</v>
      </c>
      <c r="Y46" s="3" t="s">
        <v>5</v>
      </c>
    </row>
    <row r="47" spans="2:25" ht="13">
      <c r="T47" s="2" t="s">
        <v>1</v>
      </c>
      <c r="U47" s="6">
        <f>IF($E$19="January",$H$19+3,$H$19+4)</f>
        <v>2028</v>
      </c>
      <c r="V47" s="50">
        <v>0.25</v>
      </c>
      <c r="W47" s="8">
        <f>$W$43*0.25</f>
        <v>65000</v>
      </c>
      <c r="Y47" s="3" t="s">
        <v>6</v>
      </c>
    </row>
    <row r="48" spans="2:25" ht="13">
      <c r="T48" s="2"/>
      <c r="U48" s="6">
        <f t="shared" ref="U48:U97" si="0">U47+1</f>
        <v>2029</v>
      </c>
      <c r="V48" s="50">
        <v>0.25</v>
      </c>
      <c r="W48" s="8">
        <f t="shared" ref="W48:W100" si="1">$W$43*0.25</f>
        <v>65000</v>
      </c>
    </row>
    <row r="49" spans="20:23" ht="13">
      <c r="T49" s="2"/>
      <c r="U49" s="6">
        <f t="shared" si="0"/>
        <v>2030</v>
      </c>
      <c r="V49" s="50">
        <v>0.25</v>
      </c>
      <c r="W49" s="8">
        <f t="shared" si="1"/>
        <v>65000</v>
      </c>
    </row>
    <row r="50" spans="20:23" ht="13">
      <c r="T50" s="2"/>
      <c r="U50" s="6">
        <f t="shared" si="0"/>
        <v>2031</v>
      </c>
      <c r="V50" s="50">
        <v>0.25</v>
      </c>
      <c r="W50" s="8">
        <f t="shared" si="1"/>
        <v>65000</v>
      </c>
    </row>
    <row r="51" spans="20:23" ht="13">
      <c r="T51" s="2"/>
      <c r="U51" s="6">
        <f t="shared" si="0"/>
        <v>2032</v>
      </c>
      <c r="V51" s="50">
        <v>0.25</v>
      </c>
      <c r="W51" s="8">
        <f t="shared" si="1"/>
        <v>65000</v>
      </c>
    </row>
    <row r="52" spans="20:23" ht="13">
      <c r="T52" s="2"/>
      <c r="U52" s="6">
        <f t="shared" si="0"/>
        <v>2033</v>
      </c>
      <c r="V52" s="50">
        <v>0.25</v>
      </c>
      <c r="W52" s="8">
        <f t="shared" si="1"/>
        <v>65000</v>
      </c>
    </row>
    <row r="53" spans="20:23" ht="13">
      <c r="T53" s="2"/>
      <c r="U53" s="6">
        <f t="shared" si="0"/>
        <v>2034</v>
      </c>
      <c r="V53" s="50">
        <v>0.25</v>
      </c>
      <c r="W53" s="8">
        <f t="shared" si="1"/>
        <v>65000</v>
      </c>
    </row>
    <row r="54" spans="20:23" ht="13">
      <c r="T54" s="2"/>
      <c r="U54" s="6">
        <f t="shared" si="0"/>
        <v>2035</v>
      </c>
      <c r="V54" s="50">
        <v>0.25</v>
      </c>
      <c r="W54" s="8">
        <f t="shared" si="1"/>
        <v>65000</v>
      </c>
    </row>
    <row r="55" spans="20:23" ht="13">
      <c r="T55" s="2"/>
      <c r="U55" s="6">
        <f t="shared" si="0"/>
        <v>2036</v>
      </c>
      <c r="V55" s="50">
        <v>0.25</v>
      </c>
      <c r="W55" s="8">
        <f t="shared" si="1"/>
        <v>65000</v>
      </c>
    </row>
    <row r="56" spans="20:23" ht="13">
      <c r="T56" s="2"/>
      <c r="U56" s="6">
        <f t="shared" si="0"/>
        <v>2037</v>
      </c>
      <c r="V56" s="50">
        <v>0.25</v>
      </c>
      <c r="W56" s="8">
        <f t="shared" si="1"/>
        <v>65000</v>
      </c>
    </row>
    <row r="57" spans="20:23" ht="13">
      <c r="T57" s="2"/>
      <c r="U57" s="6">
        <f t="shared" si="0"/>
        <v>2038</v>
      </c>
      <c r="V57" s="50">
        <v>0.25</v>
      </c>
      <c r="W57" s="8">
        <f t="shared" si="1"/>
        <v>65000</v>
      </c>
    </row>
    <row r="58" spans="20:23" ht="13">
      <c r="T58" s="2"/>
      <c r="U58" s="6">
        <f t="shared" si="0"/>
        <v>2039</v>
      </c>
      <c r="V58" s="50">
        <v>0.25</v>
      </c>
      <c r="W58" s="8">
        <f t="shared" si="1"/>
        <v>65000</v>
      </c>
    </row>
    <row r="59" spans="20:23" ht="13">
      <c r="T59" s="2"/>
      <c r="U59" s="6">
        <f t="shared" si="0"/>
        <v>2040</v>
      </c>
      <c r="V59" s="50">
        <v>0.25</v>
      </c>
      <c r="W59" s="8">
        <f t="shared" si="1"/>
        <v>65000</v>
      </c>
    </row>
    <row r="60" spans="20:23" ht="13">
      <c r="T60" s="2"/>
      <c r="U60" s="6">
        <f t="shared" si="0"/>
        <v>2041</v>
      </c>
      <c r="V60" s="50">
        <v>0.25</v>
      </c>
      <c r="W60" s="8">
        <f t="shared" si="1"/>
        <v>65000</v>
      </c>
    </row>
    <row r="61" spans="20:23" ht="13">
      <c r="T61" s="2"/>
      <c r="U61" s="6">
        <f t="shared" si="0"/>
        <v>2042</v>
      </c>
      <c r="V61" s="50">
        <v>0.25</v>
      </c>
      <c r="W61" s="8">
        <f t="shared" si="1"/>
        <v>65000</v>
      </c>
    </row>
    <row r="62" spans="20:23" ht="13">
      <c r="T62" s="2"/>
      <c r="U62" s="6">
        <f t="shared" si="0"/>
        <v>2043</v>
      </c>
      <c r="V62" s="50">
        <v>0.25</v>
      </c>
      <c r="W62" s="8">
        <f t="shared" si="1"/>
        <v>65000</v>
      </c>
    </row>
    <row r="63" spans="20:23" ht="13">
      <c r="T63" s="2"/>
      <c r="U63" s="6">
        <f t="shared" si="0"/>
        <v>2044</v>
      </c>
      <c r="V63" s="50">
        <v>0.25</v>
      </c>
      <c r="W63" s="8">
        <f t="shared" si="1"/>
        <v>65000</v>
      </c>
    </row>
    <row r="64" spans="20:23" ht="13">
      <c r="T64" s="2"/>
      <c r="U64" s="6">
        <f t="shared" si="0"/>
        <v>2045</v>
      </c>
      <c r="V64" s="50">
        <v>0.25</v>
      </c>
      <c r="W64" s="8">
        <f t="shared" si="1"/>
        <v>65000</v>
      </c>
    </row>
    <row r="65" spans="20:23" ht="13">
      <c r="T65" s="2"/>
      <c r="U65" s="6">
        <f t="shared" si="0"/>
        <v>2046</v>
      </c>
      <c r="V65" s="50">
        <v>0.25</v>
      </c>
      <c r="W65" s="8">
        <f t="shared" si="1"/>
        <v>65000</v>
      </c>
    </row>
    <row r="66" spans="20:23" ht="13">
      <c r="T66" s="2"/>
      <c r="U66" s="6">
        <f t="shared" si="0"/>
        <v>2047</v>
      </c>
      <c r="V66" s="50">
        <v>0.25</v>
      </c>
      <c r="W66" s="8">
        <f t="shared" si="1"/>
        <v>65000</v>
      </c>
    </row>
    <row r="67" spans="20:23" ht="13">
      <c r="T67" s="2"/>
      <c r="U67" s="6">
        <f t="shared" si="0"/>
        <v>2048</v>
      </c>
      <c r="V67" s="50">
        <v>0.25</v>
      </c>
      <c r="W67" s="8">
        <f t="shared" si="1"/>
        <v>65000</v>
      </c>
    </row>
    <row r="68" spans="20:23" ht="13">
      <c r="T68" s="2"/>
      <c r="U68" s="6">
        <f t="shared" si="0"/>
        <v>2049</v>
      </c>
      <c r="V68" s="50">
        <v>0.25</v>
      </c>
      <c r="W68" s="8">
        <f t="shared" si="1"/>
        <v>65000</v>
      </c>
    </row>
    <row r="69" spans="20:23" ht="13">
      <c r="T69" s="2"/>
      <c r="U69" s="6">
        <f t="shared" si="0"/>
        <v>2050</v>
      </c>
      <c r="V69" s="50">
        <v>0.25</v>
      </c>
      <c r="W69" s="8">
        <f t="shared" si="1"/>
        <v>65000</v>
      </c>
    </row>
    <row r="70" spans="20:23" ht="13">
      <c r="T70" s="2"/>
      <c r="U70" s="6">
        <f t="shared" si="0"/>
        <v>2051</v>
      </c>
      <c r="V70" s="50">
        <v>0.25</v>
      </c>
      <c r="W70" s="8">
        <f t="shared" si="1"/>
        <v>65000</v>
      </c>
    </row>
    <row r="71" spans="20:23" ht="13">
      <c r="T71" s="2"/>
      <c r="U71" s="6">
        <f t="shared" si="0"/>
        <v>2052</v>
      </c>
      <c r="V71" s="50">
        <v>0.25</v>
      </c>
      <c r="W71" s="8">
        <f t="shared" si="1"/>
        <v>65000</v>
      </c>
    </row>
    <row r="72" spans="20:23" ht="13">
      <c r="T72" s="2"/>
      <c r="U72" s="6">
        <f t="shared" si="0"/>
        <v>2053</v>
      </c>
      <c r="V72" s="50">
        <v>0.25</v>
      </c>
      <c r="W72" s="8">
        <f t="shared" si="1"/>
        <v>65000</v>
      </c>
    </row>
    <row r="73" spans="20:23" ht="13">
      <c r="T73" s="2"/>
      <c r="U73" s="6">
        <f t="shared" si="0"/>
        <v>2054</v>
      </c>
      <c r="V73" s="50">
        <v>0.25</v>
      </c>
      <c r="W73" s="8">
        <f t="shared" si="1"/>
        <v>65000</v>
      </c>
    </row>
    <row r="74" spans="20:23" ht="13">
      <c r="T74" s="2"/>
      <c r="U74" s="6">
        <f t="shared" si="0"/>
        <v>2055</v>
      </c>
      <c r="V74" s="50">
        <v>0.25</v>
      </c>
      <c r="W74" s="8">
        <f t="shared" si="1"/>
        <v>65000</v>
      </c>
    </row>
    <row r="75" spans="20:23" ht="13">
      <c r="T75" s="2"/>
      <c r="U75" s="6">
        <f t="shared" si="0"/>
        <v>2056</v>
      </c>
      <c r="V75" s="50">
        <v>0.25</v>
      </c>
      <c r="W75" s="8">
        <f t="shared" si="1"/>
        <v>65000</v>
      </c>
    </row>
    <row r="76" spans="20:23" ht="13">
      <c r="T76" s="2"/>
      <c r="U76" s="6">
        <f t="shared" si="0"/>
        <v>2057</v>
      </c>
      <c r="V76" s="50">
        <v>0.25</v>
      </c>
      <c r="W76" s="8">
        <f t="shared" si="1"/>
        <v>65000</v>
      </c>
    </row>
    <row r="77" spans="20:23" ht="13">
      <c r="T77" s="2"/>
      <c r="U77" s="6">
        <f t="shared" si="0"/>
        <v>2058</v>
      </c>
      <c r="V77" s="50">
        <v>0.25</v>
      </c>
      <c r="W77" s="8">
        <f t="shared" si="1"/>
        <v>65000</v>
      </c>
    </row>
    <row r="78" spans="20:23" ht="13">
      <c r="T78" s="2"/>
      <c r="U78" s="6">
        <f t="shared" si="0"/>
        <v>2059</v>
      </c>
      <c r="V78" s="50">
        <v>0.25</v>
      </c>
      <c r="W78" s="8">
        <f t="shared" si="1"/>
        <v>65000</v>
      </c>
    </row>
    <row r="79" spans="20:23" ht="13">
      <c r="T79" s="2"/>
      <c r="U79" s="6">
        <f t="shared" si="0"/>
        <v>2060</v>
      </c>
      <c r="V79" s="50">
        <v>0.25</v>
      </c>
      <c r="W79" s="8">
        <f t="shared" si="1"/>
        <v>65000</v>
      </c>
    </row>
    <row r="80" spans="20:23" ht="13">
      <c r="T80" s="2"/>
      <c r="U80" s="6">
        <f t="shared" si="0"/>
        <v>2061</v>
      </c>
      <c r="V80" s="50">
        <v>0.25</v>
      </c>
      <c r="W80" s="8">
        <f t="shared" si="1"/>
        <v>65000</v>
      </c>
    </row>
    <row r="81" spans="20:23" ht="13">
      <c r="T81" s="2"/>
      <c r="U81" s="6">
        <f t="shared" si="0"/>
        <v>2062</v>
      </c>
      <c r="V81" s="50">
        <v>0.25</v>
      </c>
      <c r="W81" s="8">
        <f t="shared" si="1"/>
        <v>65000</v>
      </c>
    </row>
    <row r="82" spans="20:23" ht="13">
      <c r="T82" s="2"/>
      <c r="U82" s="6">
        <f t="shared" si="0"/>
        <v>2063</v>
      </c>
      <c r="V82" s="50">
        <v>0.25</v>
      </c>
      <c r="W82" s="8">
        <f t="shared" si="1"/>
        <v>65000</v>
      </c>
    </row>
    <row r="83" spans="20:23" ht="13">
      <c r="T83" s="2"/>
      <c r="U83" s="6">
        <f t="shared" si="0"/>
        <v>2064</v>
      </c>
      <c r="V83" s="50">
        <v>0.25</v>
      </c>
      <c r="W83" s="8">
        <f t="shared" si="1"/>
        <v>65000</v>
      </c>
    </row>
    <row r="84" spans="20:23" ht="13">
      <c r="T84" s="2"/>
      <c r="U84" s="6">
        <f t="shared" si="0"/>
        <v>2065</v>
      </c>
      <c r="V84" s="50">
        <v>0.25</v>
      </c>
      <c r="W84" s="8">
        <f t="shared" si="1"/>
        <v>65000</v>
      </c>
    </row>
    <row r="85" spans="20:23" ht="13">
      <c r="T85" s="2"/>
      <c r="U85" s="6">
        <f t="shared" si="0"/>
        <v>2066</v>
      </c>
      <c r="V85" s="50">
        <v>0.25</v>
      </c>
      <c r="W85" s="8">
        <f t="shared" si="1"/>
        <v>65000</v>
      </c>
    </row>
    <row r="86" spans="20:23" ht="13">
      <c r="T86" s="2"/>
      <c r="U86" s="6">
        <f t="shared" si="0"/>
        <v>2067</v>
      </c>
      <c r="V86" s="50">
        <v>0.25</v>
      </c>
      <c r="W86" s="8">
        <f t="shared" si="1"/>
        <v>65000</v>
      </c>
    </row>
    <row r="87" spans="20:23" ht="13">
      <c r="T87" s="2"/>
      <c r="U87" s="6">
        <f t="shared" si="0"/>
        <v>2068</v>
      </c>
      <c r="V87" s="50">
        <v>0.25</v>
      </c>
      <c r="W87" s="8">
        <f t="shared" si="1"/>
        <v>65000</v>
      </c>
    </row>
    <row r="88" spans="20:23" ht="13">
      <c r="T88" s="2"/>
      <c r="U88" s="6">
        <f t="shared" si="0"/>
        <v>2069</v>
      </c>
      <c r="V88" s="50">
        <v>0.25</v>
      </c>
      <c r="W88" s="8">
        <f t="shared" si="1"/>
        <v>65000</v>
      </c>
    </row>
    <row r="89" spans="20:23" ht="13">
      <c r="T89" s="2"/>
      <c r="U89" s="6">
        <f t="shared" si="0"/>
        <v>2070</v>
      </c>
      <c r="V89" s="50">
        <v>0.25</v>
      </c>
      <c r="W89" s="8">
        <f t="shared" si="1"/>
        <v>65000</v>
      </c>
    </row>
    <row r="90" spans="20:23" ht="13">
      <c r="T90" s="2"/>
      <c r="U90" s="6">
        <f t="shared" si="0"/>
        <v>2071</v>
      </c>
      <c r="V90" s="50">
        <v>0.25</v>
      </c>
      <c r="W90" s="8">
        <f t="shared" si="1"/>
        <v>65000</v>
      </c>
    </row>
    <row r="91" spans="20:23" ht="13">
      <c r="T91" s="2"/>
      <c r="U91" s="6">
        <f t="shared" si="0"/>
        <v>2072</v>
      </c>
      <c r="V91" s="50">
        <v>0.25</v>
      </c>
      <c r="W91" s="8">
        <f t="shared" si="1"/>
        <v>65000</v>
      </c>
    </row>
    <row r="92" spans="20:23" ht="13">
      <c r="T92" s="2"/>
      <c r="U92" s="6">
        <f t="shared" si="0"/>
        <v>2073</v>
      </c>
      <c r="V92" s="50">
        <v>0.25</v>
      </c>
      <c r="W92" s="8">
        <f t="shared" si="1"/>
        <v>65000</v>
      </c>
    </row>
    <row r="93" spans="20:23" ht="13">
      <c r="T93" s="2"/>
      <c r="U93" s="6">
        <f t="shared" si="0"/>
        <v>2074</v>
      </c>
      <c r="V93" s="50">
        <v>0.25</v>
      </c>
      <c r="W93" s="8">
        <f t="shared" si="1"/>
        <v>65000</v>
      </c>
    </row>
    <row r="94" spans="20:23" ht="13">
      <c r="T94" s="2"/>
      <c r="U94" s="6">
        <f t="shared" si="0"/>
        <v>2075</v>
      </c>
      <c r="V94" s="50">
        <v>0.25</v>
      </c>
      <c r="W94" s="8">
        <f t="shared" si="1"/>
        <v>65000</v>
      </c>
    </row>
    <row r="95" spans="20:23" ht="13">
      <c r="T95" s="2"/>
      <c r="U95" s="6">
        <f t="shared" si="0"/>
        <v>2076</v>
      </c>
      <c r="V95" s="50">
        <v>0.25</v>
      </c>
      <c r="W95" s="8">
        <f t="shared" si="1"/>
        <v>65000</v>
      </c>
    </row>
    <row r="96" spans="20:23" ht="13">
      <c r="T96" s="2"/>
      <c r="U96" s="6">
        <f t="shared" si="0"/>
        <v>2077</v>
      </c>
      <c r="V96" s="50">
        <v>0.25</v>
      </c>
      <c r="W96" s="8">
        <f t="shared" si="1"/>
        <v>65000</v>
      </c>
    </row>
    <row r="97" spans="20:26" ht="13">
      <c r="T97" s="2"/>
      <c r="U97" s="6">
        <f t="shared" si="0"/>
        <v>2078</v>
      </c>
      <c r="V97" s="50">
        <v>0.25</v>
      </c>
      <c r="W97" s="8">
        <f t="shared" si="1"/>
        <v>65000</v>
      </c>
    </row>
    <row r="98" spans="20:26" ht="13">
      <c r="T98" s="2"/>
      <c r="U98" s="6">
        <f>U97+1</f>
        <v>2079</v>
      </c>
      <c r="V98" s="50">
        <v>0.25</v>
      </c>
      <c r="W98" s="8">
        <f t="shared" si="1"/>
        <v>65000</v>
      </c>
    </row>
    <row r="99" spans="20:26" ht="13">
      <c r="T99" s="2"/>
      <c r="U99" s="6">
        <f>U98+1</f>
        <v>2080</v>
      </c>
      <c r="V99" s="50">
        <v>0.25</v>
      </c>
      <c r="W99" s="8">
        <f t="shared" si="1"/>
        <v>65000</v>
      </c>
    </row>
    <row r="100" spans="20:26" ht="13">
      <c r="T100" s="2"/>
      <c r="U100" s="6">
        <f>U99+1</f>
        <v>2081</v>
      </c>
      <c r="V100" s="50">
        <v>0.25</v>
      </c>
      <c r="W100" s="8">
        <f t="shared" si="1"/>
        <v>65000</v>
      </c>
    </row>
    <row r="103" spans="20:26">
      <c r="T103" s="51" t="s">
        <v>52</v>
      </c>
      <c r="U103" s="58">
        <f>(E22-E17)/365.5</f>
        <v>80.79069767441861</v>
      </c>
      <c r="V103" s="52"/>
      <c r="W103" s="53"/>
    </row>
    <row r="104" spans="20:26">
      <c r="T104" s="54"/>
      <c r="U104" s="56"/>
      <c r="V104" s="54"/>
      <c r="W104" s="54"/>
    </row>
    <row r="105" spans="20:26">
      <c r="T105" s="54" t="s">
        <v>60</v>
      </c>
      <c r="U105" s="16">
        <f>YEAR(H8)-YEAR(E17)</f>
        <v>81</v>
      </c>
      <c r="V105" s="55" t="s">
        <v>38</v>
      </c>
      <c r="W105" s="56">
        <f>IF(U105&lt;55,U123,U124)</f>
        <v>2.06</v>
      </c>
    </row>
    <row r="107" spans="20:26">
      <c r="T107" t="s">
        <v>70</v>
      </c>
      <c r="U107" s="16">
        <f>ROUND(('Imputed Life for ORP Retirees'!H8-'Imputed Life for ORP Retirees'!E8)/(365/12),1)</f>
        <v>2</v>
      </c>
    </row>
    <row r="109" spans="20:26">
      <c r="T109" t="s">
        <v>29</v>
      </c>
    </row>
    <row r="110" spans="20:26" ht="12.75" customHeight="1" thickBot="1">
      <c r="T110" s="10" t="s">
        <v>9</v>
      </c>
      <c r="U110" s="11" t="s">
        <v>10</v>
      </c>
    </row>
    <row r="111" spans="20:26" ht="12.75" customHeight="1" thickBot="1">
      <c r="T111" s="12" t="s">
        <v>11</v>
      </c>
      <c r="U111" s="19">
        <v>0.05</v>
      </c>
    </row>
    <row r="112" spans="20:26" ht="12.75" customHeight="1" thickBot="1">
      <c r="T112" s="12" t="s">
        <v>12</v>
      </c>
      <c r="U112" s="19">
        <v>0.06</v>
      </c>
      <c r="Z112" s="57"/>
    </row>
    <row r="113" spans="19:26" ht="12.75" customHeight="1" thickBot="1">
      <c r="T113" s="12" t="s">
        <v>13</v>
      </c>
      <c r="U113" s="19">
        <v>0.08</v>
      </c>
      <c r="Z113" s="57"/>
    </row>
    <row r="114" spans="19:26" ht="12.75" customHeight="1" thickBot="1">
      <c r="T114" s="12" t="s">
        <v>14</v>
      </c>
      <c r="U114" s="19">
        <v>0.09</v>
      </c>
      <c r="Z114" s="57"/>
    </row>
    <row r="115" spans="19:26" ht="12.75" customHeight="1" thickBot="1">
      <c r="T115" s="12" t="s">
        <v>15</v>
      </c>
      <c r="U115" s="19">
        <v>0.1</v>
      </c>
    </row>
    <row r="116" spans="19:26" ht="12.75" customHeight="1" thickBot="1">
      <c r="T116" s="12" t="s">
        <v>16</v>
      </c>
      <c r="U116" s="19">
        <v>0.15</v>
      </c>
    </row>
    <row r="117" spans="19:26" ht="12.75" customHeight="1" thickBot="1">
      <c r="T117" s="12" t="s">
        <v>17</v>
      </c>
      <c r="U117" s="19">
        <v>0.23</v>
      </c>
    </row>
    <row r="118" spans="19:26" ht="12.75" customHeight="1" thickBot="1">
      <c r="T118" s="12" t="s">
        <v>18</v>
      </c>
      <c r="U118" s="19">
        <v>0.43</v>
      </c>
    </row>
    <row r="119" spans="19:26" ht="12.75" customHeight="1" thickBot="1">
      <c r="T119" s="12" t="s">
        <v>19</v>
      </c>
      <c r="U119" s="19">
        <v>0.66</v>
      </c>
    </row>
    <row r="120" spans="19:26" ht="12.75" customHeight="1" thickBot="1">
      <c r="T120" s="12" t="s">
        <v>20</v>
      </c>
      <c r="U120" s="19">
        <v>1.27</v>
      </c>
    </row>
    <row r="121" spans="19:26" ht="12.75" customHeight="1">
      <c r="T121" s="13" t="s">
        <v>21</v>
      </c>
      <c r="U121" s="20">
        <v>2.06</v>
      </c>
    </row>
    <row r="122" spans="19:26" ht="12.75" customHeight="1"/>
    <row r="123" spans="19:26" ht="12.75" customHeight="1">
      <c r="T123" s="18" t="s">
        <v>45</v>
      </c>
      <c r="U123">
        <f>IF(U105&lt;25,U111,IF(AND(U105&gt;24.99,U105&lt;30),U112,IF(AND(U105&gt;29.99,U105&lt;35),U113,IF(AND(U105&gt;34.99,U105&lt;40),U114,IF(AND(U105&gt;39.99,U105&lt;45),U115,IF(AND(U105&gt;44.99,U105&lt;50),U116,IF(AND(U105&gt;49.99,U105&lt;55),U117,0)))))))</f>
        <v>0</v>
      </c>
    </row>
    <row r="124" spans="19:26" ht="12.75" customHeight="1">
      <c r="T124" s="18" t="s">
        <v>46</v>
      </c>
      <c r="U124">
        <f>IF(U105&gt;69.99,U121,IF(AND(U105&gt;54.99,U105&lt;60),U118,IF(AND(U105&gt;59.99,U105&lt;65),U119,IF(AND(U105&gt;64.99,U105&lt;70),U120,0))))</f>
        <v>2.06</v>
      </c>
    </row>
    <row r="125" spans="19:26" ht="12.75" customHeight="1"/>
    <row r="127" spans="19:26" ht="13">
      <c r="S127" s="23">
        <f>YEAR('Imputed Life for ORP Retirees'!H8)</f>
        <v>2024</v>
      </c>
      <c r="T127" s="18" t="s">
        <v>26</v>
      </c>
      <c r="U127">
        <f>VLOOKUP(S127,coverage,3,FALSE)</f>
        <v>260000</v>
      </c>
      <c r="W127" s="14"/>
    </row>
    <row r="128" spans="19:26">
      <c r="T128" t="s">
        <v>25</v>
      </c>
      <c r="U128" s="41">
        <v>50000</v>
      </c>
    </row>
    <row r="129" spans="20:36" ht="14">
      <c r="T129" t="s">
        <v>61</v>
      </c>
      <c r="U129" s="62">
        <f>IF((U127-U128)&gt;0,U127-U128,0)</f>
        <v>210000</v>
      </c>
    </row>
    <row r="130" spans="20:36">
      <c r="T130" t="s">
        <v>27</v>
      </c>
      <c r="U130">
        <f>U129/1000</f>
        <v>210</v>
      </c>
    </row>
    <row r="131" spans="20:36">
      <c r="T131" t="s">
        <v>28</v>
      </c>
      <c r="U131">
        <f>W105</f>
        <v>2.06</v>
      </c>
    </row>
    <row r="132" spans="20:36">
      <c r="T132" t="s">
        <v>30</v>
      </c>
      <c r="U132">
        <f>U131*U130</f>
        <v>432.6</v>
      </c>
    </row>
    <row r="133" spans="20:36">
      <c r="T133" t="s">
        <v>31</v>
      </c>
      <c r="U133" s="16">
        <f>ROUND(U107,0)</f>
        <v>2</v>
      </c>
    </row>
    <row r="134" spans="20:36" ht="13">
      <c r="T134" t="s">
        <v>32</v>
      </c>
      <c r="U134" s="24">
        <f>U132*U133</f>
        <v>865.2</v>
      </c>
      <c r="AJ134" s="57"/>
    </row>
    <row r="135" spans="20:36">
      <c r="AJ135" s="57"/>
    </row>
    <row r="136" spans="20:36">
      <c r="AJ136" s="57"/>
    </row>
  </sheetData>
  <customSheetViews>
    <customSheetView guid="{252DB083-95AB-4582-8BC4-81FA9B7C456B}" showPageBreaks="1" fitToPage="1" printArea="1" showRuler="0" topLeftCell="A15">
      <selection sqref="A1:K38"/>
      <pageMargins left="0.75" right="0.75" top="1" bottom="1" header="0.5" footer="0.5"/>
      <printOptions horizontalCentered="1"/>
      <pageSetup scale="99" orientation="portrait" r:id="rId1"/>
      <headerFooter alignWithMargins="0"/>
    </customSheetView>
    <customSheetView guid="{7D9D28F3-8114-45B5-AFC0-2B2A9170F2E9}" showPageBreaks="1" fitToPage="1" printArea="1" showRuler="0" topLeftCell="R34">
      <selection activeCell="T38" sqref="T38:AD43"/>
      <pageMargins left="0.75" right="0.75" top="1" bottom="1" header="0.5" footer="0.5"/>
      <printOptions horizontalCentered="1"/>
      <pageSetup scale="99" orientation="portrait" r:id="rId2"/>
      <headerFooter alignWithMargins="0"/>
    </customSheetView>
    <customSheetView guid="{86351972-45A2-473A-9847-1C002D938950}" showPageBreaks="1" fitToPage="1" printArea="1" showRuler="0" topLeftCell="R52">
      <selection activeCell="S71" sqref="S71:U78"/>
      <pageMargins left="0.75" right="0.75" top="1" bottom="1" header="0.5" footer="0.5"/>
      <printOptions horizontalCentered="1"/>
      <pageSetup scale="99" orientation="portrait" r:id="rId3"/>
      <headerFooter alignWithMargins="0"/>
    </customSheetView>
  </customSheetViews>
  <mergeCells count="3">
    <mergeCell ref="A2:K2"/>
    <mergeCell ref="E11:I11"/>
    <mergeCell ref="E4:I4"/>
  </mergeCells>
  <phoneticPr fontId="2" type="noConversion"/>
  <printOptions horizontalCentered="1"/>
  <pageMargins left="0.75" right="0.75" top="1" bottom="1" header="0.5" footer="0.5"/>
  <pageSetup scale="9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Directions</vt:lpstr>
      <vt:lpstr>Imputed Life for ORP Retirees</vt:lpstr>
      <vt:lpstr>coverage</vt:lpstr>
      <vt:lpstr>'Imputed Life for ORP Retirees'!Print_Area</vt:lpstr>
    </vt:vector>
  </TitlesOfParts>
  <Company>Network Systems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 Retirement Life Insurance Worksheet</dc:title>
  <dc:subject>Post Retirement Life Insurance Worksheet</dc:subject>
  <dc:creator>Virginia Department of Accounts</dc:creator>
  <cp:lastModifiedBy>McGill, Cathy (DOA)</cp:lastModifiedBy>
  <cp:lastPrinted>2007-11-20T19:56:26Z</cp:lastPrinted>
  <dcterms:created xsi:type="dcterms:W3CDTF">2005-11-14T19:32:43Z</dcterms:created>
  <dcterms:modified xsi:type="dcterms:W3CDTF">2024-11-15T17:31:56Z</dcterms:modified>
  <cp:category>Post Retirement Life Insurance Worksheet</cp:category>
</cp:coreProperties>
</file>