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P:\Forms\Documents on the Web\HCM Forms\"/>
    </mc:Choice>
  </mc:AlternateContent>
  <xr:revisionPtr revIDLastSave="0" documentId="14_{452A07FE-0133-43F3-B1D4-AA7086FA9EF9}" xr6:coauthVersionLast="47" xr6:coauthVersionMax="47" xr10:uidLastSave="{00000000-0000-0000-0000-000000000000}"/>
  <bookViews>
    <workbookView xWindow="-110" yWindow="-110" windowWidth="38620" windowHeight="21100" xr2:uid="{00000000-000D-0000-FFFF-FFFF00000000}"/>
  </bookViews>
  <sheets>
    <sheet name="VSDP Calculation Spreadsheet" sheetId="1" r:id="rId1"/>
  </sheets>
  <externalReferences>
    <externalReference r:id="rId2"/>
  </externalReferences>
  <definedNames>
    <definedName name="allretplans">'[1]Pay Dock'!$A$160:$A$193</definedName>
    <definedName name="endrange">'VSDP Calculation Spreadsheet'!$C$10:$C$12</definedName>
    <definedName name="intwcbens">'VSDP Calculation Spreadsheet'!$L$45:$N$51</definedName>
    <definedName name="jobmodend">'VSDP Calculation Spreadsheet'!$I$44:$I$56</definedName>
    <definedName name="jobmods">'VSDP Calculation Spreadsheet'!$H$44:$J$56</definedName>
    <definedName name="leavecodes">'VSDP Calculation Spreadsheet'!$S$24:$T$39</definedName>
    <definedName name="lvtypes">'VSDP Calculation Spreadsheet'!$S$25:$S$32</definedName>
    <definedName name="_xlnm.Print_Area" localSheetId="0">'VSDP Calculation Spreadsheet'!$A$1:$T$56</definedName>
    <definedName name="retcodesprev">#REF!</definedName>
    <definedName name="retlist">'VSDP Calculation Spreadsheet'!$A$105:$A$115</definedName>
    <definedName name="retplans">#REF!</definedName>
    <definedName name="selleav">'VSDP Calculation Spreadsheet'!$P$49:$P$54</definedName>
    <definedName name="taborder">#REF!,#REF!,#REF!,#REF!,#REF!,#REF!,#REF!,#REF!,#REF!,#REF!,#REF!,#REF!,#REF!,#REF!,#REF!,#REF!,#REF!,#REF!,#REF!,#REF!,#REF!,#REF!,#REF!,#REF!,#REF!,#REF!</definedName>
    <definedName name="totalday">'VSDP Calculation Spreadsheet'!$B$38:$Q$38</definedName>
    <definedName name="vcmatch">'[1]Emp Table'!$A$2:$B$10</definedName>
    <definedName name="VSDPAPP">'VSDP Calculation Spreadsheet'!$B$10:$D$12</definedName>
    <definedName name="wcbens">'VSDP Calculation Spreadsheet'!$L$3:$S$14</definedName>
    <definedName name="WCStats">'VSDP Calculation Spreadsheet'!$A$118:$A$119</definedName>
    <definedName name="workcom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1" l="1"/>
  <c r="K15" i="1"/>
  <c r="A51" i="1"/>
  <c r="A50" i="1"/>
  <c r="N49" i="1" l="1"/>
  <c r="N56" i="1" l="1"/>
  <c r="K55" i="1"/>
  <c r="K54" i="1"/>
  <c r="K53" i="1"/>
  <c r="K52" i="1"/>
  <c r="K47" i="1"/>
  <c r="M44" i="1"/>
  <c r="U54" i="1" l="1"/>
  <c r="U55" i="1"/>
  <c r="U53" i="1"/>
  <c r="U50" i="1"/>
  <c r="U51" i="1"/>
  <c r="U49" i="1"/>
  <c r="S55" i="1" l="1"/>
  <c r="R55" i="1"/>
  <c r="G56" i="1" l="1"/>
  <c r="G55" i="1"/>
  <c r="P12" i="1" l="1"/>
  <c r="P13" i="1"/>
  <c r="P14" i="1"/>
  <c r="Q4" i="1"/>
  <c r="Q5" i="1"/>
  <c r="Q6" i="1"/>
  <c r="Q7" i="1"/>
  <c r="Q8" i="1"/>
  <c r="Q9" i="1"/>
  <c r="Q10" i="1"/>
  <c r="Q11" i="1"/>
  <c r="Q12" i="1"/>
  <c r="Q13" i="1"/>
  <c r="Q14" i="1"/>
  <c r="Q3" i="1"/>
  <c r="P9" i="1"/>
  <c r="P10" i="1"/>
  <c r="P6" i="1"/>
  <c r="P3" i="1"/>
  <c r="P8" i="1"/>
  <c r="P7" i="1"/>
  <c r="P11" i="1"/>
  <c r="P4" i="1"/>
  <c r="P5" i="1"/>
  <c r="G54" i="1" l="1"/>
  <c r="G53" i="1"/>
  <c r="S54" i="1"/>
  <c r="R54" i="1"/>
  <c r="G52" i="1"/>
  <c r="S53" i="1"/>
  <c r="R53" i="1"/>
  <c r="G51" i="1"/>
  <c r="S51" i="1"/>
  <c r="R51" i="1"/>
  <c r="G50" i="1"/>
  <c r="S50" i="1"/>
  <c r="R50" i="1"/>
  <c r="G49" i="1"/>
  <c r="S49" i="1"/>
  <c r="R49" i="1"/>
  <c r="G48" i="1"/>
  <c r="G47" i="1"/>
  <c r="G46" i="1"/>
  <c r="G45" i="1"/>
  <c r="G44" i="1"/>
  <c r="R40" i="1"/>
  <c r="R36" i="1"/>
  <c r="L47" i="1" s="1"/>
  <c r="R33" i="1"/>
  <c r="R32" i="1"/>
  <c r="R31" i="1"/>
  <c r="T48" i="1" s="1"/>
  <c r="B19" i="1"/>
  <c r="S17" i="1"/>
  <c r="E17" i="1"/>
  <c r="E16" i="1"/>
  <c r="O14" i="1"/>
  <c r="R14" i="1" s="1"/>
  <c r="S14" i="1" s="1"/>
  <c r="D14" i="1"/>
  <c r="O13" i="1"/>
  <c r="R13" i="1" s="1"/>
  <c r="S13" i="1" s="1"/>
  <c r="K13" i="1"/>
  <c r="O12" i="1"/>
  <c r="R12" i="1" s="1"/>
  <c r="S12" i="1" s="1"/>
  <c r="K12" i="1"/>
  <c r="O11" i="1"/>
  <c r="R11" i="1" s="1"/>
  <c r="S11" i="1" s="1"/>
  <c r="K11" i="1"/>
  <c r="J11" i="1"/>
  <c r="O10" i="1"/>
  <c r="R10" i="1" s="1"/>
  <c r="S10" i="1" s="1"/>
  <c r="K10" i="1"/>
  <c r="O9" i="1"/>
  <c r="R9" i="1" s="1"/>
  <c r="S9" i="1" s="1"/>
  <c r="K9" i="1"/>
  <c r="O8" i="1"/>
  <c r="R8" i="1" s="1"/>
  <c r="S8" i="1" s="1"/>
  <c r="K8" i="1"/>
  <c r="O7" i="1"/>
  <c r="R7" i="1" s="1"/>
  <c r="K7" i="1"/>
  <c r="O6" i="1"/>
  <c r="R6" i="1" s="1"/>
  <c r="K6" i="1"/>
  <c r="J6" i="1"/>
  <c r="O5" i="1"/>
  <c r="K5" i="1"/>
  <c r="E5" i="1"/>
  <c r="O4" i="1"/>
  <c r="K4" i="1"/>
  <c r="I4" i="1"/>
  <c r="O3" i="1"/>
  <c r="I5" i="1"/>
  <c r="E10" i="1"/>
  <c r="A11" i="1" l="1"/>
  <c r="A10" i="1"/>
  <c r="D10" i="1" s="1"/>
  <c r="T52" i="1"/>
  <c r="B11" i="1"/>
  <c r="R47" i="1"/>
  <c r="Q47" i="1"/>
  <c r="T47" i="1"/>
  <c r="S47" i="1"/>
  <c r="R37" i="1"/>
  <c r="S7" i="1"/>
  <c r="S6" i="1"/>
  <c r="R5" i="1"/>
  <c r="S5" i="1" s="1"/>
  <c r="R4" i="1"/>
  <c r="S4" i="1" s="1"/>
  <c r="J5" i="1"/>
  <c r="Q15" i="1"/>
  <c r="C19" i="1"/>
  <c r="C20" i="1" s="1"/>
  <c r="B20" i="1"/>
  <c r="R3" i="1"/>
  <c r="S3" i="1" s="1"/>
  <c r="P15" i="1"/>
  <c r="R34" i="1"/>
  <c r="L52" i="1" s="1"/>
  <c r="E11" i="1"/>
  <c r="A12" i="1" s="1"/>
  <c r="D11" i="1" l="1"/>
  <c r="B12" i="1"/>
  <c r="R15" i="1"/>
  <c r="T15" i="1" s="1"/>
  <c r="D19" i="1"/>
  <c r="J7" i="1"/>
  <c r="J9" i="1"/>
  <c r="F49" i="1" l="1"/>
  <c r="E45" i="1" s="1"/>
  <c r="M52" i="1"/>
  <c r="D12" i="1"/>
  <c r="B29" i="1"/>
  <c r="B21" i="1"/>
  <c r="B23" i="1" s="1"/>
  <c r="B25" i="1" s="1"/>
  <c r="D29" i="1"/>
  <c r="D20" i="1"/>
  <c r="E19" i="1"/>
  <c r="E20" i="1" s="1"/>
  <c r="T5" i="1"/>
  <c r="T10" i="1"/>
  <c r="T14" i="1"/>
  <c r="T7" i="1"/>
  <c r="T9" i="1"/>
  <c r="T13" i="1"/>
  <c r="T11" i="1"/>
  <c r="T8" i="1"/>
  <c r="T6" i="1"/>
  <c r="T3" i="1"/>
  <c r="T12" i="1"/>
  <c r="C29" i="1"/>
  <c r="C21" i="1"/>
  <c r="C23" i="1" s="1"/>
  <c r="D21" i="1"/>
  <c r="D23" i="1" s="1"/>
  <c r="T4" i="1"/>
  <c r="E12" i="1"/>
  <c r="F19" i="1" l="1"/>
  <c r="F29" i="1" s="1"/>
  <c r="E29" i="1"/>
  <c r="B22" i="1"/>
  <c r="B27" i="1"/>
  <c r="E21" i="1"/>
  <c r="E23" i="1" s="1"/>
  <c r="C25" i="1"/>
  <c r="F21" i="1" l="1"/>
  <c r="F23" i="1" s="1"/>
  <c r="F25" i="1" s="1"/>
  <c r="F20" i="1"/>
  <c r="G19" i="1"/>
  <c r="G29" i="1" s="1"/>
  <c r="B38" i="1"/>
  <c r="D27" i="1"/>
  <c r="D25" i="1"/>
  <c r="E27" i="1"/>
  <c r="E25" i="1"/>
  <c r="E22" i="1"/>
  <c r="D22" i="1"/>
  <c r="C27" i="1"/>
  <c r="C22" i="1"/>
  <c r="G21" i="1" l="1"/>
  <c r="G23" i="1" s="1"/>
  <c r="G20" i="1"/>
  <c r="H19" i="1"/>
  <c r="H20" i="1" s="1"/>
  <c r="C38" i="1"/>
  <c r="D38" i="1"/>
  <c r="E38" i="1"/>
  <c r="F22" i="1"/>
  <c r="F27" i="1"/>
  <c r="I19" i="1" l="1"/>
  <c r="I20" i="1" s="1"/>
  <c r="H29" i="1"/>
  <c r="H21" i="1"/>
  <c r="H23" i="1" s="1"/>
  <c r="G22" i="1"/>
  <c r="G25" i="1"/>
  <c r="F38" i="1"/>
  <c r="G27" i="1"/>
  <c r="I29" i="1" l="1"/>
  <c r="J19" i="1"/>
  <c r="J29" i="1" s="1"/>
  <c r="I21" i="1"/>
  <c r="I23" i="1" s="1"/>
  <c r="H22" i="1"/>
  <c r="H27" i="1"/>
  <c r="H25" i="1"/>
  <c r="G38" i="1"/>
  <c r="I22" i="1" l="1"/>
  <c r="J21" i="1"/>
  <c r="J23" i="1" s="1"/>
  <c r="J25" i="1" s="1"/>
  <c r="J20" i="1"/>
  <c r="K19" i="1"/>
  <c r="K29" i="1" s="1"/>
  <c r="H38" i="1"/>
  <c r="I27" i="1"/>
  <c r="I25" i="1"/>
  <c r="K21" i="1" l="1"/>
  <c r="K23" i="1" s="1"/>
  <c r="K20" i="1"/>
  <c r="L19" i="1"/>
  <c r="L20" i="1" s="1"/>
  <c r="J27" i="1"/>
  <c r="I38" i="1"/>
  <c r="J22" i="1"/>
  <c r="L29" i="1" l="1"/>
  <c r="M19" i="1"/>
  <c r="M20" i="1" s="1"/>
  <c r="L21" i="1"/>
  <c r="L23" i="1" s="1"/>
  <c r="J38" i="1"/>
  <c r="K22" i="1"/>
  <c r="K25" i="1"/>
  <c r="K27" i="1"/>
  <c r="M29" i="1" l="1"/>
  <c r="N19" i="1"/>
  <c r="N20" i="1" s="1"/>
  <c r="M21" i="1"/>
  <c r="M23" i="1" s="1"/>
  <c r="K38" i="1"/>
  <c r="L27" i="1"/>
  <c r="L25" i="1"/>
  <c r="L22" i="1"/>
  <c r="N29" i="1" l="1"/>
  <c r="O19" i="1"/>
  <c r="O20" i="1" s="1"/>
  <c r="N21" i="1"/>
  <c r="N23" i="1" s="1"/>
  <c r="L38" i="1"/>
  <c r="M27" i="1"/>
  <c r="M25" i="1"/>
  <c r="M22" i="1"/>
  <c r="O29" i="1" l="1"/>
  <c r="P19" i="1"/>
  <c r="P29" i="1" s="1"/>
  <c r="O21" i="1"/>
  <c r="O23" i="1" s="1"/>
  <c r="O25" i="1" s="1"/>
  <c r="N27" i="1"/>
  <c r="N25" i="1"/>
  <c r="M38" i="1"/>
  <c r="N22" i="1"/>
  <c r="Q19" i="1" l="1"/>
  <c r="Q29" i="1" s="1"/>
  <c r="R29" i="1" s="1"/>
  <c r="L55" i="1" s="1"/>
  <c r="M55" i="1" s="1"/>
  <c r="O55" i="1" s="1"/>
  <c r="F48" i="1" s="1"/>
  <c r="P20" i="1"/>
  <c r="P21" i="1"/>
  <c r="P23" i="1" s="1"/>
  <c r="P25" i="1" s="1"/>
  <c r="O27" i="1"/>
  <c r="O22" i="1"/>
  <c r="N38" i="1"/>
  <c r="Q21" i="1" l="1"/>
  <c r="Q23" i="1" s="1"/>
  <c r="B48" i="1"/>
  <c r="C48" i="1"/>
  <c r="Q20" i="1"/>
  <c r="Q45" i="1"/>
  <c r="P27" i="1"/>
  <c r="O38" i="1"/>
  <c r="P22" i="1"/>
  <c r="T45" i="1"/>
  <c r="R45" i="1"/>
  <c r="S45" i="1"/>
  <c r="Q22" i="1" l="1"/>
  <c r="R22" i="1" s="1"/>
  <c r="Q27" i="1"/>
  <c r="R27" i="1" s="1"/>
  <c r="L54" i="1" s="1"/>
  <c r="M54" i="1" s="1"/>
  <c r="P38" i="1"/>
  <c r="R23" i="1"/>
  <c r="Q25" i="1"/>
  <c r="R25" i="1" s="1"/>
  <c r="L53" i="1" s="1"/>
  <c r="L48" i="1" l="1"/>
  <c r="M48" i="1" s="1"/>
  <c r="O54" i="1"/>
  <c r="F47" i="1" s="1"/>
  <c r="M53" i="1"/>
  <c r="M47" i="1"/>
  <c r="T46" i="1"/>
  <c r="S46" i="1"/>
  <c r="R46" i="1"/>
  <c r="Q46" i="1"/>
  <c r="Q44" i="1"/>
  <c r="Q38" i="1"/>
  <c r="R38" i="1" s="1"/>
  <c r="T44" i="1"/>
  <c r="R44" i="1"/>
  <c r="S44" i="1"/>
  <c r="M49" i="1" l="1"/>
  <c r="B47" i="1"/>
  <c r="C47" i="1"/>
  <c r="O53" i="1"/>
  <c r="F46" i="1" s="1"/>
  <c r="M56" i="1"/>
  <c r="A52" i="1" s="1"/>
  <c r="L49" i="1"/>
  <c r="O48" i="1"/>
  <c r="L56" i="1"/>
  <c r="L44" i="1"/>
  <c r="N44" i="1"/>
  <c r="O44" i="1" s="1"/>
  <c r="O47" i="1"/>
  <c r="D49" i="1" s="1"/>
  <c r="T56" i="1"/>
  <c r="E49" i="1" l="1"/>
  <c r="O52" i="1"/>
  <c r="D45" i="1" s="1"/>
  <c r="B46" i="1"/>
  <c r="C46" i="1"/>
  <c r="O49" i="1"/>
  <c r="O56" i="1"/>
  <c r="C45" i="1" l="1"/>
  <c r="C49" i="1"/>
  <c r="B49" i="1"/>
  <c r="B45" i="1" l="1"/>
</calcChain>
</file>

<file path=xl/sharedStrings.xml><?xml version="1.0" encoding="utf-8"?>
<sst xmlns="http://schemas.openxmlformats.org/spreadsheetml/2006/main" count="151" uniqueCount="143">
  <si>
    <t>Employee Information</t>
  </si>
  <si>
    <t>Pay Period Information</t>
  </si>
  <si>
    <t>Worker's Comp Benefits</t>
  </si>
  <si>
    <t>Employee Name</t>
  </si>
  <si>
    <t>From</t>
  </si>
  <si>
    <t>Begin</t>
  </si>
  <si>
    <t>End</t>
  </si>
  <si>
    <t>Amount</t>
  </si>
  <si>
    <t>Daily</t>
  </si>
  <si>
    <t>Workdays</t>
  </si>
  <si>
    <t>Cal Days</t>
  </si>
  <si>
    <t>Ben</t>
  </si>
  <si>
    <t>Work Day</t>
  </si>
  <si>
    <t>PCT</t>
  </si>
  <si>
    <t>EIN</t>
  </si>
  <si>
    <t>Days</t>
  </si>
  <si>
    <t>Hrs</t>
  </si>
  <si>
    <t>FTE Employment:</t>
  </si>
  <si>
    <t>Calendar Days:</t>
  </si>
  <si>
    <t>Semi Salary</t>
  </si>
  <si>
    <t>Annual Salary</t>
  </si>
  <si>
    <t>WorkDays:</t>
  </si>
  <si>
    <t>Retirement Plan Code</t>
  </si>
  <si>
    <t>VRS - VS</t>
  </si>
  <si>
    <t>STD HRS 1</t>
  </si>
  <si>
    <t>Contract Length</t>
  </si>
  <si>
    <t># of Pays</t>
  </si>
  <si>
    <t>Pay Period Hrly Rate</t>
  </si>
  <si>
    <t>VSDP Information</t>
  </si>
  <si>
    <t>VSDP Start</t>
  </si>
  <si>
    <t>Work Days</t>
  </si>
  <si>
    <t>STD HRS PCT</t>
  </si>
  <si>
    <t>Override Workdays - AWS</t>
  </si>
  <si>
    <t>Calculated LTD Begin Date</t>
  </si>
  <si>
    <t>Worker's Comp. Status</t>
  </si>
  <si>
    <t>VSDP Authorized End Date</t>
  </si>
  <si>
    <t>Catastrophic</t>
  </si>
  <si>
    <t>State Service</t>
  </si>
  <si>
    <t>Enter information in blue shaded areas of spreadsheet.</t>
  </si>
  <si>
    <t>Waiting Period Waived</t>
  </si>
  <si>
    <t>Years</t>
  </si>
  <si>
    <t>Months</t>
  </si>
  <si>
    <t>90 Cal. Day Leave Accrual End Date:</t>
  </si>
  <si>
    <t>Date</t>
  </si>
  <si>
    <t>Totals</t>
  </si>
  <si>
    <t>Day</t>
  </si>
  <si>
    <t>VSDP PCT</t>
  </si>
  <si>
    <t>Supplement Waived</t>
  </si>
  <si>
    <t>VSDP Cov Hrs</t>
  </si>
  <si>
    <t>VSDP Non WC Benefits</t>
  </si>
  <si>
    <t>VSDP WC Benefits</t>
  </si>
  <si>
    <t>Temp Total WC Hrs</t>
  </si>
  <si>
    <t>Regular Pay Hours</t>
  </si>
  <si>
    <t>VSDP Supplement Hrs</t>
  </si>
  <si>
    <t>Leave Used</t>
  </si>
  <si>
    <t>Hrs Worked/Holiday</t>
  </si>
  <si>
    <t>Total Reg Pay Hrs</t>
  </si>
  <si>
    <t>LWOP Hours</t>
  </si>
  <si>
    <t>LWOP</t>
  </si>
  <si>
    <t>Total Work Hours for Semi-Monthly Period</t>
  </si>
  <si>
    <t>Total LWOP Hrs</t>
  </si>
  <si>
    <t>Overtime Hours</t>
  </si>
  <si>
    <t>Job Modifications</t>
  </si>
  <si>
    <t>Leave Transactions</t>
  </si>
  <si>
    <t>Req Hrs</t>
  </si>
  <si>
    <t>LV TYPE</t>
  </si>
  <si>
    <t>FROM</t>
  </si>
  <si>
    <t>TO</t>
  </si>
  <si>
    <t>HOURS</t>
  </si>
  <si>
    <t>Total Leave for Period</t>
  </si>
  <si>
    <t>'Warning: Amount in Cell J10 should match amount in R38</t>
  </si>
  <si>
    <t>Elected Official - VRS - EO</t>
  </si>
  <si>
    <t>VRS- VN</t>
  </si>
  <si>
    <t>SPORS - SS</t>
  </si>
  <si>
    <t>SPORS - SN</t>
  </si>
  <si>
    <t>VALORS - LS</t>
  </si>
  <si>
    <t>VALORS - LN</t>
  </si>
  <si>
    <t>HYBRID - HB</t>
  </si>
  <si>
    <t>HYBRID JUDICIAL - HJ</t>
  </si>
  <si>
    <t>Approved</t>
  </si>
  <si>
    <t>VAC</t>
  </si>
  <si>
    <t>PER</t>
  </si>
  <si>
    <t>ADM</t>
  </si>
  <si>
    <t>SRL</t>
  </si>
  <si>
    <t>SDP</t>
  </si>
  <si>
    <t>CCL</t>
  </si>
  <si>
    <t>OCL</t>
  </si>
  <si>
    <t>Compensatory Leave Taken</t>
  </si>
  <si>
    <t>CSL</t>
  </si>
  <si>
    <t>VSDP Personal Leave</t>
  </si>
  <si>
    <t>Civil and Work Related Leave</t>
  </si>
  <si>
    <t>Overtime Leave Taken</t>
  </si>
  <si>
    <t>Service Recognition Leave</t>
  </si>
  <si>
    <t>VSDP Sick Leave</t>
  </si>
  <si>
    <t>PHE</t>
  </si>
  <si>
    <t>Public Health Emergency Leave</t>
  </si>
  <si>
    <t>PAR</t>
  </si>
  <si>
    <t>Parental Leave</t>
  </si>
  <si>
    <t>Total Personal Leave Needed:</t>
  </si>
  <si>
    <t>Supplement Leave Hrs Needed:</t>
  </si>
  <si>
    <t>DSK</t>
  </si>
  <si>
    <t>Disability Credits</t>
  </si>
  <si>
    <t>Earnings Code</t>
  </si>
  <si>
    <t>Beg Date</t>
  </si>
  <si>
    <t>End Date</t>
  </si>
  <si>
    <t>Oth Hrs</t>
  </si>
  <si>
    <t>Hourly Rate</t>
  </si>
  <si>
    <t>SPOT Transactions (Select Paygroup and Current vs. Retro Adjustment Below)</t>
  </si>
  <si>
    <t>Pay Pd Hrs</t>
  </si>
  <si>
    <t>Amt Due</t>
  </si>
  <si>
    <t>Adjust</t>
  </si>
  <si>
    <t>VSDP Earnings Code - STD</t>
  </si>
  <si>
    <t>VSDP W/C Earnings Code - WCL</t>
  </si>
  <si>
    <t>Worker's Comp Earnings Code - WCP</t>
  </si>
  <si>
    <t>VSDP (STD)</t>
  </si>
  <si>
    <t>Worker's Comp (WCP)</t>
  </si>
  <si>
    <t>Leave No Pay (LNP)</t>
  </si>
  <si>
    <t>Reg Pay (RGS)</t>
  </si>
  <si>
    <t>ERL</t>
  </si>
  <si>
    <t xml:space="preserve">PLL </t>
  </si>
  <si>
    <t>Employee Recognition Leave</t>
  </si>
  <si>
    <t>Annual Leave</t>
  </si>
  <si>
    <t>Community Service Leave</t>
  </si>
  <si>
    <t>Pre Layoff Leave</t>
  </si>
  <si>
    <t>Total Pay:</t>
  </si>
  <si>
    <t>VSDP W/C (WCL)</t>
  </si>
  <si>
    <t>Semi-Salary</t>
  </si>
  <si>
    <t>Calculated Amt</t>
  </si>
  <si>
    <t>Over/(Under)</t>
  </si>
  <si>
    <t>Minus Total Non-Paid Hours:</t>
  </si>
  <si>
    <t>Supp Waived</t>
  </si>
  <si>
    <t>Total NonPd:</t>
  </si>
  <si>
    <t>Base Comp:</t>
  </si>
  <si>
    <t>Base Compensation Balancing:</t>
  </si>
  <si>
    <t>Dock Amt</t>
  </si>
  <si>
    <t>Equals Total Payment Due:</t>
  </si>
  <si>
    <t>Previously Paid:</t>
  </si>
  <si>
    <t>Previous Dock:</t>
  </si>
  <si>
    <t>Current Pay Period Adjustment</t>
  </si>
  <si>
    <t>Payroll Register Regular Curr Amt</t>
  </si>
  <si>
    <t>No Checked T/O Auto Pay</t>
  </si>
  <si>
    <t>REVISED 9/25/2022</t>
  </si>
  <si>
    <t>Continuous State Service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</si>
</sst>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164" formatCode="0.0"/>
    <numFmt numFmtId="165" formatCode="&quot;$&quot;#,##0.00"/>
    <numFmt numFmtId="166" formatCode="m/d/yy;@"/>
    <numFmt numFmtId="167" formatCode="mm/dd/yy;@"/>
    <numFmt numFmtId="168" formatCode="&quot;$&quot;#,##0.00000"/>
  </numFmts>
  <fonts count="15" x14ac:knownFonts="1">
    <font>
      <sz val="10"/>
      <name val="Arial"/>
    </font>
    <font>
      <sz val="11"/>
      <color theme="1"/>
      <name val="Calibri"/>
      <family val="2"/>
      <scheme val="minor"/>
    </font>
    <font>
      <b/>
      <sz val="8"/>
      <name val="Arial"/>
      <family val="2"/>
    </font>
    <font>
      <b/>
      <sz val="10"/>
      <name val="Arial"/>
      <family val="2"/>
    </font>
    <font>
      <sz val="8"/>
      <name val="Arial"/>
      <family val="2"/>
    </font>
    <font>
      <b/>
      <sz val="9"/>
      <name val="Arial"/>
      <family val="2"/>
    </font>
    <font>
      <sz val="10"/>
      <color theme="0"/>
      <name val="Arial"/>
      <family val="2"/>
    </font>
    <font>
      <sz val="9"/>
      <name val="Arial"/>
      <family val="2"/>
    </font>
    <font>
      <sz val="10"/>
      <color indexed="9"/>
      <name val="Arial"/>
      <family val="2"/>
    </font>
    <font>
      <sz val="8"/>
      <color indexed="9"/>
      <name val="Arial"/>
      <family val="2"/>
    </font>
    <font>
      <b/>
      <sz val="8"/>
      <color indexed="8"/>
      <name val="Verdana"/>
      <family val="2"/>
    </font>
    <font>
      <sz val="8"/>
      <color theme="0"/>
      <name val="Arial"/>
      <family val="2"/>
    </font>
    <font>
      <sz val="10"/>
      <name val="Arial"/>
      <family val="2"/>
    </font>
    <font>
      <b/>
      <sz val="12"/>
      <name val="Arial"/>
      <family val="2"/>
    </font>
    <font>
      <b/>
      <sz val="6"/>
      <name val="Arial"/>
      <family val="2"/>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theme="0" tint="-0.14996795556505021"/>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s>
  <cellStyleXfs count="4">
    <xf numFmtId="0" fontId="0" fillId="0" borderId="0"/>
    <xf numFmtId="44" fontId="12" fillId="0" borderId="0" applyFont="0" applyFill="0" applyBorder="0" applyAlignment="0" applyProtection="0"/>
    <xf numFmtId="0" fontId="1" fillId="0" borderId="0"/>
    <xf numFmtId="44" fontId="1" fillId="0" borderId="0" applyFont="0" applyFill="0" applyBorder="0" applyAlignment="0" applyProtection="0"/>
  </cellStyleXfs>
  <cellXfs count="233">
    <xf numFmtId="0" fontId="0" fillId="0" borderId="0" xfId="0"/>
    <xf numFmtId="0" fontId="0" fillId="0" borderId="0" xfId="0" applyProtection="1">
      <protection hidden="1"/>
    </xf>
    <xf numFmtId="0" fontId="2" fillId="2" borderId="4" xfId="0" applyFont="1" applyFill="1" applyBorder="1" applyAlignment="1" applyProtection="1">
      <alignment horizontal="left"/>
      <protection hidden="1"/>
    </xf>
    <xf numFmtId="14" fontId="4" fillId="3" borderId="5" xfId="0" applyNumberFormat="1" applyFont="1" applyFill="1" applyBorder="1" applyProtection="1">
      <protection locked="0"/>
    </xf>
    <xf numFmtId="14" fontId="2" fillId="2" borderId="5" xfId="0" applyNumberFormat="1" applyFont="1" applyFill="1" applyBorder="1" applyAlignment="1" applyProtection="1">
      <alignment horizontal="center"/>
      <protection hidden="1"/>
    </xf>
    <xf numFmtId="14" fontId="4" fillId="3" borderId="6" xfId="0" applyNumberFormat="1" applyFont="1" applyFill="1" applyBorder="1" applyProtection="1">
      <protection locked="0"/>
    </xf>
    <xf numFmtId="164" fontId="5" fillId="2" borderId="7" xfId="0" applyNumberFormat="1" applyFont="1" applyFill="1" applyBorder="1" applyAlignment="1" applyProtection="1">
      <alignment horizontal="center"/>
      <protection hidden="1"/>
    </xf>
    <xf numFmtId="10" fontId="5" fillId="2" borderId="7" xfId="0" applyNumberFormat="1" applyFont="1" applyFill="1" applyBorder="1" applyAlignment="1" applyProtection="1">
      <alignment horizontal="center"/>
      <protection hidden="1"/>
    </xf>
    <xf numFmtId="0" fontId="2" fillId="2" borderId="8" xfId="0" quotePrefix="1" applyFont="1" applyFill="1" applyBorder="1" applyAlignment="1" applyProtection="1">
      <alignment horizontal="left"/>
      <protection hidden="1"/>
    </xf>
    <xf numFmtId="0" fontId="2" fillId="2" borderId="0" xfId="0" applyFont="1" applyFill="1" applyAlignment="1" applyProtection="1">
      <alignment horizontal="center"/>
      <protection hidden="1"/>
    </xf>
    <xf numFmtId="0" fontId="4" fillId="2" borderId="9" xfId="0" applyFont="1" applyFill="1" applyBorder="1" applyProtection="1">
      <protection hidden="1"/>
    </xf>
    <xf numFmtId="0" fontId="2" fillId="2" borderId="8" xfId="0" applyFont="1" applyFill="1" applyBorder="1" applyProtection="1">
      <protection hidden="1"/>
    </xf>
    <xf numFmtId="0" fontId="4" fillId="2" borderId="0" xfId="0" applyFont="1" applyFill="1" applyProtection="1">
      <protection hidden="1"/>
    </xf>
    <xf numFmtId="0" fontId="2" fillId="2" borderId="0" xfId="0" applyFont="1" applyFill="1" applyProtection="1">
      <protection hidden="1"/>
    </xf>
    <xf numFmtId="0" fontId="2" fillId="2" borderId="9" xfId="0" applyFont="1" applyFill="1" applyBorder="1" applyProtection="1">
      <protection hidden="1"/>
    </xf>
    <xf numFmtId="14" fontId="5" fillId="3" borderId="7" xfId="0" applyNumberFormat="1" applyFont="1" applyFill="1" applyBorder="1" applyProtection="1">
      <protection locked="0"/>
    </xf>
    <xf numFmtId="2" fontId="5" fillId="3" borderId="7" xfId="0" applyNumberFormat="1" applyFont="1" applyFill="1" applyBorder="1" applyProtection="1">
      <protection locked="0"/>
    </xf>
    <xf numFmtId="2" fontId="5" fillId="0" borderId="7" xfId="0" applyNumberFormat="1" applyFont="1" applyBorder="1" applyProtection="1">
      <protection hidden="1"/>
    </xf>
    <xf numFmtId="1" fontId="5" fillId="0" borderId="7" xfId="0" applyNumberFormat="1" applyFont="1" applyBorder="1" applyAlignment="1" applyProtection="1">
      <alignment horizontal="center"/>
      <protection hidden="1"/>
    </xf>
    <xf numFmtId="10" fontId="5" fillId="0" borderId="7" xfId="0" applyNumberFormat="1" applyFont="1" applyBorder="1" applyProtection="1">
      <protection hidden="1"/>
    </xf>
    <xf numFmtId="14" fontId="0" fillId="0" borderId="0" xfId="0" applyNumberFormat="1" applyProtection="1">
      <protection hidden="1"/>
    </xf>
    <xf numFmtId="9" fontId="4" fillId="3" borderId="0" xfId="0" applyNumberFormat="1" applyFont="1" applyFill="1" applyProtection="1">
      <protection locked="0"/>
    </xf>
    <xf numFmtId="0" fontId="0" fillId="2" borderId="0" xfId="0" applyFill="1" applyProtection="1">
      <protection hidden="1"/>
    </xf>
    <xf numFmtId="0" fontId="0" fillId="2" borderId="9" xfId="0" applyFill="1" applyBorder="1" applyProtection="1">
      <protection hidden="1"/>
    </xf>
    <xf numFmtId="1" fontId="4" fillId="2" borderId="0" xfId="0" applyNumberFormat="1" applyFont="1" applyFill="1" applyProtection="1">
      <protection hidden="1"/>
    </xf>
    <xf numFmtId="14" fontId="6" fillId="0" borderId="0" xfId="0" applyNumberFormat="1" applyFont="1" applyProtection="1">
      <protection hidden="1"/>
    </xf>
    <xf numFmtId="0" fontId="2" fillId="2" borderId="8" xfId="0" applyFont="1" applyFill="1" applyBorder="1" applyAlignment="1" applyProtection="1">
      <alignment horizontal="left"/>
      <protection hidden="1"/>
    </xf>
    <xf numFmtId="165" fontId="4" fillId="2" borderId="9" xfId="0" applyNumberFormat="1" applyFont="1" applyFill="1" applyBorder="1" applyProtection="1">
      <protection hidden="1"/>
    </xf>
    <xf numFmtId="0" fontId="5" fillId="2" borderId="8" xfId="0" applyFont="1" applyFill="1" applyBorder="1" applyProtection="1">
      <protection hidden="1"/>
    </xf>
    <xf numFmtId="2" fontId="4" fillId="2" borderId="9" xfId="0" applyNumberFormat="1" applyFont="1" applyFill="1" applyBorder="1" applyProtection="1">
      <protection hidden="1"/>
    </xf>
    <xf numFmtId="0" fontId="2" fillId="2" borderId="10" xfId="0" applyFont="1" applyFill="1" applyBorder="1" applyAlignment="1" applyProtection="1">
      <alignment horizontal="left"/>
      <protection hidden="1"/>
    </xf>
    <xf numFmtId="0" fontId="4" fillId="3" borderId="0" xfId="0" applyFont="1" applyFill="1" applyProtection="1">
      <protection locked="0"/>
    </xf>
    <xf numFmtId="0" fontId="0" fillId="2" borderId="11" xfId="0" applyFill="1" applyBorder="1" applyProtection="1">
      <protection hidden="1"/>
    </xf>
    <xf numFmtId="0" fontId="2" fillId="2" borderId="11" xfId="0" quotePrefix="1" applyFont="1" applyFill="1" applyBorder="1" applyAlignment="1" applyProtection="1">
      <alignment horizontal="left"/>
      <protection hidden="1"/>
    </xf>
    <xf numFmtId="0" fontId="4" fillId="3" borderId="12" xfId="0" applyFont="1" applyFill="1" applyBorder="1" applyProtection="1">
      <protection locked="0"/>
    </xf>
    <xf numFmtId="0" fontId="5" fillId="2" borderId="8" xfId="0" quotePrefix="1" applyFont="1" applyFill="1" applyBorder="1" applyAlignment="1" applyProtection="1">
      <alignment horizontal="left"/>
      <protection hidden="1"/>
    </xf>
    <xf numFmtId="0" fontId="5" fillId="2" borderId="8" xfId="0" applyFont="1" applyFill="1" applyBorder="1" applyAlignment="1" applyProtection="1">
      <alignment horizontal="left"/>
      <protection hidden="1"/>
    </xf>
    <xf numFmtId="14" fontId="4" fillId="2" borderId="9" xfId="0" applyNumberFormat="1" applyFont="1" applyFill="1" applyBorder="1" applyAlignment="1" applyProtection="1">
      <alignment horizontal="right"/>
      <protection hidden="1"/>
    </xf>
    <xf numFmtId="0" fontId="2" fillId="2" borderId="4" xfId="0" applyFont="1" applyFill="1" applyBorder="1" applyProtection="1">
      <protection hidden="1"/>
    </xf>
    <xf numFmtId="0" fontId="4" fillId="2" borderId="5" xfId="0" applyFont="1" applyFill="1" applyBorder="1" applyProtection="1">
      <protection hidden="1"/>
    </xf>
    <xf numFmtId="0" fontId="2" fillId="2" borderId="6" xfId="0" applyFont="1" applyFill="1" applyBorder="1" applyAlignment="1" applyProtection="1">
      <alignment horizontal="center"/>
      <protection hidden="1"/>
    </xf>
    <xf numFmtId="0" fontId="2" fillId="2" borderId="10" xfId="0" applyFont="1" applyFill="1" applyBorder="1" applyProtection="1">
      <protection hidden="1"/>
    </xf>
    <xf numFmtId="0" fontId="4" fillId="2" borderId="12" xfId="0" applyFont="1" applyFill="1" applyBorder="1" applyProtection="1">
      <protection hidden="1"/>
    </xf>
    <xf numFmtId="9" fontId="4" fillId="2" borderId="8" xfId="0" applyNumberFormat="1" applyFont="1" applyFill="1" applyBorder="1" applyAlignment="1" applyProtection="1">
      <alignment horizontal="center"/>
      <protection hidden="1"/>
    </xf>
    <xf numFmtId="14" fontId="4" fillId="3" borderId="0" xfId="0" applyNumberFormat="1" applyFont="1" applyFill="1" applyProtection="1">
      <protection locked="0"/>
    </xf>
    <xf numFmtId="9" fontId="8" fillId="2" borderId="0" xfId="0" applyNumberFormat="1" applyFont="1" applyFill="1" applyProtection="1">
      <protection hidden="1"/>
    </xf>
    <xf numFmtId="1" fontId="4" fillId="2" borderId="9" xfId="0" applyNumberFormat="1" applyFont="1" applyFill="1" applyBorder="1" applyAlignment="1" applyProtection="1">
      <alignment horizontal="center"/>
      <protection hidden="1"/>
    </xf>
    <xf numFmtId="0" fontId="5" fillId="3" borderId="7" xfId="0" applyFont="1" applyFill="1" applyBorder="1" applyProtection="1">
      <protection locked="0"/>
    </xf>
    <xf numFmtId="14" fontId="4" fillId="2" borderId="0" xfId="0" applyNumberFormat="1" applyFont="1" applyFill="1" applyProtection="1">
      <protection hidden="1"/>
    </xf>
    <xf numFmtId="0" fontId="2" fillId="0" borderId="1" xfId="0" quotePrefix="1" applyFont="1" applyBorder="1" applyAlignment="1" applyProtection="1">
      <alignment horizontal="left"/>
      <protection hidden="1"/>
    </xf>
    <xf numFmtId="0" fontId="2" fillId="0" borderId="2" xfId="0" applyFont="1" applyBorder="1" applyAlignment="1" applyProtection="1">
      <alignment horizontal="center"/>
      <protection hidden="1"/>
    </xf>
    <xf numFmtId="14" fontId="2" fillId="0" borderId="7" xfId="0" applyNumberFormat="1" applyFont="1" applyBorder="1" applyAlignment="1" applyProtection="1">
      <alignment horizontal="center"/>
      <protection hidden="1"/>
    </xf>
    <xf numFmtId="0" fontId="2" fillId="0" borderId="1" xfId="0" applyFont="1" applyBorder="1" applyAlignment="1" applyProtection="1">
      <alignment horizontal="left"/>
      <protection hidden="1"/>
    </xf>
    <xf numFmtId="14" fontId="4" fillId="0" borderId="2" xfId="0" applyNumberFormat="1" applyFont="1" applyBorder="1" applyProtection="1">
      <protection hidden="1"/>
    </xf>
    <xf numFmtId="9" fontId="2" fillId="2" borderId="8" xfId="0" applyNumberFormat="1" applyFont="1" applyFill="1" applyBorder="1" applyAlignment="1" applyProtection="1">
      <alignment horizontal="center"/>
      <protection hidden="1"/>
    </xf>
    <xf numFmtId="14" fontId="9" fillId="0" borderId="0" xfId="0" applyNumberFormat="1" applyFont="1" applyProtection="1">
      <protection hidden="1"/>
    </xf>
    <xf numFmtId="0" fontId="2" fillId="0" borderId="0" xfId="0" quotePrefix="1" applyFont="1" applyAlignment="1" applyProtection="1">
      <alignment horizontal="left"/>
      <protection hidden="1"/>
    </xf>
    <xf numFmtId="0" fontId="4" fillId="0" borderId="0" xfId="0" applyFont="1" applyProtection="1">
      <protection hidden="1"/>
    </xf>
    <xf numFmtId="1" fontId="4" fillId="0" borderId="0" xfId="0" applyNumberFormat="1" applyFont="1" applyProtection="1">
      <protection hidden="1"/>
    </xf>
    <xf numFmtId="0" fontId="0" fillId="0" borderId="0" xfId="0" applyProtection="1">
      <protection locked="0"/>
    </xf>
    <xf numFmtId="2" fontId="5" fillId="0" borderId="13" xfId="0" applyNumberFormat="1" applyFont="1" applyBorder="1" applyProtection="1">
      <protection hidden="1"/>
    </xf>
    <xf numFmtId="0" fontId="2" fillId="2" borderId="0" xfId="0" quotePrefix="1" applyFont="1" applyFill="1" applyAlignment="1" applyProtection="1">
      <alignment horizontal="right"/>
      <protection hidden="1"/>
    </xf>
    <xf numFmtId="1" fontId="4" fillId="2" borderId="9" xfId="0" applyNumberFormat="1" applyFont="1" applyFill="1" applyBorder="1" applyProtection="1">
      <protection hidden="1"/>
    </xf>
    <xf numFmtId="0" fontId="4" fillId="2" borderId="11" xfId="0" applyFont="1" applyFill="1" applyBorder="1" applyProtection="1">
      <protection hidden="1"/>
    </xf>
    <xf numFmtId="0" fontId="2" fillId="2" borderId="11" xfId="0" applyFont="1" applyFill="1" applyBorder="1" applyAlignment="1" applyProtection="1">
      <alignment horizontal="right"/>
      <protection hidden="1"/>
    </xf>
    <xf numFmtId="1" fontId="4" fillId="2" borderId="12" xfId="0" applyNumberFormat="1" applyFont="1" applyFill="1" applyBorder="1" applyProtection="1">
      <protection hidden="1"/>
    </xf>
    <xf numFmtId="9" fontId="0" fillId="0" borderId="0" xfId="0" applyNumberFormat="1" applyProtection="1">
      <protection hidden="1"/>
    </xf>
    <xf numFmtId="0" fontId="2" fillId="2" borderId="1" xfId="0" applyFont="1" applyFill="1" applyBorder="1" applyProtection="1">
      <protection hidden="1"/>
    </xf>
    <xf numFmtId="0" fontId="0" fillId="0" borderId="2" xfId="0" applyBorder="1" applyProtection="1">
      <protection hidden="1"/>
    </xf>
    <xf numFmtId="14" fontId="4" fillId="0" borderId="7" xfId="0" applyNumberFormat="1" applyFont="1" applyBorder="1" applyProtection="1">
      <protection hidden="1"/>
    </xf>
    <xf numFmtId="14" fontId="4" fillId="0" borderId="0" xfId="0" applyNumberFormat="1" applyFont="1" applyAlignment="1" applyProtection="1">
      <alignment horizontal="center"/>
      <protection locked="0"/>
    </xf>
    <xf numFmtId="0" fontId="2" fillId="0" borderId="0" xfId="0" applyFont="1" applyAlignment="1" applyProtection="1">
      <alignment horizontal="right"/>
      <protection hidden="1"/>
    </xf>
    <xf numFmtId="166" fontId="2" fillId="0" borderId="0" xfId="0" applyNumberFormat="1" applyFont="1" applyAlignment="1" applyProtection="1">
      <alignment horizontal="center"/>
      <protection hidden="1"/>
    </xf>
    <xf numFmtId="14" fontId="2" fillId="0" borderId="14" xfId="0" applyNumberFormat="1" applyFont="1" applyBorder="1" applyProtection="1">
      <protection hidden="1"/>
    </xf>
    <xf numFmtId="166" fontId="2" fillId="0" borderId="14" xfId="0" applyNumberFormat="1" applyFont="1" applyBorder="1" applyAlignment="1" applyProtection="1">
      <alignment horizontal="center"/>
      <protection hidden="1"/>
    </xf>
    <xf numFmtId="0" fontId="3" fillId="0" borderId="14" xfId="0" applyFont="1" applyBorder="1" applyAlignment="1" applyProtection="1">
      <alignment horizontal="center"/>
      <protection hidden="1"/>
    </xf>
    <xf numFmtId="0" fontId="2" fillId="0" borderId="0" xfId="0" applyFont="1" applyProtection="1">
      <protection hidden="1"/>
    </xf>
    <xf numFmtId="0" fontId="10" fillId="0" borderId="15"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4" fillId="0" borderId="14" xfId="0" applyFont="1" applyBorder="1" applyAlignment="1" applyProtection="1">
      <alignment horizontal="center"/>
      <protection hidden="1"/>
    </xf>
    <xf numFmtId="9" fontId="4" fillId="0" borderId="14" xfId="0" applyNumberFormat="1" applyFont="1" applyBorder="1" applyProtection="1">
      <protection hidden="1"/>
    </xf>
    <xf numFmtId="2" fontId="4" fillId="0" borderId="14" xfId="0" applyNumberFormat="1" applyFont="1" applyBorder="1" applyProtection="1">
      <protection hidden="1"/>
    </xf>
    <xf numFmtId="2" fontId="4" fillId="0" borderId="16" xfId="0" applyNumberFormat="1" applyFont="1" applyBorder="1" applyProtection="1">
      <protection hidden="1"/>
    </xf>
    <xf numFmtId="2" fontId="7" fillId="0" borderId="14" xfId="0" applyNumberFormat="1" applyFont="1" applyBorder="1" applyProtection="1">
      <protection hidden="1"/>
    </xf>
    <xf numFmtId="0" fontId="2" fillId="0" borderId="0" xfId="0" applyFont="1" applyAlignment="1" applyProtection="1">
      <alignment horizontal="left"/>
      <protection hidden="1"/>
    </xf>
    <xf numFmtId="0" fontId="9" fillId="0" borderId="0" xfId="0" applyFont="1" applyProtection="1">
      <protection hidden="1"/>
    </xf>
    <xf numFmtId="0" fontId="4" fillId="3" borderId="14" xfId="0" applyFont="1" applyFill="1" applyBorder="1" applyProtection="1">
      <protection locked="0"/>
    </xf>
    <xf numFmtId="0" fontId="4" fillId="2" borderId="17" xfId="0" applyFont="1" applyFill="1" applyBorder="1" applyProtection="1">
      <protection hidden="1"/>
    </xf>
    <xf numFmtId="0" fontId="4" fillId="2" borderId="18" xfId="0" applyFont="1" applyFill="1" applyBorder="1" applyProtection="1">
      <protection hidden="1"/>
    </xf>
    <xf numFmtId="164" fontId="4" fillId="0" borderId="14" xfId="0" applyNumberFormat="1" applyFont="1" applyBorder="1" applyProtection="1">
      <protection hidden="1"/>
    </xf>
    <xf numFmtId="0" fontId="4" fillId="0" borderId="0" xfId="0" applyFont="1" applyProtection="1">
      <protection locked="0"/>
    </xf>
    <xf numFmtId="0" fontId="4" fillId="0" borderId="19" xfId="0" applyFont="1" applyBorder="1" applyProtection="1">
      <protection locked="0"/>
    </xf>
    <xf numFmtId="0" fontId="4" fillId="0" borderId="20" xfId="0" applyFont="1" applyBorder="1" applyProtection="1">
      <protection locked="0"/>
    </xf>
    <xf numFmtId="2" fontId="4" fillId="0" borderId="20" xfId="0" applyNumberFormat="1" applyFont="1" applyBorder="1" applyProtection="1">
      <protection hidden="1"/>
    </xf>
    <xf numFmtId="0" fontId="2" fillId="0" borderId="21" xfId="0" applyFont="1" applyBorder="1" applyAlignment="1" applyProtection="1">
      <alignment horizontal="center"/>
      <protection hidden="1"/>
    </xf>
    <xf numFmtId="0" fontId="2" fillId="0" borderId="22" xfId="0" applyFont="1" applyBorder="1" applyAlignment="1" applyProtection="1">
      <alignment horizontal="center"/>
      <protection hidden="1"/>
    </xf>
    <xf numFmtId="0" fontId="2" fillId="0" borderId="23" xfId="0" applyFont="1" applyBorder="1" applyAlignment="1" applyProtection="1">
      <alignment horizontal="center"/>
      <protection hidden="1"/>
    </xf>
    <xf numFmtId="0" fontId="2" fillId="0" borderId="4" xfId="0" applyFont="1" applyBorder="1" applyProtection="1">
      <protection hidden="1"/>
    </xf>
    <xf numFmtId="0" fontId="2" fillId="0" borderId="24" xfId="0" applyFont="1" applyBorder="1" applyProtection="1">
      <protection hidden="1"/>
    </xf>
    <xf numFmtId="0" fontId="2" fillId="0" borderId="24" xfId="0" applyFont="1" applyBorder="1" applyAlignment="1" applyProtection="1">
      <alignment horizontal="center"/>
      <protection hidden="1"/>
    </xf>
    <xf numFmtId="0" fontId="2" fillId="0" borderId="25" xfId="0" applyFont="1" applyBorder="1" applyAlignment="1" applyProtection="1">
      <alignment horizontal="center"/>
      <protection hidden="1"/>
    </xf>
    <xf numFmtId="0" fontId="2" fillId="0" borderId="26" xfId="0" applyFont="1" applyBorder="1" applyAlignment="1" applyProtection="1">
      <alignment horizontal="center"/>
      <protection hidden="1"/>
    </xf>
    <xf numFmtId="167" fontId="11" fillId="0" borderId="0" xfId="0" applyNumberFormat="1" applyFont="1"/>
    <xf numFmtId="167" fontId="5" fillId="3" borderId="7" xfId="0" applyNumberFormat="1" applyFont="1" applyFill="1" applyBorder="1" applyProtection="1">
      <protection locked="0"/>
    </xf>
    <xf numFmtId="164" fontId="5" fillId="3" borderId="7" xfId="0" applyNumberFormat="1" applyFont="1" applyFill="1" applyBorder="1" applyProtection="1">
      <protection locked="0"/>
    </xf>
    <xf numFmtId="0" fontId="2" fillId="0" borderId="27" xfId="0" applyFont="1" applyBorder="1" applyAlignment="1" applyProtection="1">
      <alignment horizontal="center"/>
      <protection hidden="1"/>
    </xf>
    <xf numFmtId="14" fontId="4" fillId="0" borderId="27" xfId="0" applyNumberFormat="1" applyFont="1" applyBorder="1" applyAlignment="1" applyProtection="1">
      <alignment horizontal="right"/>
      <protection hidden="1"/>
    </xf>
    <xf numFmtId="164" fontId="4" fillId="0" borderId="28" xfId="0" applyNumberFormat="1" applyFont="1" applyBorder="1" applyAlignment="1" applyProtection="1">
      <alignment horizontal="right"/>
      <protection hidden="1"/>
    </xf>
    <xf numFmtId="0" fontId="2" fillId="0" borderId="29" xfId="0" quotePrefix="1" applyFont="1" applyBorder="1" applyAlignment="1" applyProtection="1">
      <alignment horizontal="left"/>
      <protection hidden="1"/>
    </xf>
    <xf numFmtId="165" fontId="4" fillId="0" borderId="17" xfId="0" applyNumberFormat="1" applyFont="1" applyBorder="1" applyProtection="1">
      <protection hidden="1"/>
    </xf>
    <xf numFmtId="0" fontId="2" fillId="0" borderId="29" xfId="0" applyFont="1" applyBorder="1" applyAlignment="1" applyProtection="1">
      <alignment horizontal="center"/>
      <protection hidden="1"/>
    </xf>
    <xf numFmtId="0" fontId="2" fillId="0" borderId="29" xfId="0" applyFont="1" applyBorder="1" applyProtection="1">
      <protection hidden="1"/>
    </xf>
    <xf numFmtId="164" fontId="0" fillId="0" borderId="7" xfId="0" applyNumberFormat="1" applyBorder="1" applyAlignment="1">
      <alignment horizontal="center"/>
    </xf>
    <xf numFmtId="14" fontId="4" fillId="0" borderId="15" xfId="0" applyNumberFormat="1" applyFont="1" applyBorder="1" applyProtection="1">
      <protection hidden="1"/>
    </xf>
    <xf numFmtId="0" fontId="4" fillId="3" borderId="31" xfId="0" applyFont="1" applyFill="1" applyBorder="1" applyProtection="1">
      <protection locked="0" hidden="1"/>
    </xf>
    <xf numFmtId="0" fontId="2" fillId="0" borderId="29" xfId="0" applyFont="1" applyBorder="1" applyAlignment="1" applyProtection="1">
      <alignment horizontal="left"/>
      <protection hidden="1"/>
    </xf>
    <xf numFmtId="165" fontId="2" fillId="3" borderId="29" xfId="0" applyNumberFormat="1" applyFont="1" applyFill="1" applyBorder="1" applyAlignment="1" applyProtection="1">
      <alignment horizontal="center"/>
      <protection locked="0"/>
    </xf>
    <xf numFmtId="0" fontId="4" fillId="3" borderId="30" xfId="0" applyFont="1" applyFill="1" applyBorder="1" applyProtection="1">
      <protection locked="0" hidden="1"/>
    </xf>
    <xf numFmtId="2" fontId="2" fillId="0" borderId="30" xfId="0" applyNumberFormat="1" applyFont="1" applyBorder="1" applyAlignment="1" applyProtection="1">
      <alignment horizontal="center"/>
      <protection hidden="1"/>
    </xf>
    <xf numFmtId="0" fontId="2" fillId="0" borderId="32" xfId="0" applyFont="1" applyBorder="1" applyProtection="1">
      <protection hidden="1"/>
    </xf>
    <xf numFmtId="2" fontId="4" fillId="0" borderId="33" xfId="0" applyNumberFormat="1" applyFont="1" applyBorder="1" applyProtection="1">
      <protection hidden="1"/>
    </xf>
    <xf numFmtId="165" fontId="4" fillId="0" borderId="33" xfId="0" applyNumberFormat="1" applyFont="1" applyBorder="1" applyProtection="1">
      <protection hidden="1"/>
    </xf>
    <xf numFmtId="7" fontId="4" fillId="0" borderId="34" xfId="1" applyNumberFormat="1" applyFont="1" applyBorder="1" applyProtection="1">
      <protection hidden="1"/>
    </xf>
    <xf numFmtId="0" fontId="2" fillId="0" borderId="0" xfId="0" quotePrefix="1" applyFont="1" applyAlignment="1">
      <alignment horizontal="right"/>
    </xf>
    <xf numFmtId="165" fontId="2" fillId="3" borderId="21" xfId="0" applyNumberFormat="1" applyFont="1" applyFill="1" applyBorder="1" applyAlignment="1" applyProtection="1">
      <alignment horizontal="center"/>
      <protection locked="0"/>
    </xf>
    <xf numFmtId="14" fontId="4" fillId="0" borderId="22" xfId="0" applyNumberFormat="1" applyFont="1" applyBorder="1" applyProtection="1">
      <protection hidden="1"/>
    </xf>
    <xf numFmtId="164" fontId="0" fillId="0" borderId="7" xfId="0" applyNumberFormat="1" applyBorder="1" applyProtection="1">
      <protection hidden="1"/>
    </xf>
    <xf numFmtId="0" fontId="3" fillId="0" borderId="0" xfId="0" quotePrefix="1" applyFont="1" applyAlignment="1" applyProtection="1">
      <alignment horizontal="left"/>
      <protection hidden="1"/>
    </xf>
    <xf numFmtId="0" fontId="3" fillId="0" borderId="14" xfId="0" quotePrefix="1" applyFont="1" applyBorder="1" applyAlignment="1" applyProtection="1">
      <alignment horizontal="left"/>
      <protection hidden="1"/>
    </xf>
    <xf numFmtId="0" fontId="3" fillId="0" borderId="0" xfId="0" applyFont="1" applyProtection="1">
      <protection hidden="1"/>
    </xf>
    <xf numFmtId="0" fontId="3" fillId="0" borderId="0" xfId="0" applyFont="1" applyAlignment="1" applyProtection="1">
      <alignment horizontal="left"/>
      <protection hidden="1"/>
    </xf>
    <xf numFmtId="167" fontId="5" fillId="3" borderId="7" xfId="2" applyNumberFormat="1" applyFont="1" applyFill="1" applyBorder="1" applyProtection="1">
      <protection locked="0"/>
    </xf>
    <xf numFmtId="164" fontId="5" fillId="3" borderId="7" xfId="2" applyNumberFormat="1" applyFont="1" applyFill="1" applyBorder="1" applyProtection="1">
      <protection locked="0"/>
    </xf>
    <xf numFmtId="0" fontId="6" fillId="0" borderId="0" xfId="0" applyFont="1" applyProtection="1">
      <protection hidden="1"/>
    </xf>
    <xf numFmtId="165" fontId="4" fillId="3" borderId="0" xfId="2" applyNumberFormat="1" applyFont="1" applyFill="1" applyProtection="1">
      <protection locked="0"/>
    </xf>
    <xf numFmtId="14" fontId="4" fillId="3" borderId="5" xfId="2" applyNumberFormat="1" applyFont="1" applyFill="1" applyBorder="1" applyProtection="1">
      <protection locked="0"/>
    </xf>
    <xf numFmtId="14" fontId="4" fillId="3" borderId="0" xfId="2" applyNumberFormat="1" applyFont="1" applyFill="1" applyProtection="1">
      <protection locked="0"/>
    </xf>
    <xf numFmtId="14" fontId="2" fillId="3" borderId="0" xfId="2" applyNumberFormat="1" applyFont="1" applyFill="1" applyAlignment="1" applyProtection="1">
      <alignment horizontal="right"/>
      <protection locked="0"/>
    </xf>
    <xf numFmtId="10" fontId="4" fillId="3" borderId="0" xfId="2" applyNumberFormat="1" applyFont="1" applyFill="1" applyAlignment="1" applyProtection="1">
      <alignment horizontal="center"/>
      <protection locked="0"/>
    </xf>
    <xf numFmtId="14" fontId="4" fillId="3" borderId="11" xfId="2" applyNumberFormat="1" applyFont="1" applyFill="1" applyBorder="1" applyAlignment="1" applyProtection="1">
      <alignment horizontal="center"/>
      <protection locked="0"/>
    </xf>
    <xf numFmtId="0" fontId="12" fillId="0" borderId="0" xfId="0" applyFont="1" applyProtection="1">
      <protection hidden="1"/>
    </xf>
    <xf numFmtId="7" fontId="4" fillId="0" borderId="35" xfId="1" applyNumberFormat="1" applyFont="1" applyBorder="1" applyProtection="1">
      <protection hidden="1"/>
    </xf>
    <xf numFmtId="0" fontId="2" fillId="3" borderId="14" xfId="0" applyFont="1" applyFill="1" applyBorder="1" applyProtection="1">
      <protection locked="0"/>
    </xf>
    <xf numFmtId="14" fontId="4" fillId="0" borderId="14" xfId="0" applyNumberFormat="1" applyFont="1" applyBorder="1" applyAlignment="1" applyProtection="1">
      <alignment horizontal="center"/>
      <protection hidden="1"/>
    </xf>
    <xf numFmtId="2" fontId="4" fillId="0" borderId="14" xfId="0" applyNumberFormat="1" applyFont="1" applyBorder="1" applyAlignment="1" applyProtection="1">
      <alignment horizontal="center"/>
      <protection hidden="1"/>
    </xf>
    <xf numFmtId="14" fontId="2" fillId="0" borderId="14" xfId="0" applyNumberFormat="1" applyFont="1" applyBorder="1" applyAlignment="1" applyProtection="1">
      <alignment horizontal="center"/>
      <protection hidden="1"/>
    </xf>
    <xf numFmtId="2" fontId="2" fillId="0" borderId="14" xfId="0" applyNumberFormat="1" applyFont="1" applyBorder="1" applyAlignment="1" applyProtection="1">
      <alignment horizontal="center"/>
      <protection hidden="1"/>
    </xf>
    <xf numFmtId="165" fontId="2" fillId="0" borderId="17" xfId="0" applyNumberFormat="1" applyFont="1" applyBorder="1" applyProtection="1">
      <protection hidden="1"/>
    </xf>
    <xf numFmtId="0" fontId="2" fillId="0" borderId="36" xfId="0" applyFont="1" applyBorder="1" applyAlignment="1" applyProtection="1">
      <alignment horizontal="center"/>
      <protection hidden="1"/>
    </xf>
    <xf numFmtId="14" fontId="4" fillId="0" borderId="37" xfId="0" applyNumberFormat="1" applyFont="1" applyBorder="1" applyAlignment="1" applyProtection="1">
      <alignment horizontal="right"/>
      <protection hidden="1"/>
    </xf>
    <xf numFmtId="164" fontId="4" fillId="0" borderId="38" xfId="0" applyNumberFormat="1" applyFont="1" applyBorder="1" applyAlignment="1" applyProtection="1">
      <alignment horizontal="right"/>
      <protection hidden="1"/>
    </xf>
    <xf numFmtId="165" fontId="2" fillId="3" borderId="36" xfId="0" applyNumberFormat="1" applyFont="1" applyFill="1" applyBorder="1" applyAlignment="1" applyProtection="1">
      <alignment horizontal="center"/>
      <protection locked="0"/>
    </xf>
    <xf numFmtId="14" fontId="4" fillId="0" borderId="20" xfId="0" applyNumberFormat="1" applyFont="1" applyBorder="1" applyProtection="1">
      <protection hidden="1"/>
    </xf>
    <xf numFmtId="165" fontId="2" fillId="3" borderId="27" xfId="0" applyNumberFormat="1" applyFont="1" applyFill="1" applyBorder="1" applyAlignment="1" applyProtection="1">
      <alignment horizontal="center"/>
      <protection locked="0"/>
    </xf>
    <xf numFmtId="0" fontId="2" fillId="0" borderId="9" xfId="0" quotePrefix="1" applyFont="1" applyBorder="1" applyAlignment="1" applyProtection="1">
      <alignment horizontal="left"/>
      <protection hidden="1"/>
    </xf>
    <xf numFmtId="14" fontId="2" fillId="0" borderId="9" xfId="0" quotePrefix="1" applyNumberFormat="1" applyFont="1" applyBorder="1" applyAlignment="1" applyProtection="1">
      <alignment horizontal="center"/>
      <protection hidden="1"/>
    </xf>
    <xf numFmtId="0" fontId="2" fillId="0" borderId="9" xfId="0" applyFont="1" applyBorder="1" applyAlignment="1" applyProtection="1">
      <alignment horizontal="center"/>
      <protection locked="0"/>
    </xf>
    <xf numFmtId="2" fontId="0" fillId="0" borderId="3" xfId="0" applyNumberFormat="1" applyBorder="1" applyAlignment="1">
      <alignment horizontal="center"/>
    </xf>
    <xf numFmtId="165" fontId="2" fillId="0" borderId="30" xfId="0" quotePrefix="1" applyNumberFormat="1" applyFont="1" applyBorder="1" applyAlignment="1" applyProtection="1">
      <alignment horizontal="center"/>
      <protection hidden="1"/>
    </xf>
    <xf numFmtId="165" fontId="2" fillId="0" borderId="30" xfId="0" applyNumberFormat="1" applyFont="1" applyBorder="1" applyAlignment="1" applyProtection="1">
      <alignment horizontal="center"/>
      <protection hidden="1"/>
    </xf>
    <xf numFmtId="2" fontId="0" fillId="0" borderId="14" xfId="0" applyNumberFormat="1" applyBorder="1"/>
    <xf numFmtId="165" fontId="0" fillId="0" borderId="14" xfId="0" applyNumberFormat="1" applyBorder="1"/>
    <xf numFmtId="165" fontId="0" fillId="4" borderId="14" xfId="0" applyNumberFormat="1" applyFill="1" applyBorder="1" applyProtection="1">
      <protection locked="0"/>
    </xf>
    <xf numFmtId="0" fontId="2" fillId="0" borderId="0" xfId="0" applyFont="1" applyAlignment="1">
      <alignment horizontal="right"/>
    </xf>
    <xf numFmtId="0" fontId="11" fillId="0" borderId="0" xfId="0" applyFont="1" applyProtection="1">
      <protection hidden="1"/>
    </xf>
    <xf numFmtId="0" fontId="2" fillId="5" borderId="30" xfId="0" applyFont="1" applyFill="1" applyBorder="1" applyAlignment="1" applyProtection="1">
      <alignment horizontal="center"/>
      <protection hidden="1"/>
    </xf>
    <xf numFmtId="2" fontId="2" fillId="5" borderId="14" xfId="0" applyNumberFormat="1" applyFont="1" applyFill="1" applyBorder="1" applyAlignment="1" applyProtection="1">
      <alignment horizontal="center"/>
      <protection hidden="1"/>
    </xf>
    <xf numFmtId="165" fontId="2" fillId="5" borderId="17" xfId="0" applyNumberFormat="1" applyFont="1" applyFill="1" applyBorder="1" applyProtection="1">
      <protection hidden="1"/>
    </xf>
    <xf numFmtId="0" fontId="2" fillId="3" borderId="27" xfId="0" quotePrefix="1" applyFont="1" applyFill="1" applyBorder="1" applyAlignment="1" applyProtection="1">
      <alignment horizontal="center"/>
      <protection locked="0"/>
    </xf>
    <xf numFmtId="168" fontId="7" fillId="2" borderId="9" xfId="0" applyNumberFormat="1" applyFont="1" applyFill="1" applyBorder="1" applyProtection="1">
      <protection hidden="1"/>
    </xf>
    <xf numFmtId="164" fontId="5" fillId="2" borderId="14" xfId="0" applyNumberFormat="1" applyFont="1" applyFill="1" applyBorder="1" applyAlignment="1">
      <alignment horizontal="center"/>
    </xf>
    <xf numFmtId="164" fontId="2" fillId="2" borderId="14" xfId="0" applyNumberFormat="1" applyFont="1" applyFill="1" applyBorder="1" applyAlignment="1">
      <alignment horizontal="center"/>
    </xf>
    <xf numFmtId="1" fontId="2" fillId="0" borderId="14" xfId="0" applyNumberFormat="1" applyFont="1" applyBorder="1" applyAlignment="1" applyProtection="1">
      <alignment horizontal="center"/>
      <protection hidden="1"/>
    </xf>
    <xf numFmtId="2" fontId="2" fillId="3" borderId="7" xfId="0" applyNumberFormat="1" applyFont="1" applyFill="1" applyBorder="1" applyAlignment="1" applyProtection="1">
      <alignment horizontal="center"/>
      <protection locked="0"/>
    </xf>
    <xf numFmtId="0" fontId="14" fillId="0" borderId="0" xfId="0" quotePrefix="1" applyFont="1" applyAlignment="1" applyProtection="1">
      <alignment horizontal="left"/>
      <protection hidden="1"/>
    </xf>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2" fillId="0" borderId="17" xfId="0" quotePrefix="1" applyFont="1" applyBorder="1" applyAlignment="1" applyProtection="1">
      <alignment horizontal="center"/>
      <protection hidden="1"/>
    </xf>
    <xf numFmtId="0" fontId="2" fillId="0" borderId="18" xfId="0" quotePrefix="1" applyFont="1" applyBorder="1" applyAlignment="1" applyProtection="1">
      <alignment horizontal="center"/>
      <protection hidden="1"/>
    </xf>
    <xf numFmtId="0" fontId="2" fillId="0" borderId="16" xfId="0" quotePrefix="1" applyFont="1" applyBorder="1" applyAlignment="1" applyProtection="1">
      <alignment horizontal="center"/>
      <protection hidden="1"/>
    </xf>
    <xf numFmtId="0" fontId="2" fillId="0" borderId="17" xfId="0" applyFont="1" applyBorder="1" applyAlignment="1" applyProtection="1">
      <alignment horizontal="center"/>
      <protection hidden="1"/>
    </xf>
    <xf numFmtId="0" fontId="2" fillId="0" borderId="18" xfId="0" applyFont="1" applyBorder="1" applyAlignment="1" applyProtection="1">
      <alignment horizontal="center"/>
      <protection hidden="1"/>
    </xf>
    <xf numFmtId="0" fontId="2" fillId="0" borderId="16" xfId="0" applyFont="1" applyBorder="1" applyAlignment="1" applyProtection="1">
      <alignment horizontal="center"/>
      <protection hidden="1"/>
    </xf>
    <xf numFmtId="0" fontId="2" fillId="0" borderId="18" xfId="0" applyFont="1" applyBorder="1" applyProtection="1">
      <protection hidden="1"/>
    </xf>
    <xf numFmtId="0" fontId="3" fillId="0" borderId="18" xfId="0" applyFont="1" applyBorder="1" applyProtection="1">
      <protection hidden="1"/>
    </xf>
    <xf numFmtId="0" fontId="0" fillId="0" borderId="0" xfId="0" applyAlignment="1" applyProtection="1">
      <alignment horizontal="center" vertical="top" wrapText="1"/>
      <protection hidden="1"/>
    </xf>
    <xf numFmtId="0" fontId="2" fillId="0" borderId="1" xfId="0" applyFont="1" applyBorder="1" applyAlignment="1" applyProtection="1">
      <alignment horizontal="center" wrapText="1"/>
      <protection hidden="1"/>
    </xf>
    <xf numFmtId="0" fontId="0" fillId="0" borderId="2" xfId="0" applyBorder="1" applyAlignment="1">
      <alignment horizontal="center" wrapText="1"/>
    </xf>
    <xf numFmtId="0" fontId="0" fillId="0" borderId="3" xfId="0" applyBorder="1" applyAlignment="1">
      <alignment horizontal="center" wrapText="1"/>
    </xf>
    <xf numFmtId="0" fontId="2" fillId="0" borderId="1"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3" xfId="0" applyFont="1" applyBorder="1" applyAlignment="1" applyProtection="1">
      <alignment horizontal="center" wrapText="1"/>
      <protection locked="0"/>
    </xf>
    <xf numFmtId="0" fontId="2" fillId="4" borderId="1" xfId="0" applyFont="1" applyFill="1" applyBorder="1" applyAlignment="1" applyProtection="1">
      <alignment horizontal="right"/>
      <protection locked="0"/>
    </xf>
    <xf numFmtId="0" fontId="2" fillId="4" borderId="2" xfId="0" applyFont="1" applyFill="1" applyBorder="1" applyAlignment="1" applyProtection="1">
      <alignment horizontal="right"/>
      <protection locked="0"/>
    </xf>
    <xf numFmtId="0" fontId="2" fillId="4" borderId="3" xfId="0" applyFont="1" applyFill="1" applyBorder="1" applyAlignment="1" applyProtection="1">
      <alignment horizontal="right"/>
      <protection locked="0"/>
    </xf>
    <xf numFmtId="0" fontId="3" fillId="0" borderId="1" xfId="0" applyFont="1" applyBorder="1" applyAlignment="1">
      <alignment horizontal="center" wrapText="1"/>
    </xf>
    <xf numFmtId="14" fontId="2" fillId="0" borderId="1" xfId="0" quotePrefix="1" applyNumberFormat="1" applyFont="1" applyBorder="1" applyAlignment="1" applyProtection="1">
      <alignment horizontal="center" wrapText="1"/>
      <protection hidden="1"/>
    </xf>
    <xf numFmtId="0" fontId="3" fillId="0" borderId="17" xfId="0" applyFont="1" applyBorder="1" applyAlignment="1">
      <alignment horizontal="center" wrapText="1"/>
    </xf>
    <xf numFmtId="0" fontId="3" fillId="0" borderId="18" xfId="0" applyFont="1" applyBorder="1" applyAlignment="1">
      <alignment horizontal="center" wrapText="1"/>
    </xf>
    <xf numFmtId="0" fontId="3" fillId="0" borderId="16" xfId="0" applyFont="1" applyBorder="1" applyAlignment="1">
      <alignment horizontal="center" wrapText="1"/>
    </xf>
    <xf numFmtId="0" fontId="0" fillId="0" borderId="18" xfId="0" applyBorder="1" applyAlignment="1">
      <alignment horizontal="center" wrapText="1"/>
    </xf>
    <xf numFmtId="0" fontId="0" fillId="0" borderId="16" xfId="0" applyBorder="1" applyAlignment="1">
      <alignment horizontal="center" wrapText="1"/>
    </xf>
    <xf numFmtId="0" fontId="2" fillId="0" borderId="1" xfId="0" quotePrefix="1" applyFont="1" applyBorder="1" applyAlignment="1">
      <alignment wrapText="1"/>
    </xf>
    <xf numFmtId="0" fontId="3" fillId="0" borderId="2" xfId="0" applyFont="1" applyBorder="1" applyAlignment="1">
      <alignment wrapText="1"/>
    </xf>
    <xf numFmtId="0" fontId="3" fillId="0" borderId="3" xfId="0" applyFont="1" applyBorder="1" applyAlignment="1">
      <alignment wrapText="1"/>
    </xf>
    <xf numFmtId="0" fontId="2" fillId="2" borderId="0" xfId="0" applyFont="1" applyFill="1" applyAlignment="1" applyProtection="1">
      <alignment horizontal="right"/>
      <protection hidden="1"/>
    </xf>
    <xf numFmtId="0" fontId="3" fillId="0" borderId="0" xfId="0" applyFont="1" applyAlignment="1">
      <alignment horizontal="right"/>
    </xf>
    <xf numFmtId="0" fontId="2" fillId="0" borderId="1" xfId="0" quotePrefix="1" applyFont="1" applyBorder="1" applyAlignment="1" applyProtection="1">
      <alignment horizontal="center"/>
      <protection hidden="1"/>
    </xf>
    <xf numFmtId="0" fontId="3" fillId="0" borderId="2" xfId="0" applyFont="1" applyBorder="1" applyAlignment="1" applyProtection="1">
      <alignment horizontal="center"/>
      <protection hidden="1"/>
    </xf>
    <xf numFmtId="0" fontId="3" fillId="0" borderId="3" xfId="0" applyFont="1" applyBorder="1" applyAlignment="1" applyProtection="1">
      <alignment horizontal="center"/>
      <protection hidden="1"/>
    </xf>
    <xf numFmtId="0" fontId="2" fillId="0" borderId="4" xfId="0" quotePrefix="1" applyFont="1" applyBorder="1" applyAlignment="1" applyProtection="1">
      <alignment horizontal="center"/>
      <protection hidden="1"/>
    </xf>
    <xf numFmtId="0" fontId="2" fillId="0" borderId="5" xfId="0" applyFont="1" applyBorder="1" applyAlignment="1" applyProtection="1">
      <alignment horizontal="center"/>
      <protection hidden="1"/>
    </xf>
    <xf numFmtId="0" fontId="2" fillId="0" borderId="6" xfId="0" applyFont="1" applyBorder="1" applyAlignment="1" applyProtection="1">
      <alignment horizontal="center"/>
      <protection hidden="1"/>
    </xf>
    <xf numFmtId="0" fontId="2" fillId="0" borderId="2" xfId="0" applyFont="1" applyBorder="1" applyAlignment="1" applyProtection="1">
      <alignment horizontal="center"/>
      <protection hidden="1"/>
    </xf>
    <xf numFmtId="0" fontId="0" fillId="0" borderId="2" xfId="0" applyBorder="1" applyAlignment="1">
      <alignment horizontal="center"/>
    </xf>
    <xf numFmtId="0" fontId="0" fillId="0" borderId="3" xfId="0" applyBorder="1" applyAlignment="1">
      <alignment horizontal="center"/>
    </xf>
    <xf numFmtId="0" fontId="2" fillId="3" borderId="5" xfId="0" applyFont="1" applyFill="1" applyBorder="1" applyAlignment="1" applyProtection="1">
      <alignment horizontal="center"/>
      <protection locked="0"/>
    </xf>
    <xf numFmtId="0" fontId="0" fillId="3" borderId="5" xfId="0" applyFill="1" applyBorder="1" applyProtection="1">
      <protection locked="0"/>
    </xf>
    <xf numFmtId="0" fontId="0" fillId="3" borderId="6" xfId="0" applyFill="1" applyBorder="1" applyProtection="1">
      <protection locked="0"/>
    </xf>
    <xf numFmtId="49" fontId="13" fillId="3" borderId="0" xfId="0" quotePrefix="1" applyNumberFormat="1" applyFont="1" applyFill="1" applyAlignment="1" applyProtection="1">
      <alignment horizontal="center"/>
      <protection locked="0"/>
    </xf>
    <xf numFmtId="49" fontId="13" fillId="3" borderId="0" xfId="0" applyNumberFormat="1" applyFont="1" applyFill="1" applyAlignment="1" applyProtection="1">
      <alignment horizontal="center"/>
      <protection locked="0"/>
    </xf>
    <xf numFmtId="0" fontId="2" fillId="0" borderId="19" xfId="0" applyFont="1" applyBorder="1" applyAlignment="1" applyProtection="1">
      <alignment wrapText="1"/>
      <protection hidden="1"/>
    </xf>
    <xf numFmtId="0" fontId="4" fillId="0" borderId="19" xfId="0" applyFont="1" applyBorder="1" applyAlignment="1" applyProtection="1">
      <alignment wrapText="1"/>
      <protection hidden="1"/>
    </xf>
    <xf numFmtId="0" fontId="2" fillId="0" borderId="18" xfId="0" quotePrefix="1" applyFont="1" applyBorder="1" applyAlignment="1" applyProtection="1">
      <alignment horizontal="left"/>
      <protection hidden="1"/>
    </xf>
    <xf numFmtId="0" fontId="5" fillId="3" borderId="0" xfId="0" quotePrefix="1" applyFont="1" applyFill="1" applyAlignment="1" applyProtection="1">
      <alignment horizontal="left"/>
      <protection locked="0"/>
    </xf>
    <xf numFmtId="0" fontId="0" fillId="0" borderId="0" xfId="0"/>
    <xf numFmtId="0" fontId="0" fillId="0" borderId="9" xfId="0" applyBorder="1"/>
    <xf numFmtId="0" fontId="2" fillId="2" borderId="1" xfId="0" applyFont="1" applyFill="1" applyBorder="1" applyAlignment="1" applyProtection="1">
      <alignment horizontal="center"/>
      <protection hidden="1"/>
    </xf>
    <xf numFmtId="0" fontId="2" fillId="0" borderId="1" xfId="0" quotePrefix="1" applyFont="1" applyBorder="1" applyAlignment="1" applyProtection="1">
      <alignment horizontal="left"/>
      <protection hidden="1"/>
    </xf>
    <xf numFmtId="0" fontId="0" fillId="0" borderId="2" xfId="0" applyBorder="1"/>
    <xf numFmtId="0" fontId="0" fillId="0" borderId="3" xfId="0" applyBorder="1"/>
    <xf numFmtId="0" fontId="0" fillId="0" borderId="9" xfId="0" applyBorder="1" applyAlignment="1" applyProtection="1">
      <alignment horizontal="right"/>
      <protection hidden="1"/>
    </xf>
  </cellXfs>
  <cellStyles count="4">
    <cellStyle name="Currency" xfId="1" builtinId="4"/>
    <cellStyle name="Currency 2" xfId="3" xr:uid="{00000000-0005-0000-0000-000001000000}"/>
    <cellStyle name="Normal" xfId="0" builtinId="0"/>
    <cellStyle name="Normal 2" xfId="2" xr:uid="{00000000-0005-0000-0000-000003000000}"/>
  </cellStyles>
  <dxfs count="12">
    <dxf>
      <font>
        <condense val="0"/>
        <extend val="0"/>
        <color auto="1"/>
      </font>
      <fill>
        <patternFill>
          <bgColor indexed="43"/>
        </patternFill>
      </fill>
    </dxf>
    <dxf>
      <fill>
        <patternFill>
          <bgColor rgb="FFFFFF99"/>
        </patternFill>
      </fill>
    </dxf>
    <dxf>
      <fill>
        <patternFill>
          <bgColor rgb="FFFFFF99"/>
        </patternFill>
      </fill>
    </dxf>
    <dxf>
      <fill>
        <patternFill>
          <bgColor rgb="FFFFFF99"/>
        </patternFill>
      </fill>
    </dxf>
    <dxf>
      <fill>
        <patternFill>
          <bgColor indexed="43"/>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patternType="none">
          <bgColor indexed="65"/>
        </patternFill>
      </fill>
    </dxf>
    <dxf>
      <font>
        <condense val="0"/>
        <extend val="0"/>
        <color indexed="9"/>
      </font>
    </dxf>
    <dxf>
      <fill>
        <patternFill>
          <bgColor indexed="43"/>
        </patternFill>
      </fill>
    </dxf>
    <dxf>
      <font>
        <condense val="0"/>
        <extend val="0"/>
        <color indexed="9"/>
      </font>
      <fill>
        <patternFill>
          <bgColor indexed="9"/>
        </patternFill>
      </fill>
    </dxf>
    <dxf>
      <font>
        <condense val="0"/>
        <extend val="0"/>
        <color auto="1"/>
      </font>
      <fill>
        <patternFill>
          <bgColor indexed="43"/>
        </patternFill>
      </fill>
    </dxf>
  </dxfs>
  <tableStyles count="0" defaultTableStyle="TableStyleMedium2" defaultPivotStyle="PivotStyleLight16"/>
  <colors>
    <mruColors>
      <color rgb="FFFFFF99"/>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vgov-my.sharepoint.com/Users/jrk37457/AppData/Local/Microsoft/Windows/Temporary%20Internet%20Files/Content.Outlook/5BSZL2YT/OnePageVSDPWorksheet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SDP Calculation Spreadsheet"/>
      <sheetName val="Pay Dock"/>
      <sheetName val="Current Retirement Calculations"/>
      <sheetName val="Prior Retirement Calculations"/>
      <sheetName val="Instructions"/>
      <sheetName val="Tables"/>
      <sheetName val="Emp Table"/>
      <sheetName val="Revisions"/>
    </sheetNames>
    <sheetDataSet>
      <sheetData sheetId="0"/>
      <sheetData sheetId="1">
        <row r="160">
          <cell r="A160" t="str">
            <v>Elected Official - VRS - EO</v>
          </cell>
        </row>
        <row r="161">
          <cell r="A161" t="str">
            <v>Elected Official - Post Tax Buyback - BE</v>
          </cell>
        </row>
        <row r="162">
          <cell r="A162" t="str">
            <v>Elected Official - Pre Tax Buyback - BE</v>
          </cell>
        </row>
        <row r="163">
          <cell r="A163" t="str">
            <v>Fidelity - FI</v>
          </cell>
        </row>
        <row r="164">
          <cell r="A164" t="str">
            <v>Fidelity - FN</v>
          </cell>
        </row>
        <row r="165">
          <cell r="A165" t="str">
            <v>Judicial - J1</v>
          </cell>
        </row>
        <row r="166">
          <cell r="A166" t="str">
            <v>Judicial - JN</v>
          </cell>
        </row>
        <row r="167">
          <cell r="A167" t="str">
            <v>Judicial - Post Tax Buyback - B1</v>
          </cell>
        </row>
        <row r="168">
          <cell r="A168" t="str">
            <v>Judicial - Post Tax Buyback - BJ</v>
          </cell>
        </row>
        <row r="169">
          <cell r="A169" t="str">
            <v>Judicial - Pretax Buyback - B1</v>
          </cell>
        </row>
        <row r="170">
          <cell r="A170" t="str">
            <v>Judicial - Pretax Buyback - BJ</v>
          </cell>
        </row>
        <row r="171">
          <cell r="A171" t="str">
            <v>LT, JT, VT, ST</v>
          </cell>
        </row>
        <row r="172">
          <cell r="A172" t="str">
            <v>ORP - CN</v>
          </cell>
        </row>
        <row r="173">
          <cell r="A173" t="str">
            <v>ORP - CP</v>
          </cell>
        </row>
        <row r="174">
          <cell r="A174" t="str">
            <v>SPORS - Post Tax Buyback - B3</v>
          </cell>
        </row>
        <row r="175">
          <cell r="A175" t="str">
            <v>SPORS - Post Tax Buyback - BS</v>
          </cell>
        </row>
        <row r="176">
          <cell r="A176" t="str">
            <v>SPORS - Pretax Buyback - B3</v>
          </cell>
        </row>
        <row r="177">
          <cell r="A177" t="str">
            <v>SPORS - Pretax Buyback - BS</v>
          </cell>
        </row>
        <row r="178">
          <cell r="A178" t="str">
            <v>SPORS - SN</v>
          </cell>
        </row>
        <row r="179">
          <cell r="A179" t="str">
            <v>SPORS - SS</v>
          </cell>
        </row>
        <row r="180">
          <cell r="A180" t="str">
            <v>TIAA - TA</v>
          </cell>
        </row>
        <row r="181">
          <cell r="A181" t="str">
            <v>TIAA - TN</v>
          </cell>
        </row>
        <row r="182">
          <cell r="A182" t="str">
            <v>VALORS - LN</v>
          </cell>
        </row>
        <row r="183">
          <cell r="A183" t="str">
            <v>VALORS - LS</v>
          </cell>
        </row>
        <row r="184">
          <cell r="A184" t="str">
            <v>VALORS - Post Tax Buyback - B4</v>
          </cell>
        </row>
        <row r="185">
          <cell r="A185" t="str">
            <v>VALORS - Post Tax Buyback - BL</v>
          </cell>
        </row>
        <row r="186">
          <cell r="A186" t="str">
            <v>VALORS - Pretax Buyback - B4</v>
          </cell>
        </row>
        <row r="187">
          <cell r="A187" t="str">
            <v>VALORS - Pretax Buyback - BL</v>
          </cell>
        </row>
        <row r="188">
          <cell r="A188" t="str">
            <v>VRS - Post Tax Buyback - BN</v>
          </cell>
        </row>
        <row r="189">
          <cell r="A189" t="str">
            <v>VRS - Post Tax Buyback - BV</v>
          </cell>
        </row>
        <row r="190">
          <cell r="A190" t="str">
            <v>VRS - Pretax Buyback - BN</v>
          </cell>
        </row>
        <row r="191">
          <cell r="A191" t="str">
            <v>VRS - Pretax Buyback - BV</v>
          </cell>
        </row>
        <row r="192">
          <cell r="A192" t="str">
            <v>VRS - VS</v>
          </cell>
        </row>
        <row r="193">
          <cell r="A193" t="str">
            <v>VRS- VN</v>
          </cell>
        </row>
      </sheetData>
      <sheetData sheetId="2"/>
      <sheetData sheetId="3"/>
      <sheetData sheetId="4"/>
      <sheetData sheetId="5"/>
      <sheetData sheetId="6">
        <row r="2">
          <cell r="A2">
            <v>0</v>
          </cell>
          <cell r="B2">
            <v>0</v>
          </cell>
        </row>
        <row r="3">
          <cell r="A3">
            <v>5.0000000000000001E-3</v>
          </cell>
          <cell r="B3">
            <v>5.0000000000000001E-3</v>
          </cell>
        </row>
        <row r="4">
          <cell r="A4">
            <v>0.01</v>
          </cell>
          <cell r="B4">
            <v>0.01</v>
          </cell>
        </row>
        <row r="5">
          <cell r="A5">
            <v>1.4999999999999999E-2</v>
          </cell>
          <cell r="B5">
            <v>1.2500000000000001E-2</v>
          </cell>
        </row>
        <row r="6">
          <cell r="A6">
            <v>0.02</v>
          </cell>
          <cell r="B6">
            <v>1.4999999999999999E-2</v>
          </cell>
        </row>
        <row r="7">
          <cell r="A7">
            <v>2.5000000000000001E-2</v>
          </cell>
          <cell r="B7">
            <v>1.7500000000000002E-2</v>
          </cell>
        </row>
        <row r="8">
          <cell r="A8">
            <v>0.03</v>
          </cell>
          <cell r="B8">
            <v>0.02</v>
          </cell>
        </row>
        <row r="9">
          <cell r="A9">
            <v>3.5000000000000003E-2</v>
          </cell>
          <cell r="B9">
            <v>2.2499999999999999E-2</v>
          </cell>
        </row>
        <row r="10">
          <cell r="A10">
            <v>0.04</v>
          </cell>
          <cell r="B10">
            <v>2.5000000000000001E-2</v>
          </cell>
        </row>
      </sheetData>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127"/>
  <sheetViews>
    <sheetView tabSelected="1" zoomScale="115" zoomScaleNormal="115" workbookViewId="0">
      <selection activeCell="B3" sqref="B3:C3"/>
    </sheetView>
  </sheetViews>
  <sheetFormatPr defaultColWidth="9.1796875" defaultRowHeight="12.5" x14ac:dyDescent="0.25"/>
  <cols>
    <col min="1" max="1" width="20.1796875" style="57" customWidth="1"/>
    <col min="2" max="2" width="9" style="1" bestFit="1" customWidth="1"/>
    <col min="3" max="3" width="9.54296875" style="1" bestFit="1" customWidth="1"/>
    <col min="4" max="4" width="7.54296875" style="1" customWidth="1"/>
    <col min="5" max="5" width="9.81640625" style="1" bestFit="1" customWidth="1"/>
    <col min="6" max="6" width="9" style="1" customWidth="1"/>
    <col min="7" max="7" width="6.7265625" style="1" customWidth="1"/>
    <col min="8" max="8" width="9.453125" style="1" bestFit="1" customWidth="1"/>
    <col min="9" max="9" width="9.7265625" style="1" customWidth="1"/>
    <col min="10" max="10" width="10.453125" style="1" bestFit="1" customWidth="1"/>
    <col min="11" max="11" width="11" style="1" customWidth="1"/>
    <col min="12" max="12" width="9.81640625" style="1" customWidth="1"/>
    <col min="13" max="13" width="11" style="1" bestFit="1" customWidth="1"/>
    <col min="14" max="14" width="12.7265625" style="1" customWidth="1"/>
    <col min="15" max="15" width="12.26953125" style="1" customWidth="1"/>
    <col min="16" max="16" width="9.26953125" style="1" customWidth="1"/>
    <col min="17" max="17" width="9" style="1" customWidth="1"/>
    <col min="18" max="18" width="9" style="1" bestFit="1" customWidth="1"/>
    <col min="19" max="19" width="8.54296875" style="1" customWidth="1"/>
    <col min="20" max="20" width="9.1796875" style="1" bestFit="1" customWidth="1"/>
    <col min="21" max="21" width="16.453125" style="1" customWidth="1"/>
    <col min="22" max="16384" width="9.1796875" style="1"/>
  </cols>
  <sheetData>
    <row r="1" spans="1:22" ht="13.5" thickBot="1" x14ac:dyDescent="0.35">
      <c r="A1" s="208" t="s">
        <v>0</v>
      </c>
      <c r="B1" s="209"/>
      <c r="C1" s="209"/>
      <c r="D1" s="209"/>
      <c r="E1" s="210"/>
      <c r="G1" s="211" t="s">
        <v>1</v>
      </c>
      <c r="H1" s="212"/>
      <c r="I1" s="212"/>
      <c r="J1" s="213"/>
      <c r="L1" s="208" t="s">
        <v>2</v>
      </c>
      <c r="M1" s="214"/>
      <c r="N1" s="214"/>
      <c r="O1" s="214"/>
      <c r="P1" s="215"/>
      <c r="Q1" s="215"/>
      <c r="R1" s="215"/>
      <c r="S1" s="215"/>
      <c r="T1" s="216"/>
    </row>
    <row r="2" spans="1:22" ht="13" thickBot="1" x14ac:dyDescent="0.3">
      <c r="A2" s="2" t="s">
        <v>3</v>
      </c>
      <c r="B2" s="217"/>
      <c r="C2" s="218"/>
      <c r="D2" s="218"/>
      <c r="E2" s="219"/>
      <c r="G2" s="2" t="s">
        <v>4</v>
      </c>
      <c r="H2" s="3"/>
      <c r="I2" s="4"/>
      <c r="J2" s="5"/>
      <c r="L2" s="6" t="s">
        <v>5</v>
      </c>
      <c r="M2" s="6" t="s">
        <v>6</v>
      </c>
      <c r="N2" s="6" t="s">
        <v>7</v>
      </c>
      <c r="O2" s="6" t="s">
        <v>8</v>
      </c>
      <c r="P2" s="6" t="s">
        <v>9</v>
      </c>
      <c r="Q2" s="6" t="s">
        <v>10</v>
      </c>
      <c r="R2" s="6" t="s">
        <v>11</v>
      </c>
      <c r="S2" s="6" t="s">
        <v>12</v>
      </c>
      <c r="T2" s="7" t="s">
        <v>13</v>
      </c>
    </row>
    <row r="3" spans="1:22" ht="16" thickBot="1" x14ac:dyDescent="0.4">
      <c r="A3" s="8" t="s">
        <v>14</v>
      </c>
      <c r="B3" s="220"/>
      <c r="C3" s="221"/>
      <c r="D3" s="9"/>
      <c r="E3" s="10"/>
      <c r="G3" s="11"/>
      <c r="H3" s="12"/>
      <c r="I3" s="13" t="s">
        <v>15</v>
      </c>
      <c r="J3" s="14" t="s">
        <v>16</v>
      </c>
      <c r="L3" s="15"/>
      <c r="M3" s="15"/>
      <c r="N3" s="16"/>
      <c r="O3" s="17">
        <f>N3/7</f>
        <v>0</v>
      </c>
      <c r="P3" s="18">
        <f ca="1">IF(OR(M3&lt;$H$2,$J$2&lt;L3),0,IF(AND(L3="",AND(M3="")),0,SUMPRODUCT(--(WEEKDAY(ROW(INDIRECT(IF(L3&gt;=$H$2,L3,$H$2)&amp;":"&amp;IF(M3="",$J$2,IF($J$2&lt;=(M3),$J$2,(M3))))),2)&lt;6))))</f>
        <v>0</v>
      </c>
      <c r="Q3" s="18">
        <f>IF(OR(M3&lt;$H$2,$J$2&lt;L3),0,DATEDIF(IF(ISBLANK(L3),0,IF(L3&gt;=$H$2,L3,$H$2)),IF(ISBLANK((M3)),0,IF($J$2&lt;=(M3),$J$2,(M3))),"d")+IF(ISBLANK(L3),0,1))</f>
        <v>0</v>
      </c>
      <c r="R3" s="17">
        <f>Q3*O3</f>
        <v>0</v>
      </c>
      <c r="S3" s="17">
        <f>IF(R3&gt;0,R3/P3,0)</f>
        <v>0</v>
      </c>
      <c r="T3" s="19" t="e">
        <f ca="1">S3/($J$7*8)</f>
        <v>#REF!</v>
      </c>
      <c r="V3" s="20"/>
    </row>
    <row r="4" spans="1:22" ht="13.5" thickBot="1" x14ac:dyDescent="0.35">
      <c r="A4" s="8" t="s">
        <v>17</v>
      </c>
      <c r="B4" s="21"/>
      <c r="C4" s="206"/>
      <c r="D4" s="207"/>
      <c r="E4" s="23"/>
      <c r="G4" s="11" t="s">
        <v>18</v>
      </c>
      <c r="H4" s="12"/>
      <c r="I4" s="24">
        <f>DATEDIF(H2,J2,"d")+1</f>
        <v>1</v>
      </c>
      <c r="J4" s="10"/>
      <c r="K4" s="25">
        <f>M3+1</f>
        <v>1</v>
      </c>
      <c r="L4" s="15"/>
      <c r="M4" s="15"/>
      <c r="N4" s="16"/>
      <c r="O4" s="17">
        <f>N4/7</f>
        <v>0</v>
      </c>
      <c r="P4" s="18">
        <f t="shared" ref="P4:P14" ca="1" si="0">IF(OR(M4&lt;$H$2,$J$2&lt;L4),0,IF(AND(L4="",AND(M4="")),0,SUMPRODUCT(--(WEEKDAY(ROW(INDIRECT(IF(L4&gt;=$H$2,L4,$H$2)&amp;":"&amp;IF(M4="",$J$2,IF($J$2&lt;=(M4),$J$2,(M4))))),2)&lt;6))))</f>
        <v>0</v>
      </c>
      <c r="Q4" s="18">
        <f t="shared" ref="Q4:Q14" si="1">IF(OR(M4&lt;$H$2,$J$2&lt;L4),0,DATEDIF(IF(ISBLANK(L4),0,IF(L4&gt;=$H$2,L4,$H$2)),IF(ISBLANK((M4)),0,IF($J$2&lt;=(M4),$J$2,(M4))),"d")+IF(ISBLANK(L4),0,1))</f>
        <v>0</v>
      </c>
      <c r="R4" s="17">
        <f>Q4*O4</f>
        <v>0</v>
      </c>
      <c r="S4" s="17">
        <f>IF(R4&gt;0,R4/P4,0)</f>
        <v>0</v>
      </c>
      <c r="T4" s="19" t="e">
        <f t="shared" ref="T4:T14" ca="1" si="2">S4/($J$7*8)</f>
        <v>#REF!</v>
      </c>
      <c r="V4" s="20"/>
    </row>
    <row r="5" spans="1:22" ht="13.5" thickBot="1" x14ac:dyDescent="0.35">
      <c r="A5" s="26" t="s">
        <v>19</v>
      </c>
      <c r="B5" s="134"/>
      <c r="C5" s="206" t="s">
        <v>20</v>
      </c>
      <c r="D5" s="207"/>
      <c r="E5" s="27">
        <f>B5*(B7*2)</f>
        <v>0</v>
      </c>
      <c r="G5" s="11" t="s">
        <v>21</v>
      </c>
      <c r="H5" s="12"/>
      <c r="I5" s="24" t="e">
        <f ca="1">SUMPRODUCT(--(WEEKDAY(ROW(INDIRECT($H$2&amp;":"&amp;$J$2)),2)&lt;6))</f>
        <v>#REF!</v>
      </c>
      <c r="J5" s="10" t="e">
        <f ca="1">I5*ROUND(B4*8,1)</f>
        <v>#REF!</v>
      </c>
      <c r="K5" s="25">
        <f t="shared" ref="K5:K15" si="3">M4+1</f>
        <v>1</v>
      </c>
      <c r="L5" s="15"/>
      <c r="M5" s="15"/>
      <c r="N5" s="16"/>
      <c r="O5" s="17">
        <f>N5/7</f>
        <v>0</v>
      </c>
      <c r="P5" s="18">
        <f t="shared" ca="1" si="0"/>
        <v>0</v>
      </c>
      <c r="Q5" s="18">
        <f t="shared" si="1"/>
        <v>0</v>
      </c>
      <c r="R5" s="17">
        <f>Q5*O5</f>
        <v>0</v>
      </c>
      <c r="S5" s="17">
        <f>IF(R5&gt;0,R5/P5,0)</f>
        <v>0</v>
      </c>
      <c r="T5" s="19" t="e">
        <f t="shared" ca="1" si="2"/>
        <v>#REF!</v>
      </c>
    </row>
    <row r="6" spans="1:22" ht="13" thickBot="1" x14ac:dyDescent="0.3">
      <c r="A6" s="8" t="s">
        <v>22</v>
      </c>
      <c r="B6" s="225" t="s">
        <v>72</v>
      </c>
      <c r="C6" s="226"/>
      <c r="D6" s="226"/>
      <c r="E6" s="227"/>
      <c r="G6" s="28" t="s">
        <v>24</v>
      </c>
      <c r="H6" s="22"/>
      <c r="I6" s="22"/>
      <c r="J6" s="29" t="e">
        <f>B4*(((2080/12)*B7)/E7)</f>
        <v>#DIV/0!</v>
      </c>
      <c r="K6" s="25">
        <f t="shared" si="3"/>
        <v>1</v>
      </c>
      <c r="L6" s="15"/>
      <c r="M6" s="15"/>
      <c r="N6" s="16"/>
      <c r="O6" s="17">
        <f>N6/7</f>
        <v>0</v>
      </c>
      <c r="P6" s="18">
        <f t="shared" ca="1" si="0"/>
        <v>0</v>
      </c>
      <c r="Q6" s="18">
        <f t="shared" si="1"/>
        <v>0</v>
      </c>
      <c r="R6" s="17">
        <f t="shared" ref="R6:R9" si="4">Q6*O6</f>
        <v>0</v>
      </c>
      <c r="S6" s="17">
        <f t="shared" ref="S6:S9" si="5">IF(R6&gt;0,R6/P6,0)</f>
        <v>0</v>
      </c>
      <c r="T6" s="19" t="e">
        <f t="shared" ca="1" si="2"/>
        <v>#REF!</v>
      </c>
    </row>
    <row r="7" spans="1:22" ht="13" thickBot="1" x14ac:dyDescent="0.3">
      <c r="A7" s="30" t="s">
        <v>25</v>
      </c>
      <c r="B7" s="31"/>
      <c r="C7" s="32"/>
      <c r="D7" s="33" t="s">
        <v>26</v>
      </c>
      <c r="E7" s="34"/>
      <c r="G7" s="35" t="s">
        <v>27</v>
      </c>
      <c r="H7" s="22"/>
      <c r="I7" s="22"/>
      <c r="J7" s="169" t="e">
        <f ca="1">B5/IF(J10&gt;0,J10,J5)</f>
        <v>#REF!</v>
      </c>
      <c r="K7" s="25">
        <f t="shared" si="3"/>
        <v>1</v>
      </c>
      <c r="L7" s="15"/>
      <c r="M7" s="15"/>
      <c r="N7" s="16"/>
      <c r="O7" s="17">
        <f>N7/7</f>
        <v>0</v>
      </c>
      <c r="P7" s="18">
        <f t="shared" ca="1" si="0"/>
        <v>0</v>
      </c>
      <c r="Q7" s="18">
        <f t="shared" si="1"/>
        <v>0</v>
      </c>
      <c r="R7" s="17">
        <f t="shared" si="4"/>
        <v>0</v>
      </c>
      <c r="S7" s="17">
        <f t="shared" si="5"/>
        <v>0</v>
      </c>
      <c r="T7" s="19" t="e">
        <f t="shared" ca="1" si="2"/>
        <v>#REF!</v>
      </c>
    </row>
    <row r="8" spans="1:22" ht="13.5" thickBot="1" x14ac:dyDescent="0.35">
      <c r="A8" s="228" t="s">
        <v>28</v>
      </c>
      <c r="B8" s="209"/>
      <c r="C8" s="209"/>
      <c r="D8" s="209"/>
      <c r="E8" s="210"/>
      <c r="G8" s="36"/>
      <c r="H8" s="22"/>
      <c r="I8" s="22"/>
      <c r="J8" s="37"/>
      <c r="K8" s="25">
        <f t="shared" si="3"/>
        <v>1</v>
      </c>
      <c r="L8" s="15"/>
      <c r="M8" s="15"/>
      <c r="N8" s="16"/>
      <c r="O8" s="17">
        <f t="shared" ref="O8:O9" si="6">N8/7</f>
        <v>0</v>
      </c>
      <c r="P8" s="18">
        <f t="shared" ca="1" si="0"/>
        <v>0</v>
      </c>
      <c r="Q8" s="18">
        <f t="shared" si="1"/>
        <v>0</v>
      </c>
      <c r="R8" s="17">
        <f t="shared" si="4"/>
        <v>0</v>
      </c>
      <c r="S8" s="17">
        <f t="shared" si="5"/>
        <v>0</v>
      </c>
      <c r="T8" s="19" t="e">
        <f t="shared" ca="1" si="2"/>
        <v>#REF!</v>
      </c>
    </row>
    <row r="9" spans="1:22" ht="13" thickBot="1" x14ac:dyDescent="0.3">
      <c r="A9" s="38" t="s">
        <v>29</v>
      </c>
      <c r="B9" s="39"/>
      <c r="C9" s="135"/>
      <c r="D9" s="39"/>
      <c r="E9" s="40" t="s">
        <v>30</v>
      </c>
      <c r="G9" s="41" t="s">
        <v>31</v>
      </c>
      <c r="H9" s="32"/>
      <c r="I9" s="32"/>
      <c r="J9" s="42" t="e">
        <f ca="1">J6/J5</f>
        <v>#DIV/0!</v>
      </c>
      <c r="K9" s="25">
        <f t="shared" si="3"/>
        <v>1</v>
      </c>
      <c r="L9" s="15"/>
      <c r="M9" s="15"/>
      <c r="N9" s="16"/>
      <c r="O9" s="17">
        <f t="shared" si="6"/>
        <v>0</v>
      </c>
      <c r="P9" s="18">
        <f t="shared" ca="1" si="0"/>
        <v>0</v>
      </c>
      <c r="Q9" s="18">
        <f t="shared" si="1"/>
        <v>0</v>
      </c>
      <c r="R9" s="17">
        <f t="shared" si="4"/>
        <v>0</v>
      </c>
      <c r="S9" s="17">
        <f t="shared" si="5"/>
        <v>0</v>
      </c>
      <c r="T9" s="19" t="e">
        <f t="shared" ca="1" si="2"/>
        <v>#REF!</v>
      </c>
    </row>
    <row r="10" spans="1:22" ht="13" thickBot="1" x14ac:dyDescent="0.3">
      <c r="A10" s="43">
        <f>IF(AND($E$16&lt;1,$C$17&gt;=$K$15,$C$13=""),"",IF(AND($C$17&gt;=$K$15,$E$16&lt;5),IF(AND(LEFT(B6)="S",$C$13="Approved"),100%,60%),100%))</f>
        <v>1</v>
      </c>
      <c r="B10" s="44"/>
      <c r="C10" s="136"/>
      <c r="D10" s="45">
        <f>A10</f>
        <v>1</v>
      </c>
      <c r="E10" s="46" t="e">
        <f ca="1">SUMPRODUCT(--(WEEKDAY(ROW(INDIRECT($B$10&amp;":"&amp;$C$10)),2)&lt;6))</f>
        <v>#REF!</v>
      </c>
      <c r="G10" s="229" t="s">
        <v>32</v>
      </c>
      <c r="H10" s="230"/>
      <c r="I10" s="231"/>
      <c r="J10" s="47"/>
      <c r="K10" s="25">
        <f t="shared" si="3"/>
        <v>1</v>
      </c>
      <c r="L10" s="15"/>
      <c r="M10" s="15"/>
      <c r="N10" s="16"/>
      <c r="O10" s="17">
        <f>N10/7</f>
        <v>0</v>
      </c>
      <c r="P10" s="18">
        <f t="shared" ca="1" si="0"/>
        <v>0</v>
      </c>
      <c r="Q10" s="18">
        <f t="shared" si="1"/>
        <v>0</v>
      </c>
      <c r="R10" s="17">
        <f>Q10*O10</f>
        <v>0</v>
      </c>
      <c r="S10" s="17">
        <f>IF(R10&gt;0,R10/P10,0)</f>
        <v>0</v>
      </c>
      <c r="T10" s="19" t="e">
        <f t="shared" ca="1" si="2"/>
        <v>#REF!</v>
      </c>
    </row>
    <row r="11" spans="1:22" ht="13" thickBot="1" x14ac:dyDescent="0.3">
      <c r="A11" s="43">
        <f>IF(AND($E$16&lt;1,$C$17&gt;=$K$15,$C$13=""),"",IF(AND($C$17&gt;=$K$15,$E$16&lt;5),"",80%))</f>
        <v>0.8</v>
      </c>
      <c r="B11" s="48">
        <f>IF(A11=80%,C10+1,"")</f>
        <v>1</v>
      </c>
      <c r="C11" s="136"/>
      <c r="D11" s="45">
        <f>A11</f>
        <v>0.8</v>
      </c>
      <c r="E11" s="46">
        <f ca="1">IF(ISBLANK(C11),0,IF(B11=DATE(1900,1,1),0,IF(A11=80%,SUMPRODUCT(--(WEEKDAY(ROW(INDIRECT($B$11&amp;":"&amp;$C$11)),2)&lt;6)),0)))</f>
        <v>0</v>
      </c>
      <c r="G11" s="49" t="s">
        <v>33</v>
      </c>
      <c r="H11" s="50"/>
      <c r="I11" s="50"/>
      <c r="J11" s="51">
        <f>MAX(endrange)+1</f>
        <v>1</v>
      </c>
      <c r="K11" s="25">
        <f t="shared" si="3"/>
        <v>1</v>
      </c>
      <c r="L11" s="15"/>
      <c r="M11" s="15"/>
      <c r="N11" s="16"/>
      <c r="O11" s="17">
        <f>N11/7</f>
        <v>0</v>
      </c>
      <c r="P11" s="18">
        <f t="shared" ca="1" si="0"/>
        <v>0</v>
      </c>
      <c r="Q11" s="18">
        <f t="shared" si="1"/>
        <v>0</v>
      </c>
      <c r="R11" s="17">
        <f>Q11*O11</f>
        <v>0</v>
      </c>
      <c r="S11" s="17">
        <f>IF(R11&gt;0,R11/P11,0)</f>
        <v>0</v>
      </c>
      <c r="T11" s="19" t="e">
        <f t="shared" ca="1" si="2"/>
        <v>#REF!</v>
      </c>
    </row>
    <row r="12" spans="1:22" ht="13" thickBot="1" x14ac:dyDescent="0.3">
      <c r="A12" s="43" t="e">
        <f ca="1">IF(OR(AND($E$16&lt;1,$C$17&gt;=$K$15),AND(($E$10+$E$11&gt;=125),$E$17&gt;119,C13="approved")),"",IF(AND($C$17&gt;=$K$15,$E$16&lt;5),"",60%))</f>
        <v>#REF!</v>
      </c>
      <c r="B12" s="48" t="e">
        <f ca="1">IF(A12=60%,C11+1,"")</f>
        <v>#REF!</v>
      </c>
      <c r="C12" s="136"/>
      <c r="D12" s="45" t="e">
        <f ca="1">A12</f>
        <v>#REF!</v>
      </c>
      <c r="E12" s="46">
        <f ca="1">IF(ISBLANK(C12),0,IF(B12=DATE(1900,1,1),0,IF(A12=60%,SUMPRODUCT(--(WEEKDAY(ROW(INDIRECT($B$12&amp;":"&amp;$C$12)),2)&lt;6)),0)))</f>
        <v>0</v>
      </c>
      <c r="G12" s="52" t="s">
        <v>139</v>
      </c>
      <c r="H12" s="53"/>
      <c r="I12" s="50"/>
      <c r="J12" s="173"/>
      <c r="K12" s="25">
        <f t="shared" si="3"/>
        <v>1</v>
      </c>
      <c r="L12" s="15"/>
      <c r="M12" s="15"/>
      <c r="N12" s="16"/>
      <c r="O12" s="17">
        <f t="shared" ref="O12:O14" si="7">N12/7</f>
        <v>0</v>
      </c>
      <c r="P12" s="18">
        <f t="shared" ca="1" si="0"/>
        <v>0</v>
      </c>
      <c r="Q12" s="18">
        <f t="shared" si="1"/>
        <v>0</v>
      </c>
      <c r="R12" s="17">
        <f t="shared" ref="R12:R14" si="8">Q12*O12</f>
        <v>0</v>
      </c>
      <c r="S12" s="17">
        <f t="shared" ref="S12:S14" si="9">IF(R12&gt;0,R12/P12,0)</f>
        <v>0</v>
      </c>
      <c r="T12" s="19" t="e">
        <f t="shared" ca="1" si="2"/>
        <v>#REF!</v>
      </c>
    </row>
    <row r="13" spans="1:22" ht="13" thickBot="1" x14ac:dyDescent="0.3">
      <c r="A13" s="54" t="s">
        <v>34</v>
      </c>
      <c r="C13" s="137"/>
      <c r="D13" s="45"/>
      <c r="E13" s="46"/>
      <c r="G13" s="175"/>
      <c r="H13" s="176"/>
      <c r="I13" s="176"/>
      <c r="J13" s="177"/>
      <c r="K13" s="25">
        <f t="shared" si="3"/>
        <v>1</v>
      </c>
      <c r="L13" s="15"/>
      <c r="M13" s="15"/>
      <c r="N13" s="16"/>
      <c r="O13" s="17">
        <f t="shared" si="7"/>
        <v>0</v>
      </c>
      <c r="P13" s="18">
        <f t="shared" ca="1" si="0"/>
        <v>0</v>
      </c>
      <c r="Q13" s="18">
        <f t="shared" si="1"/>
        <v>0</v>
      </c>
      <c r="R13" s="17">
        <f t="shared" si="8"/>
        <v>0</v>
      </c>
      <c r="S13" s="17">
        <f t="shared" si="9"/>
        <v>0</v>
      </c>
      <c r="T13" s="19" t="e">
        <f t="shared" ca="1" si="2"/>
        <v>#REF!</v>
      </c>
    </row>
    <row r="14" spans="1:22" ht="13" thickBot="1" x14ac:dyDescent="0.3">
      <c r="A14" s="8" t="s">
        <v>35</v>
      </c>
      <c r="B14" s="12"/>
      <c r="C14" s="136"/>
      <c r="D14" s="55">
        <f>MAX(C9:C12)</f>
        <v>0</v>
      </c>
      <c r="E14" s="46"/>
      <c r="G14" s="175"/>
      <c r="H14" s="176"/>
      <c r="I14" s="176"/>
      <c r="J14" s="177"/>
      <c r="K14" s="25">
        <f>M13+1</f>
        <v>1</v>
      </c>
      <c r="L14" s="15"/>
      <c r="M14" s="15"/>
      <c r="N14" s="16"/>
      <c r="O14" s="17">
        <f t="shared" si="7"/>
        <v>0</v>
      </c>
      <c r="P14" s="18">
        <f t="shared" ca="1" si="0"/>
        <v>0</v>
      </c>
      <c r="Q14" s="18">
        <f t="shared" si="1"/>
        <v>0</v>
      </c>
      <c r="R14" s="17">
        <f t="shared" si="8"/>
        <v>0</v>
      </c>
      <c r="S14" s="17">
        <f t="shared" si="9"/>
        <v>0</v>
      </c>
      <c r="T14" s="19" t="e">
        <f t="shared" ca="1" si="2"/>
        <v>#REF!</v>
      </c>
    </row>
    <row r="15" spans="1:22" ht="13" thickBot="1" x14ac:dyDescent="0.3">
      <c r="A15" s="11" t="s">
        <v>36</v>
      </c>
      <c r="B15" s="12"/>
      <c r="C15" s="138"/>
      <c r="D15" s="206" t="s">
        <v>37</v>
      </c>
      <c r="E15" s="232"/>
      <c r="G15" s="174" t="s">
        <v>38</v>
      </c>
      <c r="H15" s="57"/>
      <c r="I15" s="58"/>
      <c r="J15" s="57"/>
      <c r="K15" s="25">
        <f t="shared" si="3"/>
        <v>1</v>
      </c>
      <c r="M15" s="59"/>
      <c r="N15" s="59"/>
      <c r="O15" s="59"/>
      <c r="P15" s="18">
        <f ca="1">SUM(P3:P14)</f>
        <v>0</v>
      </c>
      <c r="Q15" s="18">
        <f>SUM(Q3:Q14)</f>
        <v>0</v>
      </c>
      <c r="R15" s="17">
        <f>SUM(R3:R14)</f>
        <v>0</v>
      </c>
      <c r="S15" s="60"/>
      <c r="T15" s="19" t="e">
        <f>R15/B5</f>
        <v>#DIV/0!</v>
      </c>
    </row>
    <row r="16" spans="1:22" ht="13" thickBot="1" x14ac:dyDescent="0.3">
      <c r="A16" s="11" t="s">
        <v>39</v>
      </c>
      <c r="B16" s="12"/>
      <c r="C16" s="138"/>
      <c r="D16" s="61" t="s">
        <v>40</v>
      </c>
      <c r="E16" s="62">
        <f>DATEDIF(C17,C9,"y")</f>
        <v>0</v>
      </c>
      <c r="G16" s="56"/>
      <c r="H16" s="57"/>
      <c r="I16" s="58"/>
      <c r="J16" s="57"/>
    </row>
    <row r="17" spans="1:21" ht="13" thickBot="1" x14ac:dyDescent="0.3">
      <c r="A17" s="41" t="s">
        <v>142</v>
      </c>
      <c r="B17" s="63"/>
      <c r="C17" s="139"/>
      <c r="D17" s="64" t="s">
        <v>41</v>
      </c>
      <c r="E17" s="65">
        <f>DATEDIF(C17,C9,"m")</f>
        <v>0</v>
      </c>
      <c r="G17" s="22"/>
      <c r="H17" s="22"/>
      <c r="I17" s="22"/>
      <c r="J17" s="22"/>
      <c r="K17" s="22"/>
      <c r="L17" s="22"/>
      <c r="M17" s="13"/>
      <c r="N17" s="66"/>
      <c r="O17" s="67" t="s">
        <v>42</v>
      </c>
      <c r="P17" s="68"/>
      <c r="Q17" s="68"/>
      <c r="R17" s="68"/>
      <c r="S17" s="69">
        <f>C9+89</f>
        <v>89</v>
      </c>
    </row>
    <row r="18" spans="1:21" x14ac:dyDescent="0.25">
      <c r="A18" s="13"/>
      <c r="B18" s="57"/>
      <c r="C18" s="70"/>
      <c r="D18" s="71"/>
      <c r="E18" s="58"/>
      <c r="F18" s="72"/>
      <c r="G18" s="22"/>
      <c r="H18" s="22"/>
      <c r="I18" s="22"/>
      <c r="J18" s="22"/>
      <c r="K18" s="22"/>
      <c r="L18" s="22"/>
      <c r="M18" s="13"/>
      <c r="Q18" s="20"/>
    </row>
    <row r="19" spans="1:21" ht="13" x14ac:dyDescent="0.3">
      <c r="A19" s="73" t="s">
        <v>43</v>
      </c>
      <c r="B19" s="74">
        <f>H2</f>
        <v>0</v>
      </c>
      <c r="C19" s="74">
        <f t="shared" ref="C19:Q19" si="10">IF((IF(VALUE(B19)&lt;5,20,B19)+1)-$B$19&lt;$I$4,B19+1,0)</f>
        <v>0</v>
      </c>
      <c r="D19" s="74">
        <f t="shared" si="10"/>
        <v>0</v>
      </c>
      <c r="E19" s="74">
        <f t="shared" si="10"/>
        <v>0</v>
      </c>
      <c r="F19" s="74">
        <f t="shared" si="10"/>
        <v>0</v>
      </c>
      <c r="G19" s="74">
        <f t="shared" si="10"/>
        <v>0</v>
      </c>
      <c r="H19" s="74">
        <f t="shared" si="10"/>
        <v>0</v>
      </c>
      <c r="I19" s="74">
        <f t="shared" si="10"/>
        <v>0</v>
      </c>
      <c r="J19" s="74">
        <f t="shared" si="10"/>
        <v>0</v>
      </c>
      <c r="K19" s="74">
        <f t="shared" si="10"/>
        <v>0</v>
      </c>
      <c r="L19" s="74">
        <f>IF((IF(VALUE(K19)&lt;5,20,K19)+1)-$B$19&lt;$I$4,K19+1,0)</f>
        <v>0</v>
      </c>
      <c r="M19" s="74">
        <f t="shared" si="10"/>
        <v>0</v>
      </c>
      <c r="N19" s="74">
        <f t="shared" si="10"/>
        <v>0</v>
      </c>
      <c r="O19" s="74">
        <f t="shared" si="10"/>
        <v>0</v>
      </c>
      <c r="P19" s="74">
        <f t="shared" si="10"/>
        <v>0</v>
      </c>
      <c r="Q19" s="74">
        <f t="shared" si="10"/>
        <v>0</v>
      </c>
      <c r="R19" s="75" t="s">
        <v>44</v>
      </c>
    </row>
    <row r="20" spans="1:21" x14ac:dyDescent="0.25">
      <c r="A20" s="76" t="s">
        <v>45</v>
      </c>
      <c r="B20" s="77" t="str">
        <f>IF(B19&lt;5,"",CHOOSE(WEEKDAY(B19),"Sun","Mon","Tues","Wed","Thurs","Fri","Sat"))</f>
        <v/>
      </c>
      <c r="C20" s="77" t="str">
        <f t="shared" ref="C20:Q20" si="11">IF(C19&lt;5,"",CHOOSE(WEEKDAY(C19),"Sun","Mon","Tues","Wed","Thurs","Fri","Sat"))</f>
        <v/>
      </c>
      <c r="D20" s="77" t="str">
        <f t="shared" si="11"/>
        <v/>
      </c>
      <c r="E20" s="77" t="str">
        <f t="shared" si="11"/>
        <v/>
      </c>
      <c r="F20" s="78" t="str">
        <f t="shared" si="11"/>
        <v/>
      </c>
      <c r="G20" s="78" t="str">
        <f t="shared" si="11"/>
        <v/>
      </c>
      <c r="H20" s="78" t="str">
        <f t="shared" si="11"/>
        <v/>
      </c>
      <c r="I20" s="78" t="str">
        <f t="shared" si="11"/>
        <v/>
      </c>
      <c r="J20" s="78" t="str">
        <f t="shared" si="11"/>
        <v/>
      </c>
      <c r="K20" s="78" t="str">
        <f t="shared" si="11"/>
        <v/>
      </c>
      <c r="L20" s="78" t="str">
        <f t="shared" si="11"/>
        <v/>
      </c>
      <c r="M20" s="78" t="str">
        <f t="shared" si="11"/>
        <v/>
      </c>
      <c r="N20" s="78" t="str">
        <f t="shared" si="11"/>
        <v/>
      </c>
      <c r="O20" s="78" t="str">
        <f t="shared" si="11"/>
        <v/>
      </c>
      <c r="P20" s="78" t="str">
        <f t="shared" si="11"/>
        <v/>
      </c>
      <c r="Q20" s="78" t="str">
        <f t="shared" si="11"/>
        <v/>
      </c>
      <c r="R20" s="79"/>
    </row>
    <row r="21" spans="1:21" x14ac:dyDescent="0.25">
      <c r="A21" s="76" t="s">
        <v>46</v>
      </c>
      <c r="B21" s="80" t="str">
        <f>IF(IF($C$14&lt;$D$14,$C$14,$D$14)&lt;B19,"NO VSDP",IF(B19&lt;5,"",IF(OR(WEEKDAY(B19)=1,WEEKDAY(B19)=7),0,IF(B19&gt;=$B$10,VLOOKUP(B19,VSDPAPP,3,TRUE),"NO VSDP"))))</f>
        <v/>
      </c>
      <c r="C21" s="80" t="str">
        <f t="shared" ref="C21:Q21" si="12">IF(IF($C$14&lt;$D$14,$C$14,$C$14)&lt;C19,"NO VSDP",IF(C19&lt;5,"",IF(OR(WEEKDAY(C19)=1,WEEKDAY(C19)=7),0,IF(C19&gt;=$B$10,VLOOKUP(C19,VSDPAPP,3,TRUE),"NO VSDP"))))</f>
        <v/>
      </c>
      <c r="D21" s="80" t="str">
        <f t="shared" si="12"/>
        <v/>
      </c>
      <c r="E21" s="80" t="str">
        <f t="shared" si="12"/>
        <v/>
      </c>
      <c r="F21" s="80" t="str">
        <f t="shared" si="12"/>
        <v/>
      </c>
      <c r="G21" s="80" t="str">
        <f t="shared" si="12"/>
        <v/>
      </c>
      <c r="H21" s="80" t="str">
        <f t="shared" si="12"/>
        <v/>
      </c>
      <c r="I21" s="80" t="str">
        <f t="shared" si="12"/>
        <v/>
      </c>
      <c r="J21" s="80" t="str">
        <f t="shared" si="12"/>
        <v/>
      </c>
      <c r="K21" s="80" t="str">
        <f t="shared" si="12"/>
        <v/>
      </c>
      <c r="L21" s="80" t="str">
        <f t="shared" si="12"/>
        <v/>
      </c>
      <c r="M21" s="80" t="str">
        <f t="shared" si="12"/>
        <v/>
      </c>
      <c r="N21" s="80" t="str">
        <f t="shared" si="12"/>
        <v/>
      </c>
      <c r="O21" s="80" t="str">
        <f t="shared" si="12"/>
        <v/>
      </c>
      <c r="P21" s="80" t="str">
        <f t="shared" si="12"/>
        <v/>
      </c>
      <c r="Q21" s="80" t="str">
        <f t="shared" si="12"/>
        <v/>
      </c>
      <c r="R21" s="80"/>
    </row>
    <row r="22" spans="1:21" x14ac:dyDescent="0.25">
      <c r="A22" s="76" t="s">
        <v>47</v>
      </c>
      <c r="B22" s="81">
        <f>(IF(OR(B21=0,B21="",ISTEXT(B21)),0,IF(B23&gt;B29,(B23/B21)*(1-B21),(B23/B21)-MAX(B23,B29)))-B31)</f>
        <v>0</v>
      </c>
      <c r="C22" s="81">
        <f t="shared" ref="C22:Q22" si="13">(IF(OR(C21=0,C21="",ISTEXT(C21)),0,IF(C23&gt;C29,(C23/C21)*(1-C21),(C23/C21)-MAX(C23,C29)))-C31)</f>
        <v>0</v>
      </c>
      <c r="D22" s="81">
        <f t="shared" si="13"/>
        <v>0</v>
      </c>
      <c r="E22" s="81">
        <f t="shared" si="13"/>
        <v>0</v>
      </c>
      <c r="F22" s="81">
        <f t="shared" si="13"/>
        <v>0</v>
      </c>
      <c r="G22" s="81">
        <f t="shared" si="13"/>
        <v>0</v>
      </c>
      <c r="H22" s="81">
        <f t="shared" si="13"/>
        <v>0</v>
      </c>
      <c r="I22" s="81">
        <f t="shared" si="13"/>
        <v>0</v>
      </c>
      <c r="J22" s="81">
        <f t="shared" si="13"/>
        <v>0</v>
      </c>
      <c r="K22" s="81">
        <f t="shared" si="13"/>
        <v>0</v>
      </c>
      <c r="L22" s="81">
        <f t="shared" si="13"/>
        <v>0</v>
      </c>
      <c r="M22" s="81">
        <f t="shared" si="13"/>
        <v>0</v>
      </c>
      <c r="N22" s="81">
        <f t="shared" si="13"/>
        <v>0</v>
      </c>
      <c r="O22" s="81">
        <f t="shared" si="13"/>
        <v>0</v>
      </c>
      <c r="P22" s="81">
        <f t="shared" si="13"/>
        <v>0</v>
      </c>
      <c r="Q22" s="81">
        <f t="shared" si="13"/>
        <v>0</v>
      </c>
      <c r="R22" s="82">
        <f>SUM(B22:Q22)</f>
        <v>0</v>
      </c>
      <c r="S22" s="133"/>
      <c r="T22" s="133"/>
      <c r="U22" s="133"/>
    </row>
    <row r="23" spans="1:21" x14ac:dyDescent="0.25">
      <c r="A23" s="76" t="s">
        <v>48</v>
      </c>
      <c r="B23" s="81">
        <f t="shared" ref="B23:Q23" si="14">IF(B21="",0,IF((B19)&lt;5,"",IF(B21&gt;=0,((ROUND(8*$B$4,1)-IF(B19&gt;MAX(jobmodend),0,IF(ISERROR(VLOOKUP(B19,jobmods,3,TRUE)),0,VLOOKUP(B19,jobmods,3,TRUE))))*(IF(B21&lt;&gt;"no vsdp",B21,0))))))</f>
        <v>0</v>
      </c>
      <c r="C23" s="81">
        <f t="shared" si="14"/>
        <v>0</v>
      </c>
      <c r="D23" s="81">
        <f t="shared" si="14"/>
        <v>0</v>
      </c>
      <c r="E23" s="81">
        <f t="shared" si="14"/>
        <v>0</v>
      </c>
      <c r="F23" s="81">
        <f t="shared" si="14"/>
        <v>0</v>
      </c>
      <c r="G23" s="81">
        <f t="shared" si="14"/>
        <v>0</v>
      </c>
      <c r="H23" s="81">
        <f t="shared" si="14"/>
        <v>0</v>
      </c>
      <c r="I23" s="81">
        <f t="shared" si="14"/>
        <v>0</v>
      </c>
      <c r="J23" s="81">
        <f t="shared" si="14"/>
        <v>0</v>
      </c>
      <c r="K23" s="81">
        <f t="shared" si="14"/>
        <v>0</v>
      </c>
      <c r="L23" s="81">
        <f t="shared" si="14"/>
        <v>0</v>
      </c>
      <c r="M23" s="81">
        <f t="shared" si="14"/>
        <v>0</v>
      </c>
      <c r="N23" s="81">
        <f t="shared" si="14"/>
        <v>0</v>
      </c>
      <c r="O23" s="81">
        <f t="shared" si="14"/>
        <v>0</v>
      </c>
      <c r="P23" s="81">
        <f t="shared" si="14"/>
        <v>0</v>
      </c>
      <c r="Q23" s="81">
        <f t="shared" si="14"/>
        <v>0</v>
      </c>
      <c r="R23" s="82">
        <f>SUM(B23:Q23)</f>
        <v>0</v>
      </c>
      <c r="S23" s="133"/>
      <c r="T23" s="133"/>
      <c r="U23" s="133"/>
    </row>
    <row r="24" spans="1:21" x14ac:dyDescent="0.25">
      <c r="A24" s="76"/>
      <c r="B24" s="178" t="s">
        <v>111</v>
      </c>
      <c r="C24" s="179"/>
      <c r="D24" s="179"/>
      <c r="E24" s="179"/>
      <c r="F24" s="179"/>
      <c r="G24" s="179"/>
      <c r="H24" s="179"/>
      <c r="I24" s="179"/>
      <c r="J24" s="179"/>
      <c r="K24" s="179"/>
      <c r="L24" s="179"/>
      <c r="M24" s="179"/>
      <c r="N24" s="179"/>
      <c r="O24" s="179"/>
      <c r="P24" s="179"/>
      <c r="Q24" s="179"/>
      <c r="R24" s="180"/>
      <c r="S24" s="133" t="s">
        <v>85</v>
      </c>
      <c r="T24" s="164" t="s">
        <v>87</v>
      </c>
      <c r="U24" s="133"/>
    </row>
    <row r="25" spans="1:21" x14ac:dyDescent="0.25">
      <c r="A25" s="56" t="s">
        <v>49</v>
      </c>
      <c r="B25" s="83">
        <f>IF(OR(AND(B19&gt;=$L$3,B19&lt;=$M$3,$N$3&gt;0),AND(B19&gt;=$L$4,B19&lt;=$M$4,$N$4&gt;0),AND(B19&gt;=$L$5,B19&lt;=$M$5,$N$5&gt;0),AND(B19&gt;=$L$6,B19&lt;=$M$6,$N$6&gt;0),AND(B19&gt;=$L$7,B19&lt;=$M$7,$N$7&gt;0),AND(B19&gt;=$L$8,B19&lt;=$M$8,$N$8&gt;0),AND(B19&gt;=$L$9,B19&lt;=$M$9,$N$9&gt;0),AND(B19&gt;=$L$10,B19&lt;=$M$10,$N$10&gt;0),AND(B19&gt;=$L$11,B19&lt;=$M$11,$N$11&gt;0),AND(B19&gt;=$L$12,B19&lt;=$M$12,$N$12&gt;0),AND(B19&gt;=$L$13,B19&lt;=$M$13,$N$13&gt;0),AND(B19&gt;=$L$14,B19&lt;=$M$14,$N$14&gt;0) ),0,B23)</f>
        <v>0</v>
      </c>
      <c r="C25" s="83">
        <f t="shared" ref="C25:Q25" si="15">IF(OR(AND(C19&gt;=$L$3,C19&lt;=$M$3,$N$3&gt;0),AND(C19&gt;=$L$4,C19&lt;=$M$4,$N$4&gt;0),AND(C19&gt;=$L$5,C19&lt;=$M$5,$N$5&gt;0),AND(C19&gt;=$L$6,C19&lt;=$M$6,$N$6&gt;0),AND(C19&gt;=$L$7,C19&lt;=$M$7,$N$7&gt;0),AND(C19&gt;=$L$8,C19&lt;=$M$8,$N$8&gt;0),AND(C19&gt;=$L$9,C19&lt;=$M$9,$N$9&gt;0),AND(C19&gt;=$L$10,C19&lt;=$M$10,$N$10&gt;0),AND(C19&gt;=$L$11,C19&lt;=$M$11,$N$11&gt;0),AND(C19&gt;=$L$12,C19&lt;=$M$12,$N$12&gt;0),AND(C19&gt;=$L$13,C19&lt;=$M$13,$N$13&gt;0),AND(C19&gt;=$L$14,C19&lt;=$M$14,$N$14&gt;0) ),0,C23)</f>
        <v>0</v>
      </c>
      <c r="D25" s="83">
        <f t="shared" si="15"/>
        <v>0</v>
      </c>
      <c r="E25" s="83">
        <f t="shared" si="15"/>
        <v>0</v>
      </c>
      <c r="F25" s="83">
        <f t="shared" si="15"/>
        <v>0</v>
      </c>
      <c r="G25" s="83">
        <f t="shared" si="15"/>
        <v>0</v>
      </c>
      <c r="H25" s="83">
        <f t="shared" si="15"/>
        <v>0</v>
      </c>
      <c r="I25" s="83">
        <f t="shared" si="15"/>
        <v>0</v>
      </c>
      <c r="J25" s="83">
        <f t="shared" si="15"/>
        <v>0</v>
      </c>
      <c r="K25" s="83">
        <f t="shared" si="15"/>
        <v>0</v>
      </c>
      <c r="L25" s="83">
        <f t="shared" si="15"/>
        <v>0</v>
      </c>
      <c r="M25" s="83">
        <f t="shared" si="15"/>
        <v>0</v>
      </c>
      <c r="N25" s="83">
        <f t="shared" si="15"/>
        <v>0</v>
      </c>
      <c r="O25" s="83">
        <f t="shared" si="15"/>
        <v>0</v>
      </c>
      <c r="P25" s="83">
        <f t="shared" si="15"/>
        <v>0</v>
      </c>
      <c r="Q25" s="83">
        <f t="shared" si="15"/>
        <v>0</v>
      </c>
      <c r="R25" s="82">
        <f>SUM(B25:Q25)</f>
        <v>0</v>
      </c>
      <c r="S25" s="133" t="s">
        <v>100</v>
      </c>
      <c r="T25" s="164" t="s">
        <v>101</v>
      </c>
      <c r="U25" s="133"/>
    </row>
    <row r="26" spans="1:21" x14ac:dyDescent="0.25">
      <c r="A26" s="76"/>
      <c r="B26" s="178" t="s">
        <v>112</v>
      </c>
      <c r="C26" s="179"/>
      <c r="D26" s="179"/>
      <c r="E26" s="179"/>
      <c r="F26" s="179"/>
      <c r="G26" s="179"/>
      <c r="H26" s="179"/>
      <c r="I26" s="179"/>
      <c r="J26" s="179"/>
      <c r="K26" s="179"/>
      <c r="L26" s="179"/>
      <c r="M26" s="179"/>
      <c r="N26" s="179"/>
      <c r="O26" s="179"/>
      <c r="P26" s="179"/>
      <c r="Q26" s="179"/>
      <c r="R26" s="180"/>
      <c r="S26" s="133" t="s">
        <v>118</v>
      </c>
      <c r="T26" s="164" t="s">
        <v>120</v>
      </c>
      <c r="U26" s="133"/>
    </row>
    <row r="27" spans="1:21" x14ac:dyDescent="0.25">
      <c r="A27" s="56" t="s">
        <v>50</v>
      </c>
      <c r="B27" s="83">
        <f>IF(OR(B21="",B21="No VSDP"),0,IF(B19&gt;0,IF(OR(AND(B19&gt;=$L$3,B19&lt;=$M$3,$N$3&gt;0),AND(B19&gt;=$L$4,B19&lt;=$M$4,$N$4&gt;0),AND(B19&gt;=$L$5,B19&lt;=$M$5,$N$5&gt;0),AND(B19&gt;=$L$6,B19&lt;=$M$6,$N$6&gt;0),AND(B19&gt;=$L$7,B19&lt;=$M$7,$N$7&gt;0),AND(B19&gt;=$L$8,B19&lt;=$M$8,$N$8&gt;0),AND(B19&gt;=$L$9,B19&lt;=$M$9,$N$9&gt;0),AND(B19&gt;=$L$10,B19&lt;=$M$10,$N$10&gt;0),AND(B19&gt;=$L$11,B19&lt;=$M$11,$N$11&gt;0),AND(B19&gt;=$L$12,B19&lt;=$M$12,$N$12&gt;0),AND(B19&gt;=$L$13,B19&lt;=$M$13,$N$13&gt;0),AND(B19&gt;=$L$14,B19&lt;=$M$14,$N$14&gt;0) ),IF(B29&gt;B23,0,B23-B29),0)))</f>
        <v>0</v>
      </c>
      <c r="C27" s="83">
        <f t="shared" ref="C27:Q27" si="16">IF(OR(C21="",C21="No VSDP"),0,IF(C19&gt;0,IF(OR(AND(C19&gt;=$L$3,C19&lt;=$M$3,$N$3&gt;0),AND(C19&gt;=$L$4,C19&lt;=$M$4,$N$4&gt;0),AND(C19&gt;=$L$5,C19&lt;=$M$5,$N$5&gt;0),AND(C19&gt;=$L$6,C19&lt;=$M$6,$N$6&gt;0),AND(C19&gt;=$L$7,C19&lt;=$M$7,$N$7&gt;0),AND(C19&gt;=$L$8,C19&lt;=$M$8,$N$8&gt;0),AND(C19&gt;=$L$9,C19&lt;=$M$9,$N$9&gt;0),AND(C19&gt;=$L$10,C19&lt;=$M$10,$N$10&gt;0),AND(C19&gt;=$L$11,C19&lt;=$M$11,$N$11&gt;0),AND(C19&gt;=$L$12,C19&lt;=$M$12,$N$12&gt;0),AND(C19&gt;=$L$13,C19&lt;=$M$13,$N$13&gt;0),AND(C19&gt;=$L$14,C19&lt;=$M$14,$N$14&gt;0) ),IF(C29&gt;C23,0,C23-C29),0)))</f>
        <v>0</v>
      </c>
      <c r="D27" s="83">
        <f t="shared" si="16"/>
        <v>0</v>
      </c>
      <c r="E27" s="83">
        <f t="shared" si="16"/>
        <v>0</v>
      </c>
      <c r="F27" s="83">
        <f t="shared" si="16"/>
        <v>0</v>
      </c>
      <c r="G27" s="83">
        <f t="shared" si="16"/>
        <v>0</v>
      </c>
      <c r="H27" s="83">
        <f t="shared" si="16"/>
        <v>0</v>
      </c>
      <c r="I27" s="83">
        <f t="shared" si="16"/>
        <v>0</v>
      </c>
      <c r="J27" s="83">
        <f t="shared" si="16"/>
        <v>0</v>
      </c>
      <c r="K27" s="83">
        <f t="shared" si="16"/>
        <v>0</v>
      </c>
      <c r="L27" s="83">
        <f t="shared" si="16"/>
        <v>0</v>
      </c>
      <c r="M27" s="83">
        <f t="shared" si="16"/>
        <v>0</v>
      </c>
      <c r="N27" s="83">
        <f t="shared" si="16"/>
        <v>0</v>
      </c>
      <c r="O27" s="83">
        <f t="shared" si="16"/>
        <v>0</v>
      </c>
      <c r="P27" s="83">
        <f t="shared" si="16"/>
        <v>0</v>
      </c>
      <c r="Q27" s="83">
        <f t="shared" si="16"/>
        <v>0</v>
      </c>
      <c r="R27" s="82">
        <f>SUM(B27:Q27)</f>
        <v>0</v>
      </c>
      <c r="S27" s="133" t="s">
        <v>86</v>
      </c>
      <c r="T27" s="164" t="s">
        <v>91</v>
      </c>
      <c r="U27" s="133"/>
    </row>
    <row r="28" spans="1:21" x14ac:dyDescent="0.25">
      <c r="A28" s="76"/>
      <c r="B28" s="178" t="s">
        <v>113</v>
      </c>
      <c r="C28" s="179"/>
      <c r="D28" s="179"/>
      <c r="E28" s="179"/>
      <c r="F28" s="179"/>
      <c r="G28" s="179"/>
      <c r="H28" s="179"/>
      <c r="I28" s="179"/>
      <c r="J28" s="179"/>
      <c r="K28" s="179"/>
      <c r="L28" s="179"/>
      <c r="M28" s="179"/>
      <c r="N28" s="179"/>
      <c r="O28" s="179"/>
      <c r="P28" s="179"/>
      <c r="Q28" s="179"/>
      <c r="R28" s="180"/>
      <c r="S28" s="133" t="s">
        <v>96</v>
      </c>
      <c r="T28" s="164" t="s">
        <v>97</v>
      </c>
      <c r="U28" s="133"/>
    </row>
    <row r="29" spans="1:21" x14ac:dyDescent="0.25">
      <c r="A29" s="84" t="s">
        <v>51</v>
      </c>
      <c r="B29" s="83">
        <f t="shared" ref="B29:Q29" si="17">IF(AND(B19&gt;=$L$3,B19&lt;=MAX($M$3,$M$4,$M$5,$M$6,$M$7,$M$8,$M$9,$M$10,$M$11,$M$12,$M$13,$M$14)),IF(OR(WEEKDAY(B19)=1,WEEKDAY(B19)=7),0,(VLOOKUP(B19,wcbens,8,TRUE)/$J$7)),0)</f>
        <v>0</v>
      </c>
      <c r="C29" s="83">
        <f t="shared" si="17"/>
        <v>0</v>
      </c>
      <c r="D29" s="83">
        <f t="shared" si="17"/>
        <v>0</v>
      </c>
      <c r="E29" s="83">
        <f t="shared" si="17"/>
        <v>0</v>
      </c>
      <c r="F29" s="83">
        <f t="shared" si="17"/>
        <v>0</v>
      </c>
      <c r="G29" s="83">
        <f t="shared" si="17"/>
        <v>0</v>
      </c>
      <c r="H29" s="83">
        <f t="shared" si="17"/>
        <v>0</v>
      </c>
      <c r="I29" s="83">
        <f t="shared" si="17"/>
        <v>0</v>
      </c>
      <c r="J29" s="83">
        <f t="shared" si="17"/>
        <v>0</v>
      </c>
      <c r="K29" s="83">
        <f t="shared" si="17"/>
        <v>0</v>
      </c>
      <c r="L29" s="83">
        <f t="shared" si="17"/>
        <v>0</v>
      </c>
      <c r="M29" s="83">
        <f t="shared" si="17"/>
        <v>0</v>
      </c>
      <c r="N29" s="83">
        <f t="shared" si="17"/>
        <v>0</v>
      </c>
      <c r="O29" s="83">
        <f t="shared" si="17"/>
        <v>0</v>
      </c>
      <c r="P29" s="83">
        <f t="shared" si="17"/>
        <v>0</v>
      </c>
      <c r="Q29" s="83">
        <f t="shared" si="17"/>
        <v>0</v>
      </c>
      <c r="R29" s="81">
        <f>SUM(B29:Q29)</f>
        <v>0</v>
      </c>
      <c r="S29" s="133" t="s">
        <v>81</v>
      </c>
      <c r="T29" s="164" t="s">
        <v>89</v>
      </c>
      <c r="U29" s="133"/>
    </row>
    <row r="30" spans="1:21" x14ac:dyDescent="0.25">
      <c r="A30" s="76"/>
      <c r="B30" s="181" t="s">
        <v>52</v>
      </c>
      <c r="C30" s="182"/>
      <c r="D30" s="182"/>
      <c r="E30" s="182"/>
      <c r="F30" s="182"/>
      <c r="G30" s="182"/>
      <c r="H30" s="182"/>
      <c r="I30" s="182"/>
      <c r="J30" s="182"/>
      <c r="K30" s="182"/>
      <c r="L30" s="182"/>
      <c r="M30" s="182"/>
      <c r="N30" s="182"/>
      <c r="O30" s="182"/>
      <c r="P30" s="182"/>
      <c r="Q30" s="182"/>
      <c r="R30" s="183"/>
      <c r="S30" s="133" t="s">
        <v>94</v>
      </c>
      <c r="T30" s="164" t="s">
        <v>95</v>
      </c>
      <c r="U30" s="133"/>
    </row>
    <row r="31" spans="1:21" x14ac:dyDescent="0.25">
      <c r="A31" s="76" t="s">
        <v>53</v>
      </c>
      <c r="B31" s="86"/>
      <c r="C31" s="86"/>
      <c r="D31" s="86"/>
      <c r="E31" s="86"/>
      <c r="F31" s="86"/>
      <c r="G31" s="86"/>
      <c r="H31" s="86"/>
      <c r="I31" s="86"/>
      <c r="J31" s="86"/>
      <c r="K31" s="86"/>
      <c r="L31" s="86"/>
      <c r="M31" s="86"/>
      <c r="N31" s="86"/>
      <c r="O31" s="86"/>
      <c r="P31" s="86"/>
      <c r="Q31" s="86"/>
      <c r="R31" s="81">
        <f>SUM(B31:Q31)</f>
        <v>0</v>
      </c>
      <c r="S31" s="133" t="s">
        <v>83</v>
      </c>
      <c r="T31" s="164" t="s">
        <v>92</v>
      </c>
      <c r="U31" s="133"/>
    </row>
    <row r="32" spans="1:21" x14ac:dyDescent="0.25">
      <c r="A32" s="84" t="s">
        <v>54</v>
      </c>
      <c r="B32" s="86"/>
      <c r="C32" s="86"/>
      <c r="D32" s="86"/>
      <c r="E32" s="86"/>
      <c r="F32" s="86"/>
      <c r="G32" s="86"/>
      <c r="H32" s="86"/>
      <c r="I32" s="86"/>
      <c r="J32" s="86"/>
      <c r="K32" s="86"/>
      <c r="L32" s="86"/>
      <c r="M32" s="86"/>
      <c r="N32" s="86"/>
      <c r="O32" s="86"/>
      <c r="P32" s="86"/>
      <c r="Q32" s="86"/>
      <c r="R32" s="81">
        <f>SUM(B32:Q32)</f>
        <v>0</v>
      </c>
      <c r="S32" s="133" t="s">
        <v>80</v>
      </c>
      <c r="T32" s="164" t="s">
        <v>121</v>
      </c>
      <c r="U32" s="133"/>
    </row>
    <row r="33" spans="1:21" x14ac:dyDescent="0.25">
      <c r="A33" s="76" t="s">
        <v>55</v>
      </c>
      <c r="B33" s="86"/>
      <c r="C33" s="86"/>
      <c r="D33" s="86"/>
      <c r="E33" s="86"/>
      <c r="F33" s="86"/>
      <c r="G33" s="86"/>
      <c r="H33" s="86"/>
      <c r="I33" s="86"/>
      <c r="J33" s="86"/>
      <c r="K33" s="86"/>
      <c r="L33" s="86"/>
      <c r="M33" s="86"/>
      <c r="N33" s="86"/>
      <c r="O33" s="86"/>
      <c r="P33" s="86"/>
      <c r="Q33" s="86"/>
      <c r="R33" s="81">
        <f>SUM(B33:Q33)</f>
        <v>0</v>
      </c>
      <c r="S33" s="133" t="s">
        <v>82</v>
      </c>
      <c r="T33" s="164" t="s">
        <v>90</v>
      </c>
      <c r="U33" s="133"/>
    </row>
    <row r="34" spans="1:21" ht="13" x14ac:dyDescent="0.3">
      <c r="A34" s="76"/>
      <c r="B34" s="87"/>
      <c r="C34" s="88"/>
      <c r="D34" s="88"/>
      <c r="E34" s="88"/>
      <c r="F34" s="88"/>
      <c r="G34" s="88"/>
      <c r="H34" s="88"/>
      <c r="I34" s="88"/>
      <c r="J34" s="88"/>
      <c r="K34" s="88"/>
      <c r="L34" s="88"/>
      <c r="M34" s="88"/>
      <c r="N34" s="88"/>
      <c r="O34" s="88"/>
      <c r="P34" s="184" t="s">
        <v>56</v>
      </c>
      <c r="Q34" s="185"/>
      <c r="R34" s="82">
        <f>SUM(R31:R33)</f>
        <v>0</v>
      </c>
      <c r="S34" s="133" t="s">
        <v>88</v>
      </c>
      <c r="T34" s="164" t="s">
        <v>122</v>
      </c>
      <c r="U34" s="133"/>
    </row>
    <row r="35" spans="1:21" x14ac:dyDescent="0.25">
      <c r="A35" s="76"/>
      <c r="B35" s="181" t="s">
        <v>57</v>
      </c>
      <c r="C35" s="182"/>
      <c r="D35" s="182"/>
      <c r="E35" s="182"/>
      <c r="F35" s="182"/>
      <c r="G35" s="182"/>
      <c r="H35" s="182"/>
      <c r="I35" s="182"/>
      <c r="J35" s="182"/>
      <c r="K35" s="182"/>
      <c r="L35" s="182"/>
      <c r="M35" s="182"/>
      <c r="N35" s="182"/>
      <c r="O35" s="182"/>
      <c r="P35" s="182"/>
      <c r="Q35" s="182"/>
      <c r="R35" s="183"/>
      <c r="S35" s="133" t="s">
        <v>119</v>
      </c>
      <c r="T35" s="164" t="s">
        <v>123</v>
      </c>
      <c r="U35" s="133"/>
    </row>
    <row r="36" spans="1:21" x14ac:dyDescent="0.25">
      <c r="A36" s="76" t="s">
        <v>58</v>
      </c>
      <c r="B36" s="86"/>
      <c r="C36" s="86"/>
      <c r="D36" s="86"/>
      <c r="E36" s="86"/>
      <c r="F36" s="86"/>
      <c r="G36" s="86"/>
      <c r="H36" s="86"/>
      <c r="I36" s="86"/>
      <c r="J36" s="86"/>
      <c r="K36" s="86"/>
      <c r="L36" s="86"/>
      <c r="M36" s="86"/>
      <c r="N36" s="86"/>
      <c r="O36" s="86"/>
      <c r="P36" s="86"/>
      <c r="Q36" s="86"/>
      <c r="R36" s="81">
        <f>SUM(B36:Q36)</f>
        <v>0</v>
      </c>
      <c r="S36" s="133" t="s">
        <v>84</v>
      </c>
      <c r="T36" s="164" t="s">
        <v>93</v>
      </c>
      <c r="U36" s="133"/>
    </row>
    <row r="37" spans="1:21" ht="13" x14ac:dyDescent="0.3">
      <c r="A37" s="222" t="s">
        <v>59</v>
      </c>
      <c r="B37" s="87"/>
      <c r="C37" s="88"/>
      <c r="D37" s="88"/>
      <c r="E37" s="88"/>
      <c r="F37" s="88"/>
      <c r="G37" s="88"/>
      <c r="H37" s="88"/>
      <c r="I37" s="88"/>
      <c r="J37" s="88"/>
      <c r="K37" s="88"/>
      <c r="L37" s="88"/>
      <c r="M37" s="88"/>
      <c r="N37" s="88"/>
      <c r="O37" s="88"/>
      <c r="P37" s="224" t="s">
        <v>60</v>
      </c>
      <c r="Q37" s="185"/>
      <c r="R37" s="82">
        <f>SUM(R36:R36)</f>
        <v>0</v>
      </c>
      <c r="S37" s="133"/>
      <c r="T37" s="164"/>
      <c r="U37" s="133"/>
    </row>
    <row r="38" spans="1:21" x14ac:dyDescent="0.25">
      <c r="A38" s="223"/>
      <c r="B38" s="89">
        <f t="shared" ref="B38:Q38" si="18">ROUND(SUM(B25:B36)+B22,2)</f>
        <v>0</v>
      </c>
      <c r="C38" s="89">
        <f t="shared" si="18"/>
        <v>0</v>
      </c>
      <c r="D38" s="89">
        <f t="shared" si="18"/>
        <v>0</v>
      </c>
      <c r="E38" s="89">
        <f t="shared" si="18"/>
        <v>0</v>
      </c>
      <c r="F38" s="89">
        <f t="shared" si="18"/>
        <v>0</v>
      </c>
      <c r="G38" s="89">
        <f t="shared" si="18"/>
        <v>0</v>
      </c>
      <c r="H38" s="89">
        <f t="shared" si="18"/>
        <v>0</v>
      </c>
      <c r="I38" s="89">
        <f t="shared" si="18"/>
        <v>0</v>
      </c>
      <c r="J38" s="89">
        <f t="shared" si="18"/>
        <v>0</v>
      </c>
      <c r="K38" s="89">
        <f t="shared" si="18"/>
        <v>0</v>
      </c>
      <c r="L38" s="89">
        <f t="shared" si="18"/>
        <v>0</v>
      </c>
      <c r="M38" s="89">
        <f t="shared" si="18"/>
        <v>0</v>
      </c>
      <c r="N38" s="89">
        <f t="shared" si="18"/>
        <v>0</v>
      </c>
      <c r="O38" s="89">
        <f t="shared" si="18"/>
        <v>0</v>
      </c>
      <c r="P38" s="89">
        <f>ROUND(SUM(P25:P36)+P22,2)</f>
        <v>0</v>
      </c>
      <c r="Q38" s="89">
        <f t="shared" si="18"/>
        <v>0</v>
      </c>
      <c r="R38" s="81">
        <f>SUM(B38:Q38)</f>
        <v>0</v>
      </c>
      <c r="S38" s="133"/>
      <c r="T38" s="57"/>
    </row>
    <row r="39" spans="1:21" x14ac:dyDescent="0.25">
      <c r="A39" s="76"/>
      <c r="B39" s="181" t="s">
        <v>61</v>
      </c>
      <c r="C39" s="182"/>
      <c r="D39" s="182"/>
      <c r="E39" s="182"/>
      <c r="F39" s="182"/>
      <c r="G39" s="182"/>
      <c r="H39" s="182"/>
      <c r="I39" s="182"/>
      <c r="J39" s="182"/>
      <c r="K39" s="182"/>
      <c r="L39" s="182"/>
      <c r="M39" s="182"/>
      <c r="N39" s="182"/>
      <c r="O39" s="182"/>
      <c r="P39" s="182"/>
      <c r="Q39" s="182"/>
      <c r="R39" s="183"/>
      <c r="T39" s="57"/>
    </row>
    <row r="40" spans="1:21" x14ac:dyDescent="0.25">
      <c r="A40" s="76" t="s">
        <v>61</v>
      </c>
      <c r="B40" s="86"/>
      <c r="C40" s="86"/>
      <c r="D40" s="86"/>
      <c r="E40" s="86"/>
      <c r="F40" s="86"/>
      <c r="G40" s="86"/>
      <c r="H40" s="86"/>
      <c r="I40" s="86"/>
      <c r="J40" s="86"/>
      <c r="K40" s="86"/>
      <c r="L40" s="86"/>
      <c r="M40" s="86"/>
      <c r="N40" s="86"/>
      <c r="O40" s="86"/>
      <c r="P40" s="86"/>
      <c r="Q40" s="86"/>
      <c r="R40" s="81">
        <f>SUM(B40:Q40)</f>
        <v>0</v>
      </c>
      <c r="S40" s="85"/>
    </row>
    <row r="41" spans="1:21" ht="7.5" customHeight="1" thickBot="1" x14ac:dyDescent="0.3">
      <c r="A41" s="76"/>
      <c r="B41" s="90"/>
      <c r="C41" s="90"/>
      <c r="D41" s="90"/>
      <c r="E41" s="90"/>
      <c r="F41" s="90"/>
      <c r="G41" s="90"/>
      <c r="H41" s="90"/>
      <c r="I41" s="90"/>
      <c r="J41" s="90"/>
      <c r="K41" s="90"/>
      <c r="L41" s="90"/>
      <c r="M41" s="90"/>
      <c r="N41" s="90"/>
      <c r="O41" s="90"/>
      <c r="P41" s="91"/>
      <c r="Q41" s="92"/>
      <c r="R41" s="93"/>
      <c r="S41" s="85"/>
    </row>
    <row r="42" spans="1:21" ht="13.5" thickBot="1" x14ac:dyDescent="0.35">
      <c r="A42" s="187" t="s">
        <v>107</v>
      </c>
      <c r="B42" s="188"/>
      <c r="C42" s="188"/>
      <c r="D42" s="188"/>
      <c r="E42" s="188"/>
      <c r="F42" s="189"/>
      <c r="G42" s="90"/>
      <c r="H42" s="190" t="s">
        <v>62</v>
      </c>
      <c r="I42" s="191"/>
      <c r="J42" s="192"/>
      <c r="K42"/>
      <c r="L42" s="198" t="s">
        <v>133</v>
      </c>
      <c r="M42" s="199"/>
      <c r="N42" s="199"/>
      <c r="O42" s="200"/>
      <c r="P42" s="156"/>
      <c r="Q42" s="196" t="s">
        <v>63</v>
      </c>
      <c r="R42" s="176"/>
      <c r="S42" s="176"/>
      <c r="T42" s="177"/>
    </row>
    <row r="43" spans="1:21" ht="13.5" customHeight="1" thickBot="1" x14ac:dyDescent="0.3">
      <c r="A43" s="142" t="s">
        <v>140</v>
      </c>
      <c r="B43" s="193" t="s">
        <v>138</v>
      </c>
      <c r="C43" s="194"/>
      <c r="D43" s="194"/>
      <c r="E43" s="194"/>
      <c r="F43" s="195"/>
      <c r="G43"/>
      <c r="H43" s="6" t="s">
        <v>5</v>
      </c>
      <c r="I43" s="6" t="s">
        <v>6</v>
      </c>
      <c r="J43" s="6" t="s">
        <v>64</v>
      </c>
      <c r="K43"/>
      <c r="L43" s="170" t="s">
        <v>108</v>
      </c>
      <c r="M43" s="170" t="s">
        <v>126</v>
      </c>
      <c r="N43" s="171" t="s">
        <v>127</v>
      </c>
      <c r="O43" s="170" t="s">
        <v>128</v>
      </c>
      <c r="Q43" s="94" t="s">
        <v>65</v>
      </c>
      <c r="R43" s="95" t="s">
        <v>66</v>
      </c>
      <c r="S43" s="95" t="s">
        <v>67</v>
      </c>
      <c r="T43" s="96" t="s">
        <v>68</v>
      </c>
    </row>
    <row r="44" spans="1:21" ht="13" thickBot="1" x14ac:dyDescent="0.3">
      <c r="A44" s="97" t="s">
        <v>102</v>
      </c>
      <c r="B44" s="98" t="s">
        <v>103</v>
      </c>
      <c r="C44" s="99" t="s">
        <v>104</v>
      </c>
      <c r="D44" s="99" t="s">
        <v>105</v>
      </c>
      <c r="E44" s="100" t="s">
        <v>106</v>
      </c>
      <c r="F44" s="101" t="s">
        <v>7</v>
      </c>
      <c r="G44" s="102">
        <f t="shared" ref="G44:G56" si="19">I44+1</f>
        <v>1</v>
      </c>
      <c r="H44" s="131"/>
      <c r="I44" s="131"/>
      <c r="J44" s="132"/>
      <c r="K44" s="163" t="s">
        <v>132</v>
      </c>
      <c r="L44" s="160">
        <f>R38</f>
        <v>0</v>
      </c>
      <c r="M44" s="161">
        <f>B5</f>
        <v>0</v>
      </c>
      <c r="N44" s="161" t="e">
        <f ca="1">R38*J7</f>
        <v>#REF!</v>
      </c>
      <c r="O44" s="161" t="e">
        <f ca="1">M44-N44</f>
        <v>#REF!</v>
      </c>
      <c r="Q44" s="105" t="str">
        <f>IF(SUM($R25+$R27)&gt;0,"STD","")</f>
        <v/>
      </c>
      <c r="R44" s="106" t="str">
        <f>IF(SUM($R25+$R27)&gt;0,H2,"")</f>
        <v/>
      </c>
      <c r="S44" s="106" t="str">
        <f>IF(SUM($R25+$R27)&gt;0,J2,"")</f>
        <v/>
      </c>
      <c r="T44" s="107" t="str">
        <f>IF(SUM($R25+$R27)&gt;0,SUM(R25+R27),"")</f>
        <v/>
      </c>
    </row>
    <row r="45" spans="1:21" ht="13.5" thickBot="1" x14ac:dyDescent="0.35">
      <c r="A45" s="108" t="s">
        <v>117</v>
      </c>
      <c r="B45" s="145" t="e">
        <f ca="1">IF(E45="","",IF(LEFT($B$43,3)="Cur","BLANK",$H$2))</f>
        <v>#REF!</v>
      </c>
      <c r="C45" s="145" t="e">
        <f ca="1">IF(E45="","",IF(LEFT($B$43,3)="Cur","BLANK",$J$2))</f>
        <v>#REF!</v>
      </c>
      <c r="D45" s="146" t="str">
        <f>IF(LEFT(B43,5)="Prior",IF(O52=0,"",IF(O52&lt;0,"-1",1)),IF(LEFT(A43,2)="NO","-1",IF(M52&gt;0,1,"")))</f>
        <v>-1</v>
      </c>
      <c r="E45" s="147" t="e">
        <f ca="1">IF(LEFT(B43,5)="Prior",IF(O52=0,"",ABS(O52)),IF(LEFT(A43,2)="NO",(((R32+R31+R33)*J7)+F49)-MIN(J12,B5),IF(M52&gt;0,M52,"")))</f>
        <v>#REF!</v>
      </c>
      <c r="F45" s="165"/>
      <c r="G45" s="102">
        <f t="shared" si="19"/>
        <v>1</v>
      </c>
      <c r="H45" s="131"/>
      <c r="I45" s="131"/>
      <c r="J45" s="132"/>
      <c r="K45"/>
      <c r="L45" s="198" t="s">
        <v>129</v>
      </c>
      <c r="M45" s="199"/>
      <c r="N45" s="199"/>
      <c r="O45" s="200"/>
      <c r="Q45" s="110" t="str">
        <f>IF($R29&gt;0,"WCP","")</f>
        <v/>
      </c>
      <c r="R45" s="106" t="str">
        <f>IF($R$29&gt;0,$H$2,"")</f>
        <v/>
      </c>
      <c r="S45" s="106" t="str">
        <f>IF($R$29&gt;0,$J$2,"")</f>
        <v/>
      </c>
      <c r="T45" s="107" t="str">
        <f>IF(($R$29)&gt;0,$R$29,"")</f>
        <v/>
      </c>
    </row>
    <row r="46" spans="1:21" ht="13" thickBot="1" x14ac:dyDescent="0.3">
      <c r="A46" s="111" t="s">
        <v>114</v>
      </c>
      <c r="B46" s="145" t="e">
        <f ca="1">IF(F46="","",IF(LEFT($B$43,3)="Cur","BLANK",$H$2))</f>
        <v>#REF!</v>
      </c>
      <c r="C46" s="145" t="e">
        <f ca="1">IF(F46="","",IF(LEFT($B$43,3)="Cur","BLANK",$J$2))</f>
        <v>#REF!</v>
      </c>
      <c r="D46" s="166"/>
      <c r="E46" s="167"/>
      <c r="F46" s="158" t="e">
        <f ca="1">IF(O53&gt;0,O53,"")</f>
        <v>#REF!</v>
      </c>
      <c r="G46" s="102">
        <f t="shared" si="19"/>
        <v>1</v>
      </c>
      <c r="H46" s="131"/>
      <c r="I46" s="131"/>
      <c r="J46" s="132"/>
      <c r="K46" s="163"/>
      <c r="L46" s="170" t="s">
        <v>108</v>
      </c>
      <c r="M46" s="170" t="s">
        <v>134</v>
      </c>
      <c r="N46" s="171" t="s">
        <v>137</v>
      </c>
      <c r="O46" s="170" t="s">
        <v>110</v>
      </c>
      <c r="Q46" s="110" t="str">
        <f>IF($R$27&gt;0,"WCL","")</f>
        <v/>
      </c>
      <c r="R46" s="106" t="str">
        <f>IF($R$27&gt;0,$H$2,"")</f>
        <v/>
      </c>
      <c r="S46" s="106" t="str">
        <f>IF($R$27&gt;0,$J$2,"")</f>
        <v/>
      </c>
      <c r="T46" s="107" t="str">
        <f>IF($R$27&gt;0,$R$27,"")</f>
        <v/>
      </c>
    </row>
    <row r="47" spans="1:21" ht="13" thickBot="1" x14ac:dyDescent="0.3">
      <c r="A47" s="111" t="s">
        <v>125</v>
      </c>
      <c r="B47" s="145" t="e">
        <f ca="1">IF(F47="","",IF(LEFT($B$43,3)="Cur","BLANK",$H$2))</f>
        <v>#REF!</v>
      </c>
      <c r="C47" s="145" t="e">
        <f ca="1">IF(F47="","",IF(LEFT($B$43,3)="Cur","BLANK",$J$2))</f>
        <v>#REF!</v>
      </c>
      <c r="D47" s="166"/>
      <c r="E47" s="167"/>
      <c r="F47" s="159" t="e">
        <f ca="1">IF(O54&gt;0,O54,"")</f>
        <v>#REF!</v>
      </c>
      <c r="G47" s="102">
        <f t="shared" si="19"/>
        <v>1</v>
      </c>
      <c r="H47" s="131"/>
      <c r="I47" s="131"/>
      <c r="J47" s="132"/>
      <c r="K47" s="163" t="str">
        <f>RIGHT(A49,5)</f>
        <v>(LNP)</v>
      </c>
      <c r="L47" s="160">
        <f>R36</f>
        <v>0</v>
      </c>
      <c r="M47" s="161" t="e">
        <f ca="1">L47*J7</f>
        <v>#REF!</v>
      </c>
      <c r="N47" s="162">
        <v>0</v>
      </c>
      <c r="O47" s="161" t="e">
        <f t="shared" ref="O47:O48" ca="1" si="20">M47-N47</f>
        <v>#REF!</v>
      </c>
      <c r="Q47" s="148" t="str">
        <f>IF($R$36&gt;0,"LNP","")</f>
        <v/>
      </c>
      <c r="R47" s="149" t="str">
        <f>IF($R$36&gt;0,$H$2,"")</f>
        <v/>
      </c>
      <c r="S47" s="149" t="str">
        <f>IF($R$36&gt;0,$J$2,"")</f>
        <v/>
      </c>
      <c r="T47" s="150" t="str">
        <f>IF($R$36&gt;0,$R$36,"")</f>
        <v/>
      </c>
    </row>
    <row r="48" spans="1:21" ht="13" thickBot="1" x14ac:dyDescent="0.3">
      <c r="A48" s="111" t="s">
        <v>115</v>
      </c>
      <c r="B48" s="145" t="e">
        <f ca="1">IF(F48="","",IF(LEFT($B$43,3)="Cur","BLANK",$H$2))</f>
        <v>#REF!</v>
      </c>
      <c r="C48" s="145" t="e">
        <f ca="1">IF(F48="","",IF(LEFT($B$43,3)="Cur","BLANK",$J$2))</f>
        <v>#REF!</v>
      </c>
      <c r="D48" s="166"/>
      <c r="E48" s="167"/>
      <c r="F48" s="159" t="e">
        <f ca="1">IF(O55&gt;0,O55,"")</f>
        <v>#REF!</v>
      </c>
      <c r="G48" s="102">
        <f t="shared" si="19"/>
        <v>1</v>
      </c>
      <c r="H48" s="131"/>
      <c r="I48" s="131"/>
      <c r="J48" s="132"/>
      <c r="K48" s="163" t="s">
        <v>130</v>
      </c>
      <c r="L48" s="160">
        <f>R22</f>
        <v>0</v>
      </c>
      <c r="M48" s="161" t="e">
        <f ca="1">L48*J7</f>
        <v>#REF!</v>
      </c>
      <c r="N48" s="162">
        <v>0</v>
      </c>
      <c r="O48" s="161" t="e">
        <f t="shared" ca="1" si="20"/>
        <v>#REF!</v>
      </c>
      <c r="P48" s="155"/>
      <c r="Q48" s="197" t="s">
        <v>99</v>
      </c>
      <c r="R48" s="188"/>
      <c r="S48" s="189"/>
      <c r="T48" s="157">
        <f>(R31)-(SUM(T49:T51))</f>
        <v>0</v>
      </c>
    </row>
    <row r="49" spans="1:21" ht="13" thickBot="1" x14ac:dyDescent="0.3">
      <c r="A49" s="115" t="s">
        <v>116</v>
      </c>
      <c r="B49" s="145" t="str">
        <f>IF(E49="","",IF(LEFT($B$43,3)="Cur","BLANK",$H$2))</f>
        <v/>
      </c>
      <c r="C49" s="145" t="str">
        <f>IF(E49="","",IF(LEFT($B$43,3)="Cur","BLANK",$J$2))</f>
        <v/>
      </c>
      <c r="D49" s="172" t="str">
        <f>IF(LEFT(B43,5)="Prior",IF(O47&gt;0,1,""),IF(LEFT(A43,3)="UNC",IF(M47&gt;0,"1",""),""))</f>
        <v/>
      </c>
      <c r="E49" s="147" t="str">
        <f>IF(LEFT(B43,5)="prior",IF(O47&gt;0,O47,""),IF(LEFT(A43,3)="SM1",IF(M47=0,"",M47),""))</f>
        <v/>
      </c>
      <c r="F49" s="159" t="e">
        <f ca="1">R36*J7</f>
        <v>#REF!</v>
      </c>
      <c r="G49" s="102">
        <f t="shared" si="19"/>
        <v>1</v>
      </c>
      <c r="H49" s="131"/>
      <c r="I49" s="131"/>
      <c r="J49" s="132"/>
      <c r="K49" s="163" t="s">
        <v>131</v>
      </c>
      <c r="L49" s="160">
        <f>L47+L48</f>
        <v>0</v>
      </c>
      <c r="M49" s="161" t="e">
        <f ca="1">SUM(M47:M48)</f>
        <v>#REF!</v>
      </c>
      <c r="N49" s="161">
        <f>SUM(N47:N48)</f>
        <v>0</v>
      </c>
      <c r="O49" s="161" t="e">
        <f ca="1">O47+O48</f>
        <v>#REF!</v>
      </c>
      <c r="Q49" s="168"/>
      <c r="R49" s="113" t="str">
        <f>IF(ISBLANK(Q49),"",$H$2)</f>
        <v/>
      </c>
      <c r="S49" s="113" t="str">
        <f>IF(ISBLANK(Q49),"",$J$2)</f>
        <v/>
      </c>
      <c r="T49" s="114"/>
      <c r="U49" s="1" t="str">
        <f>IF(Q49="","",VLOOKUP(Q49,leavecodes,2,FALSE))</f>
        <v/>
      </c>
    </row>
    <row r="50" spans="1:21" ht="13.5" thickBot="1" x14ac:dyDescent="0.35">
      <c r="A50" s="108" t="str">
        <f>IF(LEFT(A43,2)="NO","","Enter PRW Override")</f>
        <v/>
      </c>
      <c r="B50" s="143"/>
      <c r="C50" s="143"/>
      <c r="D50" s="144"/>
      <c r="E50" s="109"/>
      <c r="F50" s="118"/>
      <c r="G50" s="102">
        <f t="shared" si="19"/>
        <v>1</v>
      </c>
      <c r="H50" s="131"/>
      <c r="I50" s="131"/>
      <c r="J50" s="132"/>
      <c r="K50" s="163"/>
      <c r="L50" s="198" t="s">
        <v>135</v>
      </c>
      <c r="M50" s="201"/>
      <c r="N50" s="201"/>
      <c r="O50" s="202"/>
      <c r="Q50" s="116"/>
      <c r="R50" s="113" t="str">
        <f>IF(ISBLANK(Q50),"",$H$2)</f>
        <v/>
      </c>
      <c r="S50" s="113" t="str">
        <f>IF(ISBLANK(Q50),"",$J$2)</f>
        <v/>
      </c>
      <c r="T50" s="117"/>
      <c r="U50" s="1" t="str">
        <f>IF(Q50="","",VLOOKUP(Q50,leavecodes,2,FALSE))</f>
        <v/>
      </c>
    </row>
    <row r="51" spans="1:21" ht="13.5" customHeight="1" thickBot="1" x14ac:dyDescent="0.3">
      <c r="A51" s="119" t="str">
        <f>IF(LEFT(A43,2)="NO","","Enter VRS Override")</f>
        <v/>
      </c>
      <c r="B51" s="120"/>
      <c r="C51" s="121"/>
      <c r="D51" s="120"/>
      <c r="E51" s="122"/>
      <c r="F51" s="141"/>
      <c r="G51" s="102">
        <f t="shared" si="19"/>
        <v>1</v>
      </c>
      <c r="H51" s="131"/>
      <c r="I51" s="131"/>
      <c r="J51" s="132"/>
      <c r="K51" s="123"/>
      <c r="L51" s="170" t="s">
        <v>108</v>
      </c>
      <c r="M51" s="170" t="s">
        <v>109</v>
      </c>
      <c r="N51" s="171" t="s">
        <v>136</v>
      </c>
      <c r="O51" s="170" t="s">
        <v>110</v>
      </c>
      <c r="Q51" s="151"/>
      <c r="R51" s="152" t="str">
        <f>IF(ISBLANK(Q51),"",$H$2)</f>
        <v/>
      </c>
      <c r="S51" s="152" t="str">
        <f>IF(ISBLANK(Q51),"",$J$2)</f>
        <v/>
      </c>
      <c r="T51" s="117"/>
      <c r="U51" s="1" t="str">
        <f>IF(Q51="","",VLOOKUP(Q51,leavecodes,2,FALSE))</f>
        <v/>
      </c>
    </row>
    <row r="52" spans="1:21" ht="13.5" customHeight="1" thickBot="1" x14ac:dyDescent="0.3">
      <c r="A52" s="186" t="e">
        <f ca="1">IF(J10&gt;0,IF(J10&lt;&gt;R38,A57,""),IF(OR(ROUND(B38,2)&gt;(8*B4)),"One or more of the total hours for a work day in row 38 is greater than expected for the employee's work day.",IF(AND(C17&gt;=$K$12,E16&lt;1),"Warning: This employee was hired on or after 7/1/09 and does not have at least one year of State Service before the VSDP Start date.",IF(R38&lt;J5,"Warning:  All hours in the pay period have not been accounted for.  The spreadsheet calculations may not be correct until the total hrs in cell R38 match the pay period hours in cell J5.",IF(R38&gt;J5,"Warning:  The amount of hours exceed the number of work hours in the pay period.  It is possible that the employee is being overpaid",IF(M56&lt;J5,"Warning: Employee is not receiving a full paycheck",IF(M56&gt;B5,"Warning: The amount of pay is greater than the Semi-Monthly Salary",IF((T48+T52)&lt;&gt;0,"Personal and Supplemental Leave Hours have not been recorded in Leave Transactions.",""))))))))</f>
        <v>#REF!</v>
      </c>
      <c r="B52" s="186"/>
      <c r="C52" s="186"/>
      <c r="D52" s="186"/>
      <c r="E52" s="186"/>
      <c r="G52" s="102">
        <f t="shared" si="19"/>
        <v>1</v>
      </c>
      <c r="H52" s="131"/>
      <c r="I52" s="131"/>
      <c r="J52" s="132"/>
      <c r="K52" s="163" t="str">
        <f>RIGHT(A45,5)</f>
        <v>(RGS)</v>
      </c>
      <c r="L52" s="160">
        <f>R34</f>
        <v>0</v>
      </c>
      <c r="M52" s="161" t="e">
        <f ca="1">L52*J7</f>
        <v>#REF!</v>
      </c>
      <c r="N52" s="162">
        <v>0</v>
      </c>
      <c r="O52" s="161" t="e">
        <f ca="1">M52-N52-O47</f>
        <v>#REF!</v>
      </c>
      <c r="P52" s="155"/>
      <c r="Q52" s="197" t="s">
        <v>98</v>
      </c>
      <c r="R52" s="188"/>
      <c r="S52" s="189"/>
      <c r="T52" s="112">
        <f>(R32)-(SUM(T53:T55))</f>
        <v>0</v>
      </c>
    </row>
    <row r="53" spans="1:21" ht="13" thickBot="1" x14ac:dyDescent="0.3">
      <c r="A53" s="186"/>
      <c r="B53" s="186"/>
      <c r="C53" s="186"/>
      <c r="D53" s="186"/>
      <c r="E53" s="186"/>
      <c r="G53" s="102">
        <f t="shared" si="19"/>
        <v>1</v>
      </c>
      <c r="H53" s="131"/>
      <c r="I53" s="131"/>
      <c r="J53" s="132"/>
      <c r="K53" s="163" t="str">
        <f>RIGHT(A46,5)</f>
        <v>(STD)</v>
      </c>
      <c r="L53" s="160">
        <f>R25</f>
        <v>0</v>
      </c>
      <c r="M53" s="161" t="e">
        <f ca="1">L53*J7</f>
        <v>#REF!</v>
      </c>
      <c r="N53" s="162">
        <v>0</v>
      </c>
      <c r="O53" s="161" t="e">
        <f t="shared" ref="O53:O55" ca="1" si="21">M53-N53</f>
        <v>#REF!</v>
      </c>
      <c r="Q53" s="153"/>
      <c r="R53" s="113" t="str">
        <f>IF(ISBLANK(Q53),"",$H$2)</f>
        <v/>
      </c>
      <c r="S53" s="113" t="str">
        <f>IF(ISBLANK(Q53),"",$J$2)</f>
        <v/>
      </c>
      <c r="T53" s="117"/>
      <c r="U53" s="1" t="str">
        <f>IF(Q53="","",VLOOKUP(Q53,leavecodes,2,FALSE))</f>
        <v/>
      </c>
    </row>
    <row r="54" spans="1:21" ht="13" thickBot="1" x14ac:dyDescent="0.3">
      <c r="A54" s="186"/>
      <c r="B54" s="186"/>
      <c r="C54" s="186"/>
      <c r="D54" s="186"/>
      <c r="E54" s="186"/>
      <c r="G54" s="102">
        <f t="shared" si="19"/>
        <v>1</v>
      </c>
      <c r="H54" s="131"/>
      <c r="I54" s="131"/>
      <c r="J54" s="132"/>
      <c r="K54" s="163" t="str">
        <f>RIGHT(A47,5)</f>
        <v>(WCL)</v>
      </c>
      <c r="L54" s="160">
        <f>R27</f>
        <v>0</v>
      </c>
      <c r="M54" s="161" t="e">
        <f ca="1">L54*J7</f>
        <v>#REF!</v>
      </c>
      <c r="N54" s="162">
        <v>0</v>
      </c>
      <c r="O54" s="161" t="e">
        <f t="shared" ca="1" si="21"/>
        <v>#REF!</v>
      </c>
      <c r="Q54" s="116"/>
      <c r="R54" s="113" t="str">
        <f>IF(ISBLANK(Q54),"",$H$2)</f>
        <v/>
      </c>
      <c r="S54" s="113" t="str">
        <f>IF(ISBLANK(Q54),"",$J$2)</f>
        <v/>
      </c>
      <c r="T54" s="117"/>
      <c r="U54" s="1" t="str">
        <f>IF(Q54="","",VLOOKUP(Q54,leavecodes,2,FALSE))</f>
        <v/>
      </c>
    </row>
    <row r="55" spans="1:21" ht="13" thickBot="1" x14ac:dyDescent="0.3">
      <c r="A55" s="186"/>
      <c r="B55" s="186"/>
      <c r="C55" s="186"/>
      <c r="D55" s="186"/>
      <c r="E55" s="186"/>
      <c r="G55" s="133">
        <f t="shared" si="19"/>
        <v>1</v>
      </c>
      <c r="H55" s="103"/>
      <c r="I55" s="103"/>
      <c r="J55" s="104"/>
      <c r="K55" s="163" t="str">
        <f>RIGHT(A48,5)</f>
        <v>(WCP)</v>
      </c>
      <c r="L55" s="160">
        <f>R29</f>
        <v>0</v>
      </c>
      <c r="M55" s="161" t="e">
        <f ca="1">L55*J7</f>
        <v>#REF!</v>
      </c>
      <c r="N55" s="162">
        <v>0</v>
      </c>
      <c r="O55" s="161" t="e">
        <f t="shared" ca="1" si="21"/>
        <v>#REF!</v>
      </c>
      <c r="Q55" s="124"/>
      <c r="R55" s="113" t="str">
        <f>IF(ISBLANK(Q55),"",$H$2)</f>
        <v/>
      </c>
      <c r="S55" s="125" t="str">
        <f>IF(ISBLANK(Q55),"",$J$2)</f>
        <v/>
      </c>
      <c r="T55" s="117"/>
      <c r="U55" s="1" t="str">
        <f>IF(Q55="","",VLOOKUP(Q55,leavecodes,2,FALSE))</f>
        <v/>
      </c>
    </row>
    <row r="56" spans="1:21" ht="13.5" thickBot="1" x14ac:dyDescent="0.35">
      <c r="A56" s="140" t="s">
        <v>141</v>
      </c>
      <c r="G56" s="133">
        <f t="shared" si="19"/>
        <v>1</v>
      </c>
      <c r="H56" s="103"/>
      <c r="I56" s="103"/>
      <c r="J56" s="104"/>
      <c r="K56" s="163" t="s">
        <v>124</v>
      </c>
      <c r="L56" s="160">
        <f>SUM(L52:L55)</f>
        <v>0</v>
      </c>
      <c r="M56" s="161" t="e">
        <f ca="1">SUM(M52:M55)</f>
        <v>#REF!</v>
      </c>
      <c r="N56" s="161">
        <f>SUM(N52:N55)</f>
        <v>0</v>
      </c>
      <c r="O56" s="161" t="e">
        <f ca="1">M56-N56</f>
        <v>#REF!</v>
      </c>
      <c r="P56" s="154"/>
      <c r="Q56" s="203" t="s">
        <v>69</v>
      </c>
      <c r="R56" s="204"/>
      <c r="S56" s="205"/>
      <c r="T56" s="126">
        <f>SUM(T44:T47)+SUM(T49:T51)+SUM(T53:T55)</f>
        <v>0</v>
      </c>
    </row>
    <row r="57" spans="1:21" x14ac:dyDescent="0.25">
      <c r="A57" s="85" t="s">
        <v>70</v>
      </c>
    </row>
    <row r="105" spans="1:1" ht="13" x14ac:dyDescent="0.3">
      <c r="A105" s="128" t="s">
        <v>71</v>
      </c>
    </row>
    <row r="106" spans="1:1" ht="13" x14ac:dyDescent="0.3">
      <c r="A106" s="127" t="s">
        <v>23</v>
      </c>
    </row>
    <row r="107" spans="1:1" ht="13" x14ac:dyDescent="0.3">
      <c r="A107" s="127" t="s">
        <v>72</v>
      </c>
    </row>
    <row r="108" spans="1:1" ht="13" x14ac:dyDescent="0.3">
      <c r="A108" s="129" t="s">
        <v>73</v>
      </c>
    </row>
    <row r="109" spans="1:1" ht="13" x14ac:dyDescent="0.3">
      <c r="A109" s="127" t="s">
        <v>74</v>
      </c>
    </row>
    <row r="110" spans="1:1" ht="13" x14ac:dyDescent="0.3">
      <c r="A110" s="129" t="s">
        <v>75</v>
      </c>
    </row>
    <row r="111" spans="1:1" ht="13" x14ac:dyDescent="0.3">
      <c r="A111" s="127" t="s">
        <v>76</v>
      </c>
    </row>
    <row r="112" spans="1:1" ht="13" x14ac:dyDescent="0.3">
      <c r="A112" s="130" t="s">
        <v>77</v>
      </c>
    </row>
    <row r="113" spans="1:1" ht="13" x14ac:dyDescent="0.3">
      <c r="A113" s="130" t="s">
        <v>78</v>
      </c>
    </row>
    <row r="114" spans="1:1" ht="13" x14ac:dyDescent="0.3">
      <c r="A114" s="127"/>
    </row>
    <row r="115" spans="1:1" ht="13" x14ac:dyDescent="0.3">
      <c r="A115" s="127"/>
    </row>
    <row r="116" spans="1:1" ht="13" x14ac:dyDescent="0.3">
      <c r="A116" s="129"/>
    </row>
    <row r="117" spans="1:1" ht="13" x14ac:dyDescent="0.3">
      <c r="A117" s="127"/>
    </row>
    <row r="118" spans="1:1" ht="13" x14ac:dyDescent="0.3">
      <c r="A118" s="127"/>
    </row>
    <row r="119" spans="1:1" ht="13" x14ac:dyDescent="0.3">
      <c r="A119" s="130" t="s">
        <v>79</v>
      </c>
    </row>
    <row r="120" spans="1:1" ht="13" x14ac:dyDescent="0.3">
      <c r="A120" s="127"/>
    </row>
    <row r="121" spans="1:1" ht="13" x14ac:dyDescent="0.3">
      <c r="A121" s="127"/>
    </row>
    <row r="122" spans="1:1" ht="13" x14ac:dyDescent="0.3">
      <c r="A122" s="127"/>
    </row>
    <row r="123" spans="1:1" ht="13" x14ac:dyDescent="0.3">
      <c r="A123" s="127"/>
    </row>
    <row r="124" spans="1:1" ht="13" x14ac:dyDescent="0.3">
      <c r="A124" s="129"/>
    </row>
    <row r="125" spans="1:1" ht="13" x14ac:dyDescent="0.3">
      <c r="A125" s="127"/>
    </row>
    <row r="126" spans="1:1" ht="13" x14ac:dyDescent="0.3">
      <c r="A126" s="129"/>
    </row>
    <row r="127" spans="1:1" ht="13" x14ac:dyDescent="0.3">
      <c r="A127" s="127"/>
    </row>
  </sheetData>
  <sheetProtection algorithmName="SHA-512" hashValue="WDO0zyEIxK3l8CjuzdBlYiLjQrweWzxOySogmXPofMA8cX6CVgI5oZ3MS2WpAO3iiwjCQmMDatNtEwameq+vyg==" saltValue="FTvivne6zV+bdXjdIIperg==" spinCount="100000" sheet="1" objects="1" scenarios="1"/>
  <sortState xmlns:xlrd2="http://schemas.microsoft.com/office/spreadsheetml/2017/richdata2" ref="S25:U36">
    <sortCondition ref="U25:U36"/>
    <sortCondition ref="S25:S36"/>
  </sortState>
  <mergeCells count="33">
    <mergeCell ref="G13:J13"/>
    <mergeCell ref="Q56:S56"/>
    <mergeCell ref="C5:D5"/>
    <mergeCell ref="A1:E1"/>
    <mergeCell ref="G1:J1"/>
    <mergeCell ref="L1:T1"/>
    <mergeCell ref="B2:E2"/>
    <mergeCell ref="B3:C3"/>
    <mergeCell ref="C4:D4"/>
    <mergeCell ref="A37:A38"/>
    <mergeCell ref="P37:Q37"/>
    <mergeCell ref="B6:E6"/>
    <mergeCell ref="A8:E8"/>
    <mergeCell ref="G10:I10"/>
    <mergeCell ref="D15:E15"/>
    <mergeCell ref="B24:R24"/>
    <mergeCell ref="A52:E55"/>
    <mergeCell ref="B39:R39"/>
    <mergeCell ref="A42:F42"/>
    <mergeCell ref="H42:J42"/>
    <mergeCell ref="B43:F43"/>
    <mergeCell ref="Q42:T42"/>
    <mergeCell ref="Q48:S48"/>
    <mergeCell ref="Q52:S52"/>
    <mergeCell ref="L42:O42"/>
    <mergeCell ref="L45:O45"/>
    <mergeCell ref="L50:O50"/>
    <mergeCell ref="G14:J14"/>
    <mergeCell ref="B28:R28"/>
    <mergeCell ref="B30:R30"/>
    <mergeCell ref="P34:Q34"/>
    <mergeCell ref="B35:R35"/>
    <mergeCell ref="B26:R26"/>
  </mergeCells>
  <conditionalFormatting sqref="A52:E55">
    <cfRule type="cellIs" dxfId="11" priority="10" stopIfTrue="1" operator="notEqual">
      <formula>""</formula>
    </cfRule>
  </conditionalFormatting>
  <conditionalFormatting sqref="B44:C51 F45">
    <cfRule type="expression" dxfId="10" priority="15" stopIfTrue="1">
      <formula>$B$43="Dock Pay Method"</formula>
    </cfRule>
  </conditionalFormatting>
  <conditionalFormatting sqref="B38:Q38">
    <cfRule type="cellIs" dxfId="9" priority="13" stopIfTrue="1" operator="greaterThan">
      <formula>8*$B$4</formula>
    </cfRule>
  </conditionalFormatting>
  <conditionalFormatting sqref="F18 B19:Q19 R20">
    <cfRule type="cellIs" dxfId="8" priority="11" stopIfTrue="1" operator="lessThan">
      <formula>5</formula>
    </cfRule>
  </conditionalFormatting>
  <conditionalFormatting sqref="F50">
    <cfRule type="expression" dxfId="7" priority="16" stopIfTrue="1">
      <formula>$B$43="Traditional Keying Method"</formula>
    </cfRule>
  </conditionalFormatting>
  <conditionalFormatting sqref="F51">
    <cfRule type="expression" dxfId="6" priority="7" stopIfTrue="1">
      <formula>$B$43="Traditional Keying Method"</formula>
    </cfRule>
  </conditionalFormatting>
  <conditionalFormatting sqref="G9:J9 D44:E51 A50">
    <cfRule type="expression" dxfId="5" priority="14" stopIfTrue="1">
      <formula>$B$43="Traditional Keying Method"</formula>
    </cfRule>
  </conditionalFormatting>
  <conditionalFormatting sqref="R38">
    <cfRule type="cellIs" dxfId="4" priority="12" stopIfTrue="1" operator="greaterThan">
      <formula>$J$5</formula>
    </cfRule>
  </conditionalFormatting>
  <conditionalFormatting sqref="T48">
    <cfRule type="expression" dxfId="3" priority="2">
      <formula>$T$48&lt;&gt;0</formula>
    </cfRule>
    <cfRule type="cellIs" dxfId="2" priority="6" operator="greaterThan">
      <formula>0</formula>
    </cfRule>
  </conditionalFormatting>
  <conditionalFormatting sqref="T52">
    <cfRule type="expression" dxfId="1" priority="1">
      <formula>$T$52&lt;&gt;0</formula>
    </cfRule>
    <cfRule type="cellIs" dxfId="0" priority="8" stopIfTrue="1" operator="greaterThan">
      <formula>0</formula>
    </cfRule>
  </conditionalFormatting>
  <dataValidations count="72">
    <dataValidation type="date" allowBlank="1" showInputMessage="1" showErrorMessage="1" errorTitle="Worker's Comp Range Error" error="This date should be the day after the end date of the previous line.  Do not skip dates in this range.  If benefits are intermittent, include a row with &quot;0&quot; as the weekly rate between benefit periods." sqref="L4:L14" xr:uid="{00000000-0002-0000-0000-000000000000}">
      <formula1>K4</formula1>
      <formula2>K4</formula2>
    </dataValidation>
    <dataValidation type="date" allowBlank="1" showInputMessage="1" showErrorMessage="1" errorTitle="Skipped Date In Job Mod Range" error="This must be the day after the last end date of the previous line.  You cannot skip dates.  If benefits are intermittent, enter a range of dates with &quot;0&quot; as the required hours between benefited dates." sqref="H45:H56" xr:uid="{00000000-0002-0000-0000-000001000000}">
      <formula1>G44</formula1>
      <formula2>G44</formula2>
    </dataValidation>
    <dataValidation allowBlank="1" showErrorMessage="1" promptTitle="Override Workdays - AWS" prompt="When an employee is on VSDP, they revert to a Mon-Fri schedule, however the transition periods for employees on AWS may require some adjustment to the standard pay period hours.  If you have to override pay period hours shown in cell J5, enter them here." sqref="G10" xr:uid="{00000000-0002-0000-0000-000002000000}"/>
    <dataValidation type="list" allowBlank="1" showErrorMessage="1" promptTitle="Retirement Plan Code" prompt="Choose the 2 digit retirement plan code as found on the HMCU1 screen in CIPPS.  This code will be used to calculate retirement deduction overrides at the bottom of the spreadsheet." sqref="B6" xr:uid="{00000000-0002-0000-0000-000003000000}">
      <formula1>retlist</formula1>
    </dataValidation>
    <dataValidation allowBlank="1" showErrorMessage="1" promptTitle="VSDP Covered Hours" prompt="The amount of hours for covered by VSDP for the particular work day.  (8 hours * FTE PCT in cell B4 minus the total of (Leave Used(Row 31), Hours Worked(Row 32) and LWOP(Row 35))  * VSDP PCT in Row 20.)" sqref="B23:Q23" xr:uid="{00000000-0002-0000-0000-000004000000}"/>
    <dataValidation allowBlank="1" showErrorMessage="1" promptTitle="Supplement Waived" prompt="The eligible amount of hours for a VSDP covered work day that has not been supplemented with pesonal leave.  (8 hours * FTE PCT in cell B4 minus the total of (Rows 31, 32 and 35)  * 100% minus VSDP PCT in Row 20.  Hrs keyed in Row 30 offset these hours.)" sqref="B22:Q22" xr:uid="{00000000-0002-0000-0000-000005000000}"/>
    <dataValidation allowBlank="1" showErrorMessage="1" promptTitle="Calculated LTD Begin Date" prompt="Retirement Benefits will be adjusted according to the calculated LTD Begin Date here.  If the calculated date is incorrect, you may override it by keying a date in cell J12. " sqref="J11" xr:uid="{00000000-0002-0000-0000-000006000000}"/>
    <dataValidation allowBlank="1" showErrorMessage="1" promptTitle="Tier 3 End Date" prompt="Enter the end date of Tier 3 VSDP Coverage as shown on the VRS Daily Action Report." sqref="C12" xr:uid="{00000000-0002-0000-0000-000007000000}"/>
    <dataValidation allowBlank="1" showErrorMessage="1" promptTitle="Tier 3 Begin Date" prompt="This field automatically calculates for those employees who are eligible for Tier 3 of VSDP Coverage.  It is the day after the Tier 2 End Date." sqref="B12" xr:uid="{00000000-0002-0000-0000-000008000000}"/>
    <dataValidation allowBlank="1" showErrorMessage="1" promptTitle="Tier 3 of VSDP Coverage Amount" prompt="Should match available options shown on VRS - Daily Action Report.  Based on State Begin Date and VSDP Start Date given this field will automatically change to blank if employee is not eligible." sqref="A12" xr:uid="{00000000-0002-0000-0000-000009000000}"/>
    <dataValidation allowBlank="1" showErrorMessage="1" promptTitle="Worker's Comp. Status" prompt="Enter the Worker's Comp Status found on the Daily Action Report." sqref="A13" xr:uid="{00000000-0002-0000-0000-00000A000000}"/>
    <dataValidation allowBlank="1" promptTitle="Retirement Table Applied" prompt="This field will show what Retirement Percentage table was used to calculate the Retirement Overrides below as derived from the  pay period entered above.  Click on the tables tab below to view the percentages for that table. " sqref="J8" xr:uid="{00000000-0002-0000-0000-00000B000000}"/>
    <dataValidation allowBlank="1" showErrorMessage="1" promptTitle="Semi Salary" prompt="Enter the Semi-Monthly Salary." sqref="B5" xr:uid="{00000000-0002-0000-0000-00000C000000}"/>
    <dataValidation allowBlank="1" showErrorMessage="1" promptTitle="VSDP Start Date" prompt="Enter the Date of Disability as shown on the VRS - Daily Action Report." sqref="C9" xr:uid="{00000000-0002-0000-0000-00000D000000}"/>
    <dataValidation allowBlank="1" showErrorMessage="1" promptTitle="Tier 1 of VSDP Coverage Amount" prompt="Should match available options shown on VRS - Daily Action Report.  Based on State Begin Date and VSDP Start Date given this field will automatically change from 100%, to 60% to blank if employee is not eligible." sqref="A10" xr:uid="{00000000-0002-0000-0000-00000E000000}"/>
    <dataValidation allowBlank="1" showErrorMessage="1" promptTitle="Tier 2 of VSDP Coverage Amount" prompt="Should match available options shown on VRS - Daily Action Report.  Based on State Begin Date and VSDP Start Date given this field will automatically change to blank if employee is not eligible." sqref="A11" xr:uid="{00000000-0002-0000-0000-00000F000000}"/>
    <dataValidation allowBlank="1" showErrorMessage="1" promptTitle="Begin Date of VSDP Coverage" prompt="Enter the first date of Tier 1 VSDP Coverage (after the waiting period) as shown on the VRS Daily Action Report." sqref="B10" xr:uid="{00000000-0002-0000-0000-000010000000}"/>
    <dataValidation allowBlank="1" showErrorMessage="1" promptTitle="End Date of Tier 1 VSDP Coverage" prompt="Enter the date that Tier 1 of VSDP Coverage ends as shown on the VRS Daily Action Report." sqref="C10" xr:uid="{00000000-0002-0000-0000-000011000000}"/>
    <dataValidation allowBlank="1" showErrorMessage="1" promptTitle="Tier 2 Begin Date" prompt="This field automatically calculates for those employees who are eligible for Tier 2 of VSDP Coverage.  It is the day after the Tier 1 End Date." sqref="B11" xr:uid="{00000000-0002-0000-0000-000012000000}"/>
    <dataValidation allowBlank="1" showErrorMessage="1" promptTitle="Tier 2 End Date" prompt="Enter the end date of Tier 2 VSDP Coverage as shown on the VRS Daily Action Report." sqref="C11" xr:uid="{00000000-0002-0000-0000-000013000000}"/>
    <dataValidation allowBlank="1" showErrorMessage="1" promptTitle="VSDP Authorized End Date" prompt="Enter the VSDP Authorized End Date of the coverage period as shown on the VRS Daily Action Report." sqref="C14" xr:uid="{00000000-0002-0000-0000-000014000000}"/>
    <dataValidation allowBlank="1" showErrorMessage="1" promptTitle="Catastrophic" prompt="Enter &quot;Y&quot; or &quot;N&quot; as shown on the VRS Daily Action Report.  This field is strictly for reference for the reviewer." sqref="C15" xr:uid="{00000000-0002-0000-0000-000015000000}"/>
    <dataValidation allowBlank="1" showErrorMessage="1" promptTitle="Waiting Period Waived" prompt="Enter &quot;Y&quot; or &quot;N&quot; as shown on the VRS Daily Action Report.  To be used as a reference for a reviewer." sqref="C16" xr:uid="{00000000-0002-0000-0000-000016000000}"/>
    <dataValidation allowBlank="1" showErrorMessage="1" promptTitle="State Begin Date" prompt="Enter the State Begin Date of the employee as shown on PMIS screen PSE305.  This field determines years/months of service and is used to calculate eligibility for the benefit tiers according to policy." sqref="C17" xr:uid="{00000000-0002-0000-0000-000017000000}"/>
    <dataValidation allowBlank="1" showErrorMessage="1" promptTitle="Number of Work Days Tier 1" prompt="Calculates the number of work days given for Tier 1 VSDP Coverage.  If the workdays are not correct according to policy, ensure that the dates match the VRS Daily Action Report.  If the dates are keyed as shown on the Action Report, contact UNUM." sqref="E10" xr:uid="{00000000-0002-0000-0000-000018000000}"/>
    <dataValidation allowBlank="1" showErrorMessage="1" promptTitle="Number of Workdays Tier 2" prompt="Calculates the number of work days given for Tier 2 VSDP Coverage.  If the workdays are not correct according to policy, ensure that the dates match the VRS Daily Action Report.  If the dates are keyed as shown on the Action Report, contact UNUM." sqref="E11" xr:uid="{00000000-0002-0000-0000-000019000000}"/>
    <dataValidation allowBlank="1" showErrorMessage="1" promptTitle="Number of Workdays Tier 3" prompt="Calculates the number of work days given for Tier 3 VSDP Coverage.  If the workdays are not correct according to policy, ensure that the dates match the VRS Daily Action Report.  If the dates are keyed as shown on the Action Report, contact UNUM." sqref="E12:E13" xr:uid="{00000000-0002-0000-0000-00001A000000}"/>
    <dataValidation allowBlank="1" showErrorMessage="1" promptTitle="Years of State Service" prompt="As calculated between State Begin Date and Date of Disability.  Used to determine eligibility for benefit tiers." sqref="E16" xr:uid="{00000000-0002-0000-0000-00001B000000}"/>
    <dataValidation allowBlank="1" showErrorMessage="1" promptTitle="Months of Service" prompt="Calculates number of months between State Begin Date and Date of Disability.  Used as a reference to check the number of work days granted for each benefit tier." sqref="E17" xr:uid="{00000000-0002-0000-0000-00001C000000}"/>
    <dataValidation allowBlank="1" showErrorMessage="1" promptTitle="Pay Period Begin Date" prompt="Enter the first day of the semi-monthly pay period that the VSDP is being calculated for." sqref="H2" xr:uid="{00000000-0002-0000-0000-00001D000000}"/>
    <dataValidation allowBlank="1" showErrorMessage="1" promptTitle="Pay Period End Date" prompt="Enter the last day of the semi-monthly pay period that the VSDP Coverage is being calculated for." sqref="J2 J12:J13" xr:uid="{00000000-0002-0000-0000-00001E000000}"/>
    <dataValidation allowBlank="1" showErrorMessage="1" promptTitle="Pay Period Calendar Days" prompt="Calculates the number of calendar days in the pay period entered." sqref="I4" xr:uid="{00000000-0002-0000-0000-00001F000000}"/>
    <dataValidation allowBlank="1" showErrorMessage="1" promptTitle="Pay Period Work Days" prompt="Calculates the number of work days in the pay period entered. " sqref="I5" xr:uid="{00000000-0002-0000-0000-000020000000}"/>
    <dataValidation allowBlank="1" showErrorMessage="1" promptTitle="Work Hours in the Pay Period" prompt="Calculates the number of work hours for the pay period entered.  " sqref="J5" xr:uid="{00000000-0002-0000-0000-000021000000}"/>
    <dataValidation allowBlank="1" showErrorMessage="1" promptTitle="Standard Hours 1" prompt="This field calculates what the Standard Hours 1 should be on the H0BID in CIPPS.  The formula is 173.3 multiplied by the number of contract months,divided by the number of pays the employee receives, and multiplied by the FTE Employment Percentage." sqref="J6" xr:uid="{00000000-0002-0000-0000-000022000000}"/>
    <dataValidation allowBlank="1" showErrorMessage="1" promptTitle="Contract Length" prompt="Enter the Employment Months (Contract Length) for this employee as found on PMIS screen PSE305" sqref="B7" xr:uid="{00000000-0002-0000-0000-000023000000}"/>
    <dataValidation allowBlank="1" showErrorMessage="1" promptTitle="Number of Pays per Year" prompt="Enter the Pay Schedule (Number of Pays) for this employee as found on PMIS screen PSE305" sqref="E7" xr:uid="{00000000-0002-0000-0000-000024000000}"/>
    <dataValidation allowBlank="1" showErrorMessage="1" promptTitle="Pay Period Hourly Rate" prompt="This field calculates the pay period hourly rate by taking the Pay Period Salary in B5 and dividing it by the number of available work hours in the pay period in J5._x000a_" sqref="J7" xr:uid="{00000000-0002-0000-0000-000025000000}"/>
    <dataValidation allowBlank="1" showErrorMessage="1" promptTitle="Standard Hours Percentage" prompt="Used in the Dock Pay Method Only - The Standard Hours Percentage is calculated by taking the Standard Hours 1 in cell J6 and dividing it by the total number of available work hours in cell J5." sqref="J9" xr:uid="{00000000-0002-0000-0000-000026000000}"/>
    <dataValidation allowBlank="1" showErrorMessage="1" promptTitle="FTE Employment" prompt="Enter the Percent Employed (Full Time Equivalent-FTE) for this employee as found on PMIS screen PSE305" sqref="B4" xr:uid="{00000000-0002-0000-0000-000027000000}"/>
    <dataValidation allowBlank="1" showErrorMessage="1" promptTitle="Weekday" prompt="The day of the week for the date in row 18." sqref="B20:Q20" xr:uid="{00000000-0002-0000-0000-000028000000}"/>
    <dataValidation allowBlank="1" showErrorMessage="1" promptTitle="Current Date" prompt="Each day of the pay period as entered in cell H2 and J2 above." sqref="B19:Q19" xr:uid="{00000000-0002-0000-0000-000029000000}"/>
    <dataValidation allowBlank="1" showErrorMessage="1" promptTitle="Worker's Comp Hours" prompt="The amount of hours covered by the primary Worker's Comp Benefit.  Calculated by taking the Work Day WC Benefit in cell Q12 and dividing it by the Pay Period Hourly Rate in cell J7" sqref="B29:Q29" xr:uid="{00000000-0002-0000-0000-00002A000000}"/>
    <dataValidation allowBlank="1" showErrorMessage="1" promptTitle="VSDP WC Benefits" prompt="If Worker's Comp Benefits are eligible for the day, this is the VSDP Covered Hours in Row 22 minus the Worker's Comp Hours Due in Row 28." sqref="B27:Q27" xr:uid="{00000000-0002-0000-0000-00002B000000}"/>
    <dataValidation allowBlank="1" showErrorMessage="1" promptTitle="VSDP Non WC Benefits" prompt="Amount of VSDP Hours for a Non-Worker's Comp Day." sqref="B25:Q25" xr:uid="{00000000-0002-0000-0000-00002C000000}"/>
    <dataValidation allowBlank="1" showErrorMessage="1" promptTitle="VSDP PCT" prompt="The percentage of VSDP coverage allowed for the pay period date shown in row 18." sqref="B21:Q21" xr:uid="{00000000-0002-0000-0000-00002D000000}"/>
    <dataValidation allowBlank="1" showErrorMessage="1" promptTitle="Employee Identification Number" prompt="Enter the Employee Identification Number" sqref="B3:C3" xr:uid="{00000000-0002-0000-0000-00002E000000}"/>
    <dataValidation allowBlank="1" showErrorMessage="1" promptTitle="Employee Name" prompt="Enter the Employee Name" sqref="B2:E2" xr:uid="{00000000-0002-0000-0000-00002F000000}"/>
    <dataValidation type="list" allowBlank="1" showErrorMessage="1" promptTitle="Worker's Comp Status" prompt="Choose the Worker's Comp Status shown on the Daily Actiion Report from UNUM.  An &quot;Approved&quot; Status will waive the year Waiting Period for employees with a State Begin Date on or after 7/1/2009." sqref="C13" xr:uid="{00000000-0002-0000-0000-000030000000}">
      <formula1>$A$118:$A$119</formula1>
    </dataValidation>
    <dataValidation allowBlank="1" showErrorMessage="1" promptTitle="Worker's Comp Benefit Begin Date" prompt="Enter the begin date of the Worker's Comp Benefit" sqref="P2" xr:uid="{00000000-0002-0000-0000-000031000000}"/>
    <dataValidation allowBlank="1" showErrorMessage="1" promptTitle="Worker's Comp Benefit End Date" prompt="Enter the end date of the Worker's Comp Benefit" sqref="P3:P14" xr:uid="{00000000-0002-0000-0000-000032000000}"/>
    <dataValidation allowBlank="1" showErrorMessage="1" promptTitle="Hours Worked" prompt="Any hours worked by the employee during the pay period including Job Mod hours.  If hours are keyed here, they are assumed to be non-covered VSDP hours and will reduce the VSDP benefit in Row 22." sqref="B33:Q33" xr:uid="{00000000-0002-0000-0000-000033000000}"/>
    <dataValidation allowBlank="1" showErrorMessage="1" promptTitle="Leave Used" prompt="The amount of Leave Used for non-covered VSDP hours during the pay period.  If amounts are keyed here they are assumed to be for Non-VSDP covered time and will reduce the VSDP benefit calculated in Row 22." sqref="Q32 B32:H32" xr:uid="{00000000-0002-0000-0000-000034000000}"/>
    <dataValidation type="list" allowBlank="1" showErrorMessage="1" promptTitle="Keying Preference" prompt="Select the Keying Method you prefer to use." sqref="B43:F43" xr:uid="{00000000-0002-0000-0000-000035000000}">
      <formula1>"Current Pay Period Adjustment, Prior Pay Period Adjustment"</formula1>
    </dataValidation>
    <dataValidation allowBlank="1" showErrorMessage="1" promptTitle="Total PP Hours" prompt="The total of B41-B44" sqref="B51" xr:uid="{00000000-0002-0000-0000-000036000000}"/>
    <dataValidation allowBlank="1" showErrorMessage="1" promptTitle="Pay Period Amount" prompt="Total of C41-C44" sqref="C51" xr:uid="{00000000-0002-0000-0000-000037000000}"/>
    <dataValidation allowBlank="1" showErrorMessage="1" promptTitle="Total Personal Leave Hrs Needed" prompt="Based on the information keyed in the spreadsheet, the employee would need to submit personal leave for either Leave Used in Row 31 or VSDP Supplment Hrs keyed in Row 30.  If the hours are 0, the employee does not need to submit leave." sqref="P52 P48:Q48" xr:uid="{00000000-0002-0000-0000-000038000000}"/>
    <dataValidation allowBlank="1" showErrorMessage="1" promptTitle="Leave Hours" prompt="Total Leave Hours to Key for the Leave Code in Column P.  These hours automatically calculate based on the items keyed in the spreadsheet above." sqref="T44:T47" xr:uid="{00000000-0002-0000-0000-000039000000}"/>
    <dataValidation allowBlank="1" showErrorMessage="1" promptTitle="LEAVE TYPE" prompt="The Leave Code to Key for SD, WT, or XX.  Automatically populates if those leave types occured in the spreadsheet above." sqref="Q44:Q47" xr:uid="{00000000-0002-0000-0000-00003A000000}"/>
    <dataValidation allowBlank="1" showErrorMessage="1" promptTitle="FROM AND TO DATES" prompt="THE FROM AND TO DATES OF THE PERIOD" sqref="R44:S47" xr:uid="{00000000-0002-0000-0000-00003B000000}"/>
    <dataValidation allowBlank="1" showErrorMessage="1" promptTitle="Special Warnings" prompt="Special Warnings will post here to alert the user of possible problems." sqref="A52:E55" xr:uid="{00000000-0002-0000-0000-00003C000000}"/>
    <dataValidation allowBlank="1" showErrorMessage="1" promptTitle="Total Hours for the Day" prompt="Each Work Day in the Period should total 8 hours multiplied by the FTE Percentage in cell B4." sqref="B38:Q38" xr:uid="{00000000-0002-0000-0000-00003D000000}"/>
    <dataValidation allowBlank="1" showErrorMessage="1" promptTitle="LWOP" prompt="Enter any hours that the employee was schedule to work during the period that was not covered by VSDP (including Job Mod hours) that the employee did not work or use leave to cover." sqref="B40:Q41 B36:Q36 P42 G42:J42" xr:uid="{00000000-0002-0000-0000-00003E000000}"/>
    <dataValidation allowBlank="1" showErrorMessage="1" promptTitle="Employee Deduction Overrides" prompt="If there are retirement adjustements necessary to employee deductions they will post here.  If using the dock pay method, the override does not need to be keyed.  You can use this to reconcile the results for accuracy." sqref="I48:J48 L55:M55 I52:J52" xr:uid="{00000000-0002-0000-0000-00003F000000}"/>
    <dataValidation allowBlank="1" showErrorMessage="1" promptTitle="90 Cal Day Leave Accrual Date" prompt="Calculated by taking 90 calendar days from the Date of Disability.  Used as a reminder to turn off leave accruals in accordance with DHRM policy for those employees out for 90 consecutive calendar days." sqref="S17" xr:uid="{00000000-0002-0000-0000-000040000000}"/>
    <dataValidation allowBlank="1" showErrorMessage="1" promptTitle="VSDP Supplement Hours" prompt="Enter the amount of hours for a VSDP covered day that the employee did not supplement with leave.  Hours keyed here will offset the Supplement Waived hours in Row 21." sqref="B31:H31 Q31 I32:P32" xr:uid="{00000000-0002-0000-0000-000041000000}"/>
    <dataValidation allowBlank="1" showErrorMessage="1" promptTitle="Personal Leave Hours" prompt="Enter the number of hours submitted for the leave type seleted in column P.  The total number of hours in cells S45-S49 will reduce the hours in cell S44.  Does not work with Disability Credits." sqref="T49:T51 T53:T55" xr:uid="{00000000-0002-0000-0000-000042000000}"/>
    <dataValidation allowBlank="1" showErrorMessage="1" promptTitle="DATES" prompt="The From and To Dates of the Period" sqref="R49:S51 R53:S55" xr:uid="{00000000-0002-0000-0000-000043000000}"/>
    <dataValidation type="list" allowBlank="1" showInputMessage="1" showErrorMessage="1" sqref="E4" xr:uid="{00000000-0002-0000-0000-000044000000}">
      <formula1>"SM1, NS1"</formula1>
    </dataValidation>
    <dataValidation type="list" allowBlank="1" showInputMessage="1" showErrorMessage="1" sqref="A43" xr:uid="{00000000-0002-0000-0000-000045000000}">
      <formula1>"YES Checked T/O Auto Pay, No Checked T/O Auto Pay"</formula1>
    </dataValidation>
    <dataValidation type="list" allowBlank="1" showErrorMessage="1" promptTitle="Personal Leave Type" prompt="Select the Personal Leave Type Code to use if the employee has more than zero hours in cell S44.  Sick Personal cannot be used for hours supplemented on Row 30.  Does not work with Disability Credits." sqref="Q53:Q55" xr:uid="{00000000-0002-0000-0000-000046000000}">
      <formula1>$S$24:$S$36</formula1>
    </dataValidation>
    <dataValidation type="list" allowBlank="1" showErrorMessage="1" promptTitle="Personal Leave Type" prompt="Select the Personal Leave Type Code to use if the employee has more than zero hours in cell S44.  Sick Personal cannot be used for hours supplemented on Row 30.  Does not work with Disability Credits." sqref="Q49:Q51" xr:uid="{00000000-0002-0000-0000-000047000000}">
      <formula1>$S$24:$S$32</formula1>
    </dataValidation>
  </dataValidations>
  <pageMargins left="0.17" right="0.17" top="0.25" bottom="0.46" header="0.17" footer="0.2"/>
  <pageSetup scale="68" orientation="landscape" r:id="rId1"/>
  <headerFooter alignWithMargins="0">
    <oddFooter>&amp;CDate Printed: &amp;D</oddFooter>
  </headerFooter>
  <ignoredErrors>
    <ignoredError sqref="R3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13</vt:i4>
      </vt:variant>
    </vt:vector>
  </HeadingPairs>
  <TitlesOfParts>
    <vt:vector size="14" baseType="lpstr">
      <vt:lpstr>VSDP Calculation Spreadsheet</vt:lpstr>
      <vt:lpstr>endrange</vt:lpstr>
      <vt:lpstr>intwcbens</vt:lpstr>
      <vt:lpstr>jobmodend</vt:lpstr>
      <vt:lpstr>jobmods</vt:lpstr>
      <vt:lpstr>leavecodes</vt:lpstr>
      <vt:lpstr>lvtypes</vt:lpstr>
      <vt:lpstr>'VSDP Calculation Spreadsheet'!Print_Area</vt:lpstr>
      <vt:lpstr>retlist</vt:lpstr>
      <vt:lpstr>selleav</vt:lpstr>
      <vt:lpstr>totalday</vt:lpstr>
      <vt:lpstr>VSDPAPP</vt:lpstr>
      <vt:lpstr>wcbens</vt:lpstr>
      <vt:lpstr>WCStats</vt:lpstr>
    </vt:vector>
  </TitlesOfParts>
  <Company>Virginia Department of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VSDP Spreadsheet</dc:title>
  <dc:subject>VSDP Spreadsheet</dc:subject>
  <dc:creator>Virginia Department of Accounts</dc:creator>
  <cp:keywords>VSDP Spreadsheet</cp:keywords>
  <dc:description>VSDP Spreadsheet</dc:description>
  <cp:lastModifiedBy>McGill, Cathy (DOA)</cp:lastModifiedBy>
  <cp:lastPrinted>2021-09-30T04:06:00Z</cp:lastPrinted>
  <dcterms:created xsi:type="dcterms:W3CDTF">2016-08-01T19:47:21Z</dcterms:created>
  <dcterms:modified xsi:type="dcterms:W3CDTF">2024-09-19T19:43:19Z</dcterms:modified>
  <cp:category>VSDP Spreadsheet</cp:category>
</cp:coreProperties>
</file>