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Documents on the Web\"/>
    </mc:Choice>
  </mc:AlternateContent>
  <xr:revisionPtr revIDLastSave="0" documentId="8_{842F2726-6F4E-489D-A6EC-8F47039608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plemental Taxing" sheetId="1" r:id="rId1"/>
    <sheet name="Tax Table Method" sheetId="6" r:id="rId2"/>
    <sheet name="State Tax Tables" sheetId="7" r:id="rId3"/>
    <sheet name="Federal Tax Tables" sheetId="17" r:id="rId4"/>
  </sheets>
  <definedNames>
    <definedName name="calyear">'Tax Table Method'!$A$173:$A$174</definedName>
    <definedName name="dedamt" localSheetId="1">'Tax Table Method'!$A$25:$A$36</definedName>
    <definedName name="dedamt">'Supplemental Taxing'!$A$17:$A$24</definedName>
    <definedName name="dedamt2">#REF!</definedName>
    <definedName name="deducts" localSheetId="1">'Tax Table Method'!$A$25:$G$36</definedName>
    <definedName name="deducts">'Supplemental Taxing'!$A$17:$F$24</definedName>
    <definedName name="fithohbox2">'Federal Tax Tables'!$G$28:$K$35</definedName>
    <definedName name="fithohbox2y">'Federal Tax Tables'!$M$28:$Q$35</definedName>
    <definedName name="fithohyr">'Federal Tax Tables'!$A$28:$E$35</definedName>
    <definedName name="fitmarr">'State Tax Tables'!$A$16:$E$22</definedName>
    <definedName name="fitmarrbox2">'Federal Tax Tables'!$G$17:$K$24</definedName>
    <definedName name="fitmarrbox2y">'Federal Tax Tables'!$M$17:$Q$24</definedName>
    <definedName name="fitmarrYR">'Federal Tax Tables'!$A$17:$E$24</definedName>
    <definedName name="fitn" localSheetId="1">'Tax Table Method'!$D$25:$D$36</definedName>
    <definedName name="fitn">'Supplemental Taxing'!$C$17:$C$24</definedName>
    <definedName name="fitn2">#REF!</definedName>
    <definedName name="fitsing">'State Tax Tables'!$A$6:$E$12</definedName>
    <definedName name="fitsingbox2">'Federal Tax Tables'!$G$6:$K$13</definedName>
    <definedName name="fitsingbox2y">'Federal Tax Tables'!$M$6:$Q$13</definedName>
    <definedName name="fitsingYR">'Federal Tax Tables'!$A$6:$E$13</definedName>
    <definedName name="fittable">'Tax Table Method'!$J$39</definedName>
    <definedName name="fittable2">#REF!</definedName>
    <definedName name="HIN" localSheetId="1">'Tax Table Method'!$G$25:$G$36</definedName>
    <definedName name="HIN">'Supplemental Taxing'!$F$17:$F$24</definedName>
    <definedName name="neww4">'Tax Table Method'!$I$6:$I$8</definedName>
    <definedName name="OASDIN" localSheetId="1">'Tax Table Method'!$F$25:$F$36</definedName>
    <definedName name="OASDIN">'Supplemental Taxing'!$E$17:$E$24</definedName>
    <definedName name="oldw4">'Tax Table Method'!$I$6:$I$7</definedName>
    <definedName name="_xlnm.Print_Area" localSheetId="0">'Supplemental Taxing'!$A$1:$G$56</definedName>
    <definedName name="_xlnm.Print_Area" localSheetId="1">'Tax Table Method'!$A$1:$G$65</definedName>
    <definedName name="sitn" localSheetId="1">'Tax Table Method'!$E$25:$E$36</definedName>
    <definedName name="sitn">'Supplemental Taxing'!$D$17:$D$24</definedName>
    <definedName name="sittable" localSheetId="3">'Federal Tax Tables'!$A$28:$E$31</definedName>
    <definedName name="sittable">'State Tax Tables'!$A$26:$E$29</definedName>
  </definedNames>
  <calcPr calcId="191029" iterate="1" iterateCount="3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6" l="1"/>
  <c r="B18" i="6" l="1"/>
  <c r="C41" i="6"/>
  <c r="B41" i="6"/>
  <c r="B40" i="6"/>
  <c r="A24" i="17" l="1"/>
  <c r="A23" i="17"/>
  <c r="A22" i="17"/>
  <c r="A21" i="17"/>
  <c r="A20" i="17"/>
  <c r="A19" i="17"/>
  <c r="A18" i="17"/>
  <c r="A13" i="17"/>
  <c r="A12" i="17"/>
  <c r="A11" i="17"/>
  <c r="A10" i="17"/>
  <c r="A9" i="17"/>
  <c r="A8" i="17"/>
  <c r="A7" i="17"/>
  <c r="G8" i="17"/>
  <c r="G9" i="17"/>
  <c r="G10" i="17"/>
  <c r="G11" i="17"/>
  <c r="G12" i="17"/>
  <c r="G13" i="17"/>
  <c r="G7" i="17"/>
  <c r="G19" i="17" l="1"/>
  <c r="G20" i="17"/>
  <c r="G21" i="17"/>
  <c r="G22" i="17"/>
  <c r="G23" i="17"/>
  <c r="G24" i="17"/>
  <c r="G18" i="17"/>
  <c r="O44" i="6" l="1"/>
  <c r="O42" i="6"/>
  <c r="O41" i="6"/>
  <c r="O53" i="6" l="1"/>
  <c r="J53" i="6" l="1"/>
  <c r="J42" i="6"/>
  <c r="J41" i="6"/>
  <c r="J39" i="6"/>
  <c r="O39" i="6" s="1"/>
  <c r="I4" i="6" l="1"/>
  <c r="J44" i="6" l="1"/>
  <c r="J45" i="6" l="1"/>
  <c r="O45" i="6"/>
  <c r="J38" i="6"/>
  <c r="A19" i="6" l="1"/>
  <c r="B28" i="1"/>
  <c r="E28" i="1" s="1"/>
  <c r="C37" i="1" s="1"/>
  <c r="F40" i="6"/>
  <c r="D50" i="6" s="1"/>
  <c r="A25" i="1"/>
  <c r="C42" i="1" s="1"/>
  <c r="B29" i="1"/>
  <c r="E29" i="1" s="1"/>
  <c r="C38" i="1" s="1"/>
  <c r="E32" i="1"/>
  <c r="C41" i="1" s="1"/>
  <c r="C36" i="1"/>
  <c r="E49" i="6"/>
  <c r="A37" i="6"/>
  <c r="F41" i="6"/>
  <c r="B42" i="6"/>
  <c r="E42" i="6"/>
  <c r="B43" i="6"/>
  <c r="E43" i="6"/>
  <c r="D49" i="6"/>
  <c r="H43" i="6" l="1"/>
  <c r="D53" i="6" s="1"/>
  <c r="E50" i="6"/>
  <c r="F50" i="6"/>
  <c r="E51" i="6"/>
  <c r="F51" i="6"/>
  <c r="D54" i="6"/>
  <c r="F54" i="6"/>
  <c r="I42" i="6"/>
  <c r="H42" i="6" s="1"/>
  <c r="G40" i="6"/>
  <c r="F49" i="6"/>
  <c r="D51" i="6"/>
  <c r="G41" i="6"/>
  <c r="C45" i="6" l="1"/>
  <c r="F43" i="6" l="1"/>
  <c r="G43" i="6" s="1"/>
  <c r="G46" i="6" s="1"/>
  <c r="J40" i="6"/>
  <c r="J43" i="6" s="1"/>
  <c r="J46" i="6" s="1"/>
  <c r="C42" i="6"/>
  <c r="O40" i="6" s="1"/>
  <c r="O43" i="6" s="1"/>
  <c r="O46" i="6" s="1"/>
  <c r="G42" i="6"/>
  <c r="C43" i="6"/>
  <c r="H44" i="6" s="1"/>
  <c r="C52" i="6"/>
  <c r="E53" i="6"/>
  <c r="F53" i="6"/>
  <c r="J49" i="6"/>
  <c r="J51" i="6"/>
  <c r="O49" i="6"/>
  <c r="O47" i="6"/>
  <c r="O51" i="6"/>
  <c r="J47" i="6"/>
  <c r="J48" i="6" l="1"/>
  <c r="J50" i="6" s="1"/>
  <c r="J52" i="6" s="1"/>
  <c r="J54" i="6" s="1"/>
  <c r="F42" i="6" s="1"/>
  <c r="F46" i="6" s="1"/>
  <c r="O48" i="6"/>
  <c r="O50" i="6" s="1"/>
  <c r="O52" i="6" s="1"/>
  <c r="O54" i="6" s="1"/>
  <c r="D52" i="6" s="1"/>
  <c r="E52" i="6"/>
  <c r="F52" i="6"/>
  <c r="G54" i="6" l="1"/>
  <c r="F56" i="6" s="1"/>
  <c r="E54" i="6" s="1"/>
  <c r="E55" i="6" s="1"/>
  <c r="A54" i="6"/>
  <c r="D55" i="6"/>
  <c r="F58" i="6" l="1"/>
  <c r="B30" i="1"/>
  <c r="E30" i="1"/>
  <c r="B31" i="1"/>
  <c r="E31" i="1"/>
  <c r="E34" i="1"/>
  <c r="C39" i="1"/>
  <c r="C40" i="1"/>
  <c r="D42" i="1"/>
  <c r="C43" i="1"/>
  <c r="C45" i="1"/>
</calcChain>
</file>

<file path=xl/sharedStrings.xml><?xml version="1.0" encoding="utf-8"?>
<sst xmlns="http://schemas.openxmlformats.org/spreadsheetml/2006/main" count="294" uniqueCount="117">
  <si>
    <t>OASDI Taxable</t>
  </si>
  <si>
    <t>HI Taxable</t>
  </si>
  <si>
    <t>Tax Due</t>
  </si>
  <si>
    <t>Gross Pay:</t>
  </si>
  <si>
    <t>Fit Tax</t>
  </si>
  <si>
    <t>Sit Tax</t>
  </si>
  <si>
    <t>OASDI Tax</t>
  </si>
  <si>
    <t>HI Tax</t>
  </si>
  <si>
    <t>Total Deductions</t>
  </si>
  <si>
    <t>Fit Taxable</t>
  </si>
  <si>
    <t>Sit Taxable</t>
  </si>
  <si>
    <t>Supplemental Taxing (For use when Special Pays are paid without any Regular Pay)</t>
  </si>
  <si>
    <t>Total Taxes</t>
  </si>
  <si>
    <t>Taxable Amounts</t>
  </si>
  <si>
    <t>Local Taxable</t>
  </si>
  <si>
    <t>Exempt from FIT?</t>
  </si>
  <si>
    <t>Exempt from SIT?</t>
  </si>
  <si>
    <t>Exempt from OASDI?</t>
  </si>
  <si>
    <t>Exempt from HI?</t>
  </si>
  <si>
    <t>N</t>
  </si>
  <si>
    <t>PCT</t>
  </si>
  <si>
    <t>Employee Number</t>
  </si>
  <si>
    <t>Employee Name</t>
  </si>
  <si>
    <t>Example A</t>
  </si>
  <si>
    <t>Total Tax</t>
  </si>
  <si>
    <t>To make another copy of this sheet in this workbook, see the instructions below.</t>
  </si>
  <si>
    <t>Supplemental Tax Rate</t>
  </si>
  <si>
    <t>To make a copy of this sheet within the current workbook, right click on the "Sheet1" tab below and click "Move or Copy…".  Then make sure that the "Create a Copy" box is checked and click OK</t>
  </si>
  <si>
    <t>FIT Marital Status:</t>
  </si>
  <si>
    <t>FIT Exemptions</t>
  </si>
  <si>
    <t>SIT Exemptions</t>
  </si>
  <si>
    <t>SIT Additional Amt</t>
  </si>
  <si>
    <t>FIT Exemption Amt</t>
  </si>
  <si>
    <t>Over</t>
  </si>
  <si>
    <t>BNO</t>
  </si>
  <si>
    <t>Base</t>
  </si>
  <si>
    <t>Excess</t>
  </si>
  <si>
    <t>Tax Rate</t>
  </si>
  <si>
    <t>SIT Exemption Amt</t>
  </si>
  <si>
    <t>FIT Single</t>
  </si>
  <si>
    <t>FIT Married</t>
  </si>
  <si>
    <t>SIT Table</t>
  </si>
  <si>
    <t>Employee Masterfile and Tax Table Method (For use when Special Pays are paid in addition to Regular Pay)</t>
  </si>
  <si>
    <t>Rounding Cushion</t>
  </si>
  <si>
    <t>*NOTE: Per VRS on 11/21/02 ONLY Annual, Sick, Overtime, On-Call, Disability Credits, Compensatory, Recognition</t>
  </si>
  <si>
    <t>and Bonus Payments are eligible for Deferral.</t>
  </si>
  <si>
    <t>Local Tax</t>
  </si>
  <si>
    <t>Additional Amount</t>
  </si>
  <si>
    <t>Deductions:</t>
  </si>
  <si>
    <t>Deduction Name</t>
  </si>
  <si>
    <t>Deduction Amount</t>
  </si>
  <si>
    <t>Max Amount of Deferral</t>
  </si>
  <si>
    <t>*Note the Max Amount of Deferral has been rounded down to the nearest whole dollar to allow for rounding differences.  A Net Direct Deposit deduction should be active (Freq 09) on to avoid receiving paper checks for the amount of the Rounding Cushion.</t>
  </si>
  <si>
    <t>***If employee has Local Taxes you may enter Local Taxable along with the Tax Rate</t>
  </si>
  <si>
    <t>** Change the Sit Supplemental Tax Rate if the employee is paying State Taxes other than Virginia</t>
  </si>
  <si>
    <t>Amt of Regular Pay</t>
  </si>
  <si>
    <t>Non Eligible Special Pays</t>
  </si>
  <si>
    <t>Eligible Special Pays</t>
  </si>
  <si>
    <t>Eligible Special Pays: Per VRS on 11/21/02 ONLY Annual, Sick, Overtime, On-Call, Disability Credits, Compensatory, Recognition</t>
  </si>
  <si>
    <t>Total Eligible Special Pays</t>
  </si>
  <si>
    <t>Maximum Deferral Amount</t>
  </si>
  <si>
    <t>Deductions be sure to include the Def Comp Deduction from Regular Pay below:</t>
  </si>
  <si>
    <t>* Enter the Maximum Deferral Amount with a "+" adjustment indicator on HUD01 to continue the regular deferral amount on H0ZDC for the accompanying regular pay.</t>
  </si>
  <si>
    <t>Total Taxable Amount</t>
  </si>
  <si>
    <t>Total Gross Pay</t>
  </si>
  <si>
    <t>Non Eligible Taxable Amount</t>
  </si>
  <si>
    <t>Net Pay</t>
  </si>
  <si>
    <t>Non Eligible Amounts</t>
  </si>
  <si>
    <t>Amount to Defer</t>
  </si>
  <si>
    <t>Total Amounts</t>
  </si>
  <si>
    <t>Calculation for Maximum Deferral of Special Pays</t>
  </si>
  <si>
    <t>SEMIMONTHLY PAYROLLS ONLY - VIRGINIA STATE TAXES ONLY</t>
  </si>
  <si>
    <t>USE SPECIAL PAY AND REGULAR TAB TO DEFER REGULAR PAY IN ADDITION TO SPECIAL PAYS</t>
  </si>
  <si>
    <t>THIS SPREADSHEET DOES NOT DEFER THE REGULAR PAY ENTERED IN CELL B16</t>
  </si>
  <si>
    <t>Use To Defer Only the  Eligible Special Pays and Not Regular Pay</t>
  </si>
  <si>
    <t>Enter zero if OASDI Max reached before this payment</t>
  </si>
  <si>
    <t>OR Enter the remaining taxable amount if OASDI Max will be reached during this payment.</t>
  </si>
  <si>
    <t>Leave Blank if OASDI Max will not be reached</t>
  </si>
  <si>
    <t>Remaining YTD OASDI Taxable:</t>
  </si>
  <si>
    <t>Grand Total EligibleSpecial Pays</t>
  </si>
  <si>
    <r>
      <t>"Total 401K Amount" field from H0BES</t>
    </r>
    <r>
      <rPr>
        <b/>
        <sz val="9"/>
        <rFont val="Calibri"/>
        <family val="2"/>
      </rPr>
      <t>→</t>
    </r>
  </si>
  <si>
    <r>
      <t>457 Maximum Annual Limit</t>
    </r>
    <r>
      <rPr>
        <b/>
        <sz val="10"/>
        <rFont val="Calibri"/>
        <family val="2"/>
      </rPr>
      <t>→</t>
    </r>
  </si>
  <si>
    <r>
      <t>Current Amount from H0BES "Total 401K Amount" Field</t>
    </r>
    <r>
      <rPr>
        <b/>
        <sz val="9"/>
        <rFont val="Calibri"/>
        <family val="2"/>
      </rPr>
      <t>→</t>
    </r>
  </si>
  <si>
    <r>
      <t>Maximum Annual 457 Limit</t>
    </r>
    <r>
      <rPr>
        <b/>
        <sz val="10"/>
        <rFont val="Calibri"/>
        <family val="2"/>
      </rPr>
      <t>→</t>
    </r>
  </si>
  <si>
    <t>Y</t>
  </si>
  <si>
    <t>Married</t>
  </si>
  <si>
    <t>Tables Revised 7/2020</t>
  </si>
  <si>
    <t>Use 2020 W-4?</t>
  </si>
  <si>
    <t>Higher Tax Switch?</t>
  </si>
  <si>
    <t>Single</t>
  </si>
  <si>
    <t>Head of Household</t>
  </si>
  <si>
    <t>#exemptions</t>
  </si>
  <si>
    <t>reduction</t>
  </si>
  <si>
    <t>adjusted gross</t>
  </si>
  <si>
    <t>percentage</t>
  </si>
  <si>
    <t>base tax amount</t>
  </si>
  <si>
    <t>base tax amount + percentage of excess</t>
  </si>
  <si>
    <t>percentage * excess</t>
  </si>
  <si>
    <t>base gross</t>
  </si>
  <si>
    <t>excess</t>
  </si>
  <si>
    <t>Old W-4</t>
  </si>
  <si>
    <t>New W-4 With 2 = N</t>
  </si>
  <si>
    <t>Old W-4 With 2 = Y</t>
  </si>
  <si>
    <t>4(a) / 24 periods</t>
  </si>
  <si>
    <t>4(b) / 24 periods</t>
  </si>
  <si>
    <t>taxable + 4(a) - 4(b)</t>
  </si>
  <si>
    <t>Taxable amount</t>
  </si>
  <si>
    <t>4(a) Other Income</t>
  </si>
  <si>
    <t xml:space="preserve">4(b) Deductions </t>
  </si>
  <si>
    <t>Step 3 Tax Credit</t>
  </si>
  <si>
    <t>FIT Add. Amt (New W-4 4c)</t>
  </si>
  <si>
    <t>fit withholding</t>
  </si>
  <si>
    <t>table</t>
  </si>
  <si>
    <t>exemption amt</t>
  </si>
  <si>
    <r>
      <rPr>
        <b/>
        <sz val="10"/>
        <rFont val="Calibri"/>
        <family val="2"/>
      </rPr>
      <t>←</t>
    </r>
    <r>
      <rPr>
        <b/>
        <sz val="10"/>
        <rFont val="Arial"/>
        <family val="2"/>
      </rPr>
      <t>($22,500 if under age 50 otherwise $30,000)</t>
    </r>
  </si>
  <si>
    <r>
      <t>($22,500 if under age 50 othewise $30,000)</t>
    </r>
    <r>
      <rPr>
        <b/>
        <sz val="10"/>
        <rFont val="Calibri"/>
        <family val="2"/>
      </rPr>
      <t>↑</t>
    </r>
  </si>
  <si>
    <t>Imputed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</si>
</sst>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10"/>
      <color indexed="9"/>
      <name val="Cambria"/>
      <family val="1"/>
    </font>
    <font>
      <sz val="11"/>
      <name val="Calibri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Calibri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0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2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0" fontId="0" fillId="2" borderId="0" xfId="0" applyNumberFormat="1" applyFill="1" applyProtection="1">
      <protection locked="0"/>
    </xf>
    <xf numFmtId="0" fontId="0" fillId="0" borderId="0" xfId="0" applyAlignment="1"/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 applyProtection="1">
      <alignment horizontal="center"/>
      <protection locked="0"/>
    </xf>
    <xf numFmtId="2" fontId="0" fillId="0" borderId="0" xfId="0" quotePrefix="1" applyNumberFormat="1" applyAlignment="1">
      <alignment horizontal="left"/>
    </xf>
    <xf numFmtId="2" fontId="4" fillId="0" borderId="0" xfId="0" applyNumberFormat="1" applyFont="1"/>
    <xf numFmtId="164" fontId="0" fillId="2" borderId="0" xfId="0" applyNumberFormat="1" applyFill="1" applyAlignment="1" applyProtection="1">
      <alignment horizontal="right"/>
      <protection locked="0"/>
    </xf>
    <xf numFmtId="164" fontId="0" fillId="2" borderId="0" xfId="0" applyNumberFormat="1" applyFill="1" applyProtection="1">
      <protection locked="0"/>
    </xf>
    <xf numFmtId="2" fontId="0" fillId="0" borderId="0" xfId="0" applyNumberFormat="1" applyFill="1" applyProtection="1"/>
    <xf numFmtId="9" fontId="0" fillId="0" borderId="0" xfId="0" applyNumberFormat="1"/>
    <xf numFmtId="0" fontId="0" fillId="0" borderId="0" xfId="0" quotePrefix="1" applyAlignment="1">
      <alignment horizontal="left"/>
    </xf>
    <xf numFmtId="0" fontId="2" fillId="0" borderId="0" xfId="0" applyFont="1" applyFill="1" applyAlignment="1">
      <alignment horizontal="left"/>
    </xf>
    <xf numFmtId="164" fontId="0" fillId="0" borderId="0" xfId="0" applyNumberFormat="1" applyFill="1" applyProtection="1">
      <protection locked="0"/>
    </xf>
    <xf numFmtId="0" fontId="0" fillId="0" borderId="0" xfId="0" applyFill="1"/>
    <xf numFmtId="2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0" fontId="5" fillId="0" borderId="0" xfId="0" quotePrefix="1" applyFont="1" applyAlignment="1">
      <alignment horizontal="left"/>
    </xf>
    <xf numFmtId="2" fontId="2" fillId="0" borderId="1" xfId="0" applyNumberFormat="1" applyFont="1" applyBorder="1"/>
    <xf numFmtId="0" fontId="5" fillId="0" borderId="0" xfId="0" applyFont="1" applyAlignment="1"/>
    <xf numFmtId="2" fontId="1" fillId="0" borderId="0" xfId="0" applyNumberFormat="1" applyFont="1"/>
    <xf numFmtId="2" fontId="4" fillId="0" borderId="0" xfId="0" applyNumberFormat="1" applyFont="1" applyFill="1"/>
    <xf numFmtId="2" fontId="5" fillId="0" borderId="0" xfId="0" applyNumberFormat="1" applyFont="1" applyAlignment="1"/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6" fillId="0" borderId="0" xfId="0" applyNumberFormat="1" applyFont="1" applyAlignment="1"/>
    <xf numFmtId="2" fontId="2" fillId="0" borderId="0" xfId="0" applyNumberFormat="1" applyFont="1" applyBorder="1"/>
    <xf numFmtId="0" fontId="7" fillId="0" borderId="0" xfId="0" quotePrefix="1" applyFont="1" applyAlignment="1">
      <alignment horizontal="left"/>
    </xf>
    <xf numFmtId="164" fontId="0" fillId="0" borderId="0" xfId="0" applyNumberFormat="1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0" fontId="10" fillId="0" borderId="0" xfId="0" applyFont="1" applyFill="1"/>
    <xf numFmtId="2" fontId="7" fillId="0" borderId="0" xfId="0" applyNumberFormat="1" applyFont="1"/>
    <xf numFmtId="2" fontId="0" fillId="2" borderId="0" xfId="0" applyNumberFormat="1" applyFill="1" applyBorder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2" fillId="0" borderId="0" xfId="0" applyFont="1"/>
    <xf numFmtId="2" fontId="1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5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5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2" fontId="0" fillId="2" borderId="0" xfId="0" applyNumberFormat="1" applyFill="1" applyBorder="1" applyAlignment="1" applyProtection="1">
      <protection locked="0"/>
    </xf>
    <xf numFmtId="0" fontId="1" fillId="0" borderId="0" xfId="0" applyFont="1"/>
    <xf numFmtId="2" fontId="17" fillId="0" borderId="0" xfId="0" applyNumberFormat="1" applyFont="1"/>
    <xf numFmtId="0" fontId="17" fillId="0" borderId="0" xfId="0" applyFont="1" applyAlignment="1">
      <alignment horizontal="right"/>
    </xf>
    <xf numFmtId="2" fontId="1" fillId="2" borderId="0" xfId="0" applyNumberFormat="1" applyFont="1" applyFill="1" applyBorder="1" applyAlignment="1" applyProtection="1">
      <protection locked="0"/>
    </xf>
    <xf numFmtId="0" fontId="18" fillId="0" borderId="0" xfId="0" applyFont="1"/>
    <xf numFmtId="2" fontId="18" fillId="0" borderId="0" xfId="0" applyNumberFormat="1" applyFont="1" applyAlignment="1"/>
    <xf numFmtId="0" fontId="18" fillId="0" borderId="0" xfId="0" applyFont="1" applyAlignment="1"/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2" fontId="20" fillId="0" borderId="0" xfId="0" applyNumberFormat="1" applyFont="1"/>
    <xf numFmtId="2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0" fillId="2" borderId="0" xfId="0" applyNumberForma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5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workbookViewId="0">
      <selection activeCell="B9" sqref="B9"/>
    </sheetView>
  </sheetViews>
  <sheetFormatPr defaultRowHeight="13.2" x14ac:dyDescent="0.25"/>
  <cols>
    <col min="1" max="1" width="32.88671875" customWidth="1"/>
    <col min="2" max="2" width="23.44140625" customWidth="1"/>
    <col min="3" max="3" width="14.88671875" bestFit="1" customWidth="1"/>
    <col min="4" max="4" width="17.44140625" customWidth="1"/>
    <col min="5" max="6" width="12.5546875" bestFit="1" customWidth="1"/>
    <col min="7" max="7" width="12" customWidth="1"/>
  </cols>
  <sheetData>
    <row r="1" spans="1:9" x14ac:dyDescent="0.25">
      <c r="A1" s="83" t="s">
        <v>70</v>
      </c>
      <c r="B1" s="84"/>
      <c r="C1" s="84"/>
      <c r="D1" s="84"/>
      <c r="E1" s="84"/>
      <c r="F1" s="84"/>
    </row>
    <row r="2" spans="1:9" x14ac:dyDescent="0.25">
      <c r="A2" s="85" t="s">
        <v>11</v>
      </c>
      <c r="B2" s="86"/>
      <c r="C2" s="86"/>
      <c r="D2" s="86"/>
      <c r="E2" s="86"/>
      <c r="F2" s="86"/>
    </row>
    <row r="3" spans="1:9" x14ac:dyDescent="0.25">
      <c r="A3" s="86"/>
      <c r="B3" s="86"/>
      <c r="C3" s="86"/>
      <c r="D3" s="86"/>
      <c r="E3" s="86"/>
      <c r="F3" s="86"/>
    </row>
    <row r="4" spans="1:9" x14ac:dyDescent="0.25">
      <c r="A4" s="89" t="s">
        <v>25</v>
      </c>
      <c r="B4" s="89"/>
      <c r="C4" s="89"/>
      <c r="D4" s="89"/>
      <c r="E4" s="89"/>
      <c r="F4" s="89"/>
    </row>
    <row r="5" spans="1:9" x14ac:dyDescent="0.25">
      <c r="A5" s="58"/>
      <c r="B5" s="53"/>
      <c r="C5" s="53"/>
      <c r="D5" s="53"/>
      <c r="E5" s="53"/>
      <c r="F5" s="53"/>
    </row>
    <row r="6" spans="1:9" x14ac:dyDescent="0.25">
      <c r="D6" s="55" t="s">
        <v>78</v>
      </c>
      <c r="E6" s="56"/>
      <c r="F6" s="90"/>
      <c r="G6" s="91"/>
    </row>
    <row r="7" spans="1:9" x14ac:dyDescent="0.25">
      <c r="A7" s="7" t="s">
        <v>21</v>
      </c>
      <c r="B7" s="9">
        <v>9999999900</v>
      </c>
      <c r="D7" s="54" t="s">
        <v>77</v>
      </c>
      <c r="G7" s="54"/>
    </row>
    <row r="8" spans="1:9" x14ac:dyDescent="0.25">
      <c r="A8" s="7" t="s">
        <v>22</v>
      </c>
      <c r="B8" s="16" t="s">
        <v>23</v>
      </c>
      <c r="D8" s="54" t="s">
        <v>75</v>
      </c>
      <c r="G8" s="54"/>
    </row>
    <row r="9" spans="1:9" x14ac:dyDescent="0.25">
      <c r="A9" s="6" t="s">
        <v>79</v>
      </c>
      <c r="B9" s="10"/>
      <c r="C9" s="7"/>
      <c r="D9" s="98" t="s">
        <v>76</v>
      </c>
      <c r="E9" s="99"/>
      <c r="F9" s="99"/>
      <c r="G9" s="59"/>
      <c r="H9" s="59"/>
      <c r="I9" s="13"/>
    </row>
    <row r="10" spans="1:9" x14ac:dyDescent="0.25">
      <c r="A10" s="62" t="s">
        <v>80</v>
      </c>
      <c r="B10" s="49"/>
      <c r="C10" s="7"/>
      <c r="D10" s="99"/>
      <c r="E10" s="99"/>
      <c r="F10" s="99"/>
      <c r="G10" s="59"/>
      <c r="H10" s="59"/>
      <c r="I10" s="13"/>
    </row>
    <row r="11" spans="1:9" ht="13.8" x14ac:dyDescent="0.3">
      <c r="A11" s="60" t="s">
        <v>81</v>
      </c>
      <c r="B11" s="49"/>
      <c r="C11" s="7" t="s">
        <v>114</v>
      </c>
    </row>
    <row r="12" spans="1:9" x14ac:dyDescent="0.25">
      <c r="A12" s="94" t="s">
        <v>44</v>
      </c>
      <c r="B12" s="95"/>
      <c r="C12" s="95"/>
      <c r="D12" s="95"/>
      <c r="E12" s="95"/>
      <c r="F12" s="95"/>
    </row>
    <row r="13" spans="1:9" x14ac:dyDescent="0.25">
      <c r="A13" s="94" t="s">
        <v>45</v>
      </c>
      <c r="B13" s="95"/>
      <c r="C13" s="95"/>
      <c r="D13" s="95"/>
      <c r="E13" s="95"/>
      <c r="F13" s="95"/>
    </row>
    <row r="14" spans="1:9" x14ac:dyDescent="0.25">
      <c r="A14" s="6"/>
    </row>
    <row r="15" spans="1:9" x14ac:dyDescent="0.25">
      <c r="A15" s="7" t="s">
        <v>48</v>
      </c>
    </row>
    <row r="16" spans="1:9" ht="26.25" customHeight="1" x14ac:dyDescent="0.25">
      <c r="A16" s="8" t="s">
        <v>50</v>
      </c>
      <c r="B16" s="8" t="s">
        <v>49</v>
      </c>
      <c r="C16" s="4" t="s">
        <v>15</v>
      </c>
      <c r="D16" s="4" t="s">
        <v>16</v>
      </c>
      <c r="E16" s="4" t="s">
        <v>17</v>
      </c>
      <c r="F16" s="4" t="s">
        <v>18</v>
      </c>
      <c r="G16" s="18"/>
    </row>
    <row r="17" spans="1:7" x14ac:dyDescent="0.25">
      <c r="A17" s="10"/>
      <c r="B17" s="9"/>
      <c r="C17" s="11" t="s">
        <v>19</v>
      </c>
      <c r="D17" s="11" t="s">
        <v>19</v>
      </c>
      <c r="E17" s="11" t="s">
        <v>19</v>
      </c>
      <c r="F17" s="11" t="s">
        <v>19</v>
      </c>
      <c r="G17" s="19"/>
    </row>
    <row r="18" spans="1:7" x14ac:dyDescent="0.25">
      <c r="A18" s="10"/>
      <c r="B18" s="9"/>
      <c r="C18" s="11" t="s">
        <v>19</v>
      </c>
      <c r="D18" s="11" t="s">
        <v>19</v>
      </c>
      <c r="E18" s="11" t="s">
        <v>19</v>
      </c>
      <c r="F18" s="11" t="s">
        <v>19</v>
      </c>
      <c r="G18" s="19"/>
    </row>
    <row r="19" spans="1:7" x14ac:dyDescent="0.25">
      <c r="A19" s="10"/>
      <c r="B19" s="9"/>
      <c r="C19" s="11" t="s">
        <v>19</v>
      </c>
      <c r="D19" s="11" t="s">
        <v>19</v>
      </c>
      <c r="E19" s="11" t="s">
        <v>19</v>
      </c>
      <c r="F19" s="11" t="s">
        <v>19</v>
      </c>
      <c r="G19" s="19"/>
    </row>
    <row r="20" spans="1:7" x14ac:dyDescent="0.25">
      <c r="A20" s="10"/>
      <c r="B20" s="9"/>
      <c r="C20" s="11" t="s">
        <v>19</v>
      </c>
      <c r="D20" s="11" t="s">
        <v>19</v>
      </c>
      <c r="E20" s="11" t="s">
        <v>19</v>
      </c>
      <c r="F20" s="11" t="s">
        <v>19</v>
      </c>
      <c r="G20" s="19"/>
    </row>
    <row r="21" spans="1:7" x14ac:dyDescent="0.25">
      <c r="A21" s="10"/>
      <c r="B21" s="9"/>
      <c r="C21" s="11" t="s">
        <v>19</v>
      </c>
      <c r="D21" s="11" t="s">
        <v>19</v>
      </c>
      <c r="E21" s="11" t="s">
        <v>19</v>
      </c>
      <c r="F21" s="11" t="s">
        <v>19</v>
      </c>
      <c r="G21" s="19"/>
    </row>
    <row r="22" spans="1:7" x14ac:dyDescent="0.25">
      <c r="A22" s="10"/>
      <c r="B22" s="9"/>
      <c r="C22" s="11" t="s">
        <v>19</v>
      </c>
      <c r="D22" s="11" t="s">
        <v>19</v>
      </c>
      <c r="E22" s="11" t="s">
        <v>19</v>
      </c>
      <c r="F22" s="11" t="s">
        <v>19</v>
      </c>
      <c r="G22" s="19"/>
    </row>
    <row r="23" spans="1:7" x14ac:dyDescent="0.25">
      <c r="A23" s="10"/>
      <c r="B23" s="9"/>
      <c r="C23" s="11" t="s">
        <v>19</v>
      </c>
      <c r="D23" s="11" t="s">
        <v>19</v>
      </c>
      <c r="E23" s="11" t="s">
        <v>19</v>
      </c>
      <c r="F23" s="11" t="s">
        <v>19</v>
      </c>
      <c r="G23" s="19"/>
    </row>
    <row r="24" spans="1:7" x14ac:dyDescent="0.25">
      <c r="A24" s="10"/>
      <c r="B24" s="9"/>
      <c r="C24" s="11" t="s">
        <v>19</v>
      </c>
      <c r="D24" s="11" t="s">
        <v>19</v>
      </c>
      <c r="E24" s="11" t="s">
        <v>19</v>
      </c>
      <c r="F24" s="11" t="s">
        <v>19</v>
      </c>
      <c r="G24" s="19"/>
    </row>
    <row r="25" spans="1:7" x14ac:dyDescent="0.25">
      <c r="A25" s="1">
        <f>SUM(A17:A24)</f>
        <v>0</v>
      </c>
    </row>
    <row r="27" spans="1:7" s="17" customFormat="1" ht="27" customHeight="1" x14ac:dyDescent="0.25">
      <c r="B27" s="5" t="s">
        <v>13</v>
      </c>
      <c r="C27" s="5" t="s">
        <v>26</v>
      </c>
      <c r="D27" s="18"/>
      <c r="E27" s="5" t="s">
        <v>2</v>
      </c>
      <c r="F27" s="5"/>
    </row>
    <row r="28" spans="1:7" x14ac:dyDescent="0.25">
      <c r="A28" s="7" t="s">
        <v>0</v>
      </c>
      <c r="B28" s="1">
        <f>IF(F6="",B9-(SUMIF(OASDIN,"Y",dedamt)),IF(F6&lt;(B9-(SUMIF(OASDIN,"Y",dedamt))),F6,B9-(SUMIF(OASDIN,"Y",dedamt))))</f>
        <v>0</v>
      </c>
      <c r="C28" s="2">
        <v>6.2E-2</v>
      </c>
      <c r="D28" s="30"/>
      <c r="E28" s="1">
        <f>B28*C28</f>
        <v>0</v>
      </c>
      <c r="F28" s="1"/>
    </row>
    <row r="29" spans="1:7" x14ac:dyDescent="0.25">
      <c r="A29" s="6" t="s">
        <v>1</v>
      </c>
      <c r="B29" s="1">
        <f>$B$9-(SUMIF(HIN,"Y",dedamt))</f>
        <v>0</v>
      </c>
      <c r="C29" s="2">
        <v>1.4500000000000001E-2</v>
      </c>
      <c r="D29" s="30"/>
      <c r="E29" s="1">
        <f>B29*C29</f>
        <v>0</v>
      </c>
      <c r="F29" s="1"/>
    </row>
    <row r="30" spans="1:7" x14ac:dyDescent="0.25">
      <c r="A30" s="7" t="s">
        <v>9</v>
      </c>
      <c r="B30" s="1">
        <f ca="1">$B$9-(SUMIF(fitn,"Y",dedamt))-$C$43</f>
        <v>0</v>
      </c>
      <c r="C30" s="2">
        <v>0.22</v>
      </c>
      <c r="D30" s="30"/>
      <c r="E30" s="1">
        <f ca="1">($C$30*$B$30)</f>
        <v>0</v>
      </c>
      <c r="F30" s="1"/>
    </row>
    <row r="31" spans="1:7" x14ac:dyDescent="0.25">
      <c r="A31" s="7" t="s">
        <v>10</v>
      </c>
      <c r="B31" s="1">
        <f ca="1">$B$9-(SUMIF(sitn,"Y",dedamt))-$C$43</f>
        <v>0</v>
      </c>
      <c r="C31" s="12">
        <v>5.7500000000000002E-2</v>
      </c>
      <c r="D31" s="30"/>
      <c r="E31" s="1">
        <f ca="1">($C$31*$B$31)</f>
        <v>0</v>
      </c>
      <c r="F31" s="1"/>
    </row>
    <row r="32" spans="1:7" x14ac:dyDescent="0.25">
      <c r="A32" s="7" t="s">
        <v>14</v>
      </c>
      <c r="B32" s="10"/>
      <c r="C32" s="12"/>
      <c r="D32" s="30"/>
      <c r="E32" s="1">
        <f>(C32*B32)+D32</f>
        <v>0</v>
      </c>
      <c r="F32" s="1"/>
    </row>
    <row r="33" spans="2:8" x14ac:dyDescent="0.25">
      <c r="B33" s="1"/>
      <c r="D33" s="1"/>
      <c r="E33" s="1"/>
    </row>
    <row r="34" spans="2:8" x14ac:dyDescent="0.25">
      <c r="C34" s="3"/>
      <c r="D34" s="15" t="s">
        <v>12</v>
      </c>
      <c r="E34" s="1">
        <f ca="1">SUM($E$28:$E$33)</f>
        <v>0</v>
      </c>
      <c r="F34" s="1"/>
    </row>
    <row r="36" spans="2:8" x14ac:dyDescent="0.25">
      <c r="B36" s="7" t="s">
        <v>3</v>
      </c>
      <c r="C36" s="1">
        <f>B9</f>
        <v>0</v>
      </c>
      <c r="D36" s="1"/>
    </row>
    <row r="37" spans="2:8" x14ac:dyDescent="0.25">
      <c r="B37" s="7" t="s">
        <v>6</v>
      </c>
      <c r="C37" s="1">
        <f>E28</f>
        <v>0</v>
      </c>
      <c r="D37" s="1"/>
    </row>
    <row r="38" spans="2:8" x14ac:dyDescent="0.25">
      <c r="B38" s="7" t="s">
        <v>7</v>
      </c>
      <c r="C38" s="1">
        <f>E29</f>
        <v>0</v>
      </c>
      <c r="D38" s="1"/>
    </row>
    <row r="39" spans="2:8" x14ac:dyDescent="0.25">
      <c r="B39" s="7" t="s">
        <v>4</v>
      </c>
      <c r="C39" s="1">
        <f ca="1">E30</f>
        <v>0</v>
      </c>
      <c r="D39" s="1"/>
    </row>
    <row r="40" spans="2:8" x14ac:dyDescent="0.25">
      <c r="B40" s="7" t="s">
        <v>5</v>
      </c>
      <c r="C40" s="1">
        <f ca="1">E31</f>
        <v>0</v>
      </c>
      <c r="D40" s="1"/>
    </row>
    <row r="41" spans="2:8" x14ac:dyDescent="0.25">
      <c r="B41" s="7" t="s">
        <v>46</v>
      </c>
      <c r="C41" s="1">
        <f>E32</f>
        <v>0</v>
      </c>
      <c r="D41" s="1"/>
    </row>
    <row r="42" spans="2:8" x14ac:dyDescent="0.25">
      <c r="B42" s="7" t="s">
        <v>8</v>
      </c>
      <c r="C42" s="1">
        <f>A25</f>
        <v>0</v>
      </c>
      <c r="D42" s="21">
        <f ca="1">($C$36-SUM($C$37:$C$42))</f>
        <v>0</v>
      </c>
    </row>
    <row r="43" spans="2:8" x14ac:dyDescent="0.25">
      <c r="B43" s="14" t="s">
        <v>51</v>
      </c>
      <c r="C43" s="1">
        <f ca="1">IF(ROUNDDOWN(D42,0)&gt;(B11-B10),(B11-B10),ROUNDDOWN(D42,0))</f>
        <v>0</v>
      </c>
      <c r="D43" s="20"/>
      <c r="E43" s="13"/>
      <c r="F43" s="13"/>
      <c r="G43" s="13"/>
      <c r="H43" s="13"/>
    </row>
    <row r="44" spans="2:8" x14ac:dyDescent="0.25">
      <c r="B44" s="6"/>
      <c r="C44" s="1"/>
      <c r="D44" s="20"/>
      <c r="E44" s="13"/>
      <c r="F44" s="13"/>
      <c r="G44" s="13"/>
      <c r="H44" s="13"/>
    </row>
    <row r="45" spans="2:8" x14ac:dyDescent="0.25">
      <c r="B45" s="7" t="s">
        <v>43</v>
      </c>
      <c r="C45" s="1">
        <f ca="1">C36-SUM(C37:C43)</f>
        <v>0</v>
      </c>
      <c r="D45" s="13"/>
      <c r="E45" s="13"/>
      <c r="F45" s="13"/>
      <c r="G45" s="13"/>
      <c r="H45" s="13"/>
    </row>
    <row r="46" spans="2:8" x14ac:dyDescent="0.25">
      <c r="B46" s="87" t="s">
        <v>52</v>
      </c>
      <c r="C46" s="88"/>
      <c r="D46" s="88"/>
      <c r="E46" s="88"/>
      <c r="F46" s="88"/>
    </row>
    <row r="47" spans="2:8" x14ac:dyDescent="0.25">
      <c r="B47" s="88"/>
      <c r="C47" s="88"/>
      <c r="D47" s="88"/>
      <c r="E47" s="88"/>
      <c r="F47" s="88"/>
    </row>
    <row r="48" spans="2:8" x14ac:dyDescent="0.25">
      <c r="B48" s="88"/>
      <c r="C48" s="88"/>
      <c r="D48" s="88"/>
      <c r="E48" s="88"/>
      <c r="F48" s="88"/>
    </row>
    <row r="49" spans="2:6" x14ac:dyDescent="0.25">
      <c r="B49" s="88"/>
      <c r="C49" s="88"/>
      <c r="D49" s="88"/>
      <c r="E49" s="88"/>
      <c r="F49" s="88"/>
    </row>
    <row r="50" spans="2:6" x14ac:dyDescent="0.25">
      <c r="B50" s="42" t="s">
        <v>54</v>
      </c>
    </row>
    <row r="51" spans="2:6" x14ac:dyDescent="0.25">
      <c r="B51" s="42" t="s">
        <v>53</v>
      </c>
    </row>
    <row r="52" spans="2:6" x14ac:dyDescent="0.25">
      <c r="D52" s="96"/>
      <c r="E52" s="97"/>
      <c r="F52" s="97"/>
    </row>
    <row r="53" spans="2:6" x14ac:dyDescent="0.25">
      <c r="B53" s="92" t="s">
        <v>27</v>
      </c>
      <c r="C53" s="93"/>
      <c r="D53" s="93"/>
      <c r="E53" s="93"/>
      <c r="F53" s="93"/>
    </row>
    <row r="54" spans="2:6" x14ac:dyDescent="0.25">
      <c r="B54" s="93"/>
      <c r="C54" s="93"/>
      <c r="D54" s="93"/>
      <c r="E54" s="93"/>
      <c r="F54" s="93"/>
    </row>
    <row r="55" spans="2:6" x14ac:dyDescent="0.25">
      <c r="B55" s="93"/>
      <c r="C55" s="93"/>
      <c r="D55" s="93"/>
      <c r="E55" s="93"/>
      <c r="F55" s="93"/>
    </row>
    <row r="56" spans="2:6" x14ac:dyDescent="0.25">
      <c r="B56" s="93"/>
      <c r="C56" s="93"/>
      <c r="D56" s="93"/>
      <c r="E56" s="93"/>
      <c r="F56" s="93"/>
    </row>
  </sheetData>
  <sheetProtection algorithmName="SHA-512" hashValue="Z2N/2zrM/65bVpKGLVGZ/vcqb4SBkojbK6bY7BZnaiXRq/yy80QKfpLVtbdG4RglERaR9mGop/SxXq3kshMUFQ==" saltValue="73+ekWlgfvnj8jOBt3FzoQ==" spinCount="100000" sheet="1" selectLockedCells="1"/>
  <mergeCells count="11">
    <mergeCell ref="B53:F56"/>
    <mergeCell ref="A3:F3"/>
    <mergeCell ref="A12:F12"/>
    <mergeCell ref="A13:F13"/>
    <mergeCell ref="D52:F52"/>
    <mergeCell ref="D9:F10"/>
    <mergeCell ref="A1:F1"/>
    <mergeCell ref="A2:F2"/>
    <mergeCell ref="B46:F49"/>
    <mergeCell ref="A4:F4"/>
    <mergeCell ref="F6:G6"/>
  </mergeCells>
  <phoneticPr fontId="0" type="noConversion"/>
  <dataValidations count="1">
    <dataValidation type="list" allowBlank="1" showInputMessage="1" showErrorMessage="1" sqref="C17:F24" xr:uid="{00000000-0002-0000-0000-000000000000}">
      <formula1>"Y,N"</formula1>
    </dataValidation>
  </dataValidations>
  <pageMargins left="0.25" right="0.25" top="0.75" bottom="0.75" header="0.3" footer="0.3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9"/>
  <sheetViews>
    <sheetView workbookViewId="0">
      <selection activeCell="A25" sqref="A25:B28"/>
    </sheetView>
  </sheetViews>
  <sheetFormatPr defaultRowHeight="13.2" x14ac:dyDescent="0.25"/>
  <cols>
    <col min="1" max="1" width="25.109375" customWidth="1"/>
    <col min="2" max="2" width="18.6640625" customWidth="1"/>
    <col min="3" max="4" width="17.5546875" customWidth="1"/>
    <col min="5" max="5" width="16.6640625" customWidth="1"/>
    <col min="6" max="6" width="16.33203125" customWidth="1"/>
    <col min="7" max="7" width="16.88671875" customWidth="1"/>
    <col min="8" max="8" width="41.88671875" customWidth="1"/>
    <col min="10" max="10" width="11.88671875" customWidth="1"/>
    <col min="15" max="15" width="13" customWidth="1"/>
  </cols>
  <sheetData>
    <row r="1" spans="1:9" x14ac:dyDescent="0.25">
      <c r="A1" s="84" t="s">
        <v>74</v>
      </c>
      <c r="B1" s="84"/>
      <c r="C1" s="84"/>
      <c r="D1" s="84"/>
      <c r="E1" s="84"/>
      <c r="F1" s="84"/>
      <c r="G1" s="84"/>
    </row>
    <row r="2" spans="1:9" x14ac:dyDescent="0.25">
      <c r="A2" s="85" t="s">
        <v>42</v>
      </c>
      <c r="B2" s="86"/>
      <c r="C2" s="86"/>
      <c r="D2" s="86"/>
      <c r="E2" s="86"/>
      <c r="F2" s="86"/>
      <c r="G2" s="86"/>
    </row>
    <row r="3" spans="1:9" x14ac:dyDescent="0.25">
      <c r="A3" s="86" t="s">
        <v>71</v>
      </c>
      <c r="B3" s="100"/>
      <c r="C3" s="100"/>
      <c r="D3" s="100"/>
      <c r="E3" s="100"/>
      <c r="F3" s="100"/>
      <c r="G3" s="100"/>
    </row>
    <row r="4" spans="1:9" ht="12.75" customHeight="1" x14ac:dyDescent="0.25">
      <c r="A4" s="89" t="s">
        <v>73</v>
      </c>
      <c r="B4" s="89"/>
      <c r="C4" s="89"/>
      <c r="D4" s="89"/>
      <c r="E4" s="89"/>
      <c r="F4" s="89"/>
      <c r="G4" s="89"/>
      <c r="I4" t="str">
        <f>IF(B6="N","oldw4","neww4")</f>
        <v>neww4</v>
      </c>
    </row>
    <row r="5" spans="1:9" x14ac:dyDescent="0.25">
      <c r="A5" s="89" t="s">
        <v>72</v>
      </c>
      <c r="B5" s="89"/>
      <c r="C5" s="89"/>
      <c r="D5" s="89"/>
      <c r="E5" s="89"/>
      <c r="F5" s="89"/>
      <c r="G5" s="89"/>
    </row>
    <row r="6" spans="1:9" x14ac:dyDescent="0.25">
      <c r="A6" s="7" t="s">
        <v>87</v>
      </c>
      <c r="B6" s="9" t="s">
        <v>84</v>
      </c>
      <c r="D6" s="65" t="s">
        <v>88</v>
      </c>
      <c r="E6" s="72" t="s">
        <v>107</v>
      </c>
      <c r="F6" s="63" t="s">
        <v>108</v>
      </c>
      <c r="G6" s="63" t="s">
        <v>109</v>
      </c>
      <c r="I6" s="65" t="s">
        <v>89</v>
      </c>
    </row>
    <row r="7" spans="1:9" x14ac:dyDescent="0.25">
      <c r="A7" s="7" t="s">
        <v>21</v>
      </c>
      <c r="B7" s="9"/>
      <c r="C7" s="44"/>
      <c r="D7" s="68" t="s">
        <v>84</v>
      </c>
      <c r="E7" s="64">
        <v>0</v>
      </c>
      <c r="F7" s="64">
        <v>0</v>
      </c>
      <c r="G7" s="64">
        <v>0</v>
      </c>
      <c r="I7" s="65" t="s">
        <v>85</v>
      </c>
    </row>
    <row r="8" spans="1:9" x14ac:dyDescent="0.25">
      <c r="A8" s="7" t="s">
        <v>22</v>
      </c>
      <c r="B8" s="16"/>
      <c r="C8" s="45"/>
      <c r="I8" s="65" t="s">
        <v>90</v>
      </c>
    </row>
    <row r="9" spans="1:9" x14ac:dyDescent="0.25">
      <c r="A9" s="6" t="s">
        <v>28</v>
      </c>
      <c r="B9" s="16" t="s">
        <v>85</v>
      </c>
      <c r="C9" s="107" t="s">
        <v>82</v>
      </c>
      <c r="D9" s="106"/>
      <c r="E9" s="106"/>
      <c r="F9" s="90"/>
      <c r="G9" s="90"/>
    </row>
    <row r="10" spans="1:9" ht="13.8" x14ac:dyDescent="0.3">
      <c r="A10" s="6" t="s">
        <v>29</v>
      </c>
      <c r="B10" s="16"/>
      <c r="C10" s="108" t="s">
        <v>83</v>
      </c>
      <c r="D10" s="97"/>
      <c r="E10" s="97"/>
      <c r="F10" s="90"/>
      <c r="G10" s="91"/>
    </row>
    <row r="11" spans="1:9" ht="13.8" x14ac:dyDescent="0.3">
      <c r="A11" s="14" t="s">
        <v>110</v>
      </c>
      <c r="B11" s="22"/>
      <c r="C11" s="46"/>
      <c r="E11" s="7" t="s">
        <v>115</v>
      </c>
    </row>
    <row r="12" spans="1:9" x14ac:dyDescent="0.25">
      <c r="A12" s="7" t="s">
        <v>30</v>
      </c>
      <c r="B12" s="16"/>
      <c r="C12" s="45"/>
    </row>
    <row r="13" spans="1:9" x14ac:dyDescent="0.25">
      <c r="A13" s="7" t="s">
        <v>31</v>
      </c>
      <c r="B13" s="22"/>
      <c r="C13" s="46"/>
      <c r="D13" s="14" t="s">
        <v>78</v>
      </c>
      <c r="F13" s="90"/>
      <c r="G13" s="91"/>
    </row>
    <row r="14" spans="1:9" x14ac:dyDescent="0.25">
      <c r="A14" s="14" t="s">
        <v>57</v>
      </c>
      <c r="B14" s="23"/>
      <c r="C14" s="28"/>
      <c r="D14" s="7"/>
      <c r="E14" s="54" t="s">
        <v>77</v>
      </c>
      <c r="G14" s="54"/>
    </row>
    <row r="15" spans="1:9" x14ac:dyDescent="0.25">
      <c r="A15" s="82" t="s">
        <v>116</v>
      </c>
      <c r="B15" s="23"/>
      <c r="C15" s="28"/>
      <c r="D15" s="7"/>
      <c r="E15" s="54"/>
      <c r="G15" s="54"/>
    </row>
    <row r="16" spans="1:9" x14ac:dyDescent="0.25">
      <c r="A16" s="14" t="s">
        <v>56</v>
      </c>
      <c r="B16" s="23"/>
      <c r="C16" s="61"/>
      <c r="E16" s="54" t="s">
        <v>75</v>
      </c>
      <c r="G16" s="54"/>
    </row>
    <row r="17" spans="1:9" x14ac:dyDescent="0.25">
      <c r="A17" s="14" t="s">
        <v>55</v>
      </c>
      <c r="B17" s="23"/>
      <c r="C17" s="28"/>
      <c r="E17" s="98" t="s">
        <v>76</v>
      </c>
      <c r="F17" s="106"/>
      <c r="G17" s="106"/>
      <c r="H17" s="59"/>
      <c r="I17" s="59"/>
    </row>
    <row r="18" spans="1:9" x14ac:dyDescent="0.25">
      <c r="A18" s="27" t="s">
        <v>64</v>
      </c>
      <c r="B18" s="43">
        <f>SUM(B14:B17)-B15</f>
        <v>0</v>
      </c>
      <c r="C18" s="28"/>
      <c r="D18" s="29"/>
      <c r="E18" s="106"/>
      <c r="F18" s="106"/>
      <c r="G18" s="106"/>
      <c r="H18" s="59"/>
      <c r="I18" s="59"/>
    </row>
    <row r="19" spans="1:9" x14ac:dyDescent="0.25">
      <c r="A19" s="102" t="str">
        <f>IF(B17&gt;0,"","THERE IS NO REGULAR PAY IN CELL B16.  DO NOT USE THIS SPREADSHEET WITHOUT REGULAR PAY.")</f>
        <v>THERE IS NO REGULAR PAY IN CELL B16.  DO NOT USE THIS SPREADSHEET WITHOUT REGULAR PAY.</v>
      </c>
      <c r="B19" s="103"/>
      <c r="C19" s="103"/>
      <c r="D19" s="103"/>
      <c r="E19" s="103"/>
      <c r="F19" s="103"/>
      <c r="G19" s="103"/>
    </row>
    <row r="20" spans="1:9" x14ac:dyDescent="0.25">
      <c r="A20" s="101" t="s">
        <v>58</v>
      </c>
      <c r="B20" s="95"/>
      <c r="C20" s="95"/>
      <c r="D20" s="95"/>
      <c r="E20" s="95"/>
      <c r="F20" s="95"/>
      <c r="G20" s="95"/>
    </row>
    <row r="21" spans="1:9" x14ac:dyDescent="0.25">
      <c r="A21" s="94" t="s">
        <v>45</v>
      </c>
      <c r="B21" s="95"/>
      <c r="C21" s="95"/>
      <c r="D21" s="95"/>
      <c r="E21" s="95"/>
      <c r="F21" s="95"/>
      <c r="G21" s="95"/>
    </row>
    <row r="22" spans="1:9" x14ac:dyDescent="0.25">
      <c r="A22" s="7"/>
    </row>
    <row r="23" spans="1:9" x14ac:dyDescent="0.25">
      <c r="A23" s="6" t="s">
        <v>61</v>
      </c>
    </row>
    <row r="24" spans="1:9" ht="26.25" customHeight="1" x14ac:dyDescent="0.25">
      <c r="A24" s="8" t="s">
        <v>50</v>
      </c>
      <c r="B24" s="8" t="s">
        <v>49</v>
      </c>
      <c r="C24" s="8"/>
      <c r="D24" s="4" t="s">
        <v>15</v>
      </c>
      <c r="E24" s="4" t="s">
        <v>16</v>
      </c>
      <c r="F24" s="4" t="s">
        <v>17</v>
      </c>
      <c r="G24" s="4" t="s">
        <v>18</v>
      </c>
      <c r="H24" s="18"/>
    </row>
    <row r="25" spans="1:9" x14ac:dyDescent="0.25">
      <c r="A25" s="10"/>
      <c r="B25" s="9"/>
      <c r="C25" s="9"/>
      <c r="D25" s="11" t="s">
        <v>84</v>
      </c>
      <c r="E25" s="11" t="s">
        <v>84</v>
      </c>
      <c r="F25" s="11" t="s">
        <v>84</v>
      </c>
      <c r="G25" s="11" t="s">
        <v>84</v>
      </c>
      <c r="H25" s="19"/>
    </row>
    <row r="26" spans="1:9" x14ac:dyDescent="0.25">
      <c r="A26" s="10"/>
      <c r="B26" s="9"/>
      <c r="C26" s="9"/>
      <c r="D26" s="11" t="s">
        <v>84</v>
      </c>
      <c r="E26" s="11" t="s">
        <v>84</v>
      </c>
      <c r="F26" s="11" t="s">
        <v>19</v>
      </c>
      <c r="G26" s="11" t="s">
        <v>19</v>
      </c>
      <c r="H26" s="19"/>
    </row>
    <row r="27" spans="1:9" x14ac:dyDescent="0.25">
      <c r="A27" s="10"/>
      <c r="B27" s="9"/>
      <c r="C27" s="9"/>
      <c r="D27" s="11" t="s">
        <v>19</v>
      </c>
      <c r="E27" s="11" t="s">
        <v>19</v>
      </c>
      <c r="F27" s="11" t="s">
        <v>19</v>
      </c>
      <c r="G27" s="11" t="s">
        <v>19</v>
      </c>
      <c r="H27" s="19"/>
    </row>
    <row r="28" spans="1:9" x14ac:dyDescent="0.25">
      <c r="A28" s="10"/>
      <c r="B28" s="9"/>
      <c r="C28" s="9"/>
      <c r="D28" s="11" t="s">
        <v>84</v>
      </c>
      <c r="E28" s="11" t="s">
        <v>84</v>
      </c>
      <c r="F28" s="11" t="s">
        <v>19</v>
      </c>
      <c r="G28" s="11" t="s">
        <v>19</v>
      </c>
      <c r="H28" s="19"/>
    </row>
    <row r="29" spans="1:9" x14ac:dyDescent="0.25">
      <c r="A29" s="10"/>
      <c r="B29" s="9"/>
      <c r="C29" s="9"/>
      <c r="D29" s="11" t="s">
        <v>19</v>
      </c>
      <c r="E29" s="11" t="s">
        <v>19</v>
      </c>
      <c r="F29" s="11" t="s">
        <v>19</v>
      </c>
      <c r="G29" s="11" t="s">
        <v>19</v>
      </c>
      <c r="H29" s="19"/>
    </row>
    <row r="30" spans="1:9" x14ac:dyDescent="0.25">
      <c r="A30" s="10"/>
      <c r="B30" s="9"/>
      <c r="C30" s="9"/>
      <c r="D30" s="11" t="s">
        <v>19</v>
      </c>
      <c r="E30" s="11" t="s">
        <v>19</v>
      </c>
      <c r="F30" s="11" t="s">
        <v>19</v>
      </c>
      <c r="G30" s="11" t="s">
        <v>19</v>
      </c>
      <c r="H30" s="19"/>
    </row>
    <row r="31" spans="1:9" x14ac:dyDescent="0.25">
      <c r="A31" s="10"/>
      <c r="B31" s="9"/>
      <c r="C31" s="9"/>
      <c r="D31" s="11" t="s">
        <v>19</v>
      </c>
      <c r="E31" s="11" t="s">
        <v>19</v>
      </c>
      <c r="F31" s="11" t="s">
        <v>19</v>
      </c>
      <c r="G31" s="11" t="s">
        <v>19</v>
      </c>
      <c r="H31" s="19"/>
    </row>
    <row r="32" spans="1:9" x14ac:dyDescent="0.25">
      <c r="A32" s="10"/>
      <c r="B32" s="9"/>
      <c r="C32" s="9"/>
      <c r="D32" s="11" t="s">
        <v>19</v>
      </c>
      <c r="E32" s="11" t="s">
        <v>19</v>
      </c>
      <c r="F32" s="11" t="s">
        <v>19</v>
      </c>
      <c r="G32" s="11" t="s">
        <v>19</v>
      </c>
      <c r="H32" s="19"/>
    </row>
    <row r="33" spans="1:17" x14ac:dyDescent="0.25">
      <c r="A33" s="10"/>
      <c r="B33" s="9"/>
      <c r="C33" s="9"/>
      <c r="D33" s="11" t="s">
        <v>19</v>
      </c>
      <c r="E33" s="11" t="s">
        <v>19</v>
      </c>
      <c r="F33" s="11" t="s">
        <v>19</v>
      </c>
      <c r="G33" s="11" t="s">
        <v>19</v>
      </c>
      <c r="H33" s="19"/>
    </row>
    <row r="34" spans="1:17" x14ac:dyDescent="0.25">
      <c r="A34" s="10"/>
      <c r="B34" s="9"/>
      <c r="C34" s="9"/>
      <c r="D34" s="11" t="s">
        <v>19</v>
      </c>
      <c r="E34" s="11" t="s">
        <v>19</v>
      </c>
      <c r="F34" s="11" t="s">
        <v>19</v>
      </c>
      <c r="G34" s="11" t="s">
        <v>19</v>
      </c>
      <c r="H34" s="19"/>
    </row>
    <row r="35" spans="1:17" x14ac:dyDescent="0.25">
      <c r="A35" s="10"/>
      <c r="B35" s="9"/>
      <c r="C35" s="9"/>
      <c r="D35" s="11" t="s">
        <v>19</v>
      </c>
      <c r="E35" s="11" t="s">
        <v>19</v>
      </c>
      <c r="F35" s="11" t="s">
        <v>19</v>
      </c>
      <c r="G35" s="50" t="s">
        <v>19</v>
      </c>
      <c r="H35" s="19"/>
    </row>
    <row r="36" spans="1:17" x14ac:dyDescent="0.25">
      <c r="A36" s="10"/>
      <c r="B36" s="9"/>
      <c r="C36" s="9"/>
      <c r="D36" s="11" t="s">
        <v>19</v>
      </c>
      <c r="E36" s="11" t="s">
        <v>19</v>
      </c>
      <c r="F36" s="11" t="s">
        <v>19</v>
      </c>
      <c r="G36" s="11" t="s">
        <v>19</v>
      </c>
      <c r="H36" s="19"/>
    </row>
    <row r="37" spans="1:17" x14ac:dyDescent="0.25">
      <c r="A37" s="1">
        <f>SUM(A25:A36)</f>
        <v>0</v>
      </c>
    </row>
    <row r="38" spans="1:17" x14ac:dyDescent="0.25">
      <c r="H38" s="77"/>
      <c r="J38" s="69">
        <f>'Federal Tax Tables'!C1</f>
        <v>179</v>
      </c>
      <c r="K38" s="65" t="s">
        <v>113</v>
      </c>
    </row>
    <row r="39" spans="1:17" s="17" customFormat="1" ht="27" customHeight="1" x14ac:dyDescent="0.25">
      <c r="B39" s="5" t="s">
        <v>65</v>
      </c>
      <c r="C39" s="4" t="s">
        <v>63</v>
      </c>
      <c r="D39" s="5" t="s">
        <v>37</v>
      </c>
      <c r="E39" s="5" t="s">
        <v>47</v>
      </c>
      <c r="F39" s="5" t="s">
        <v>2</v>
      </c>
      <c r="G39" s="5" t="s">
        <v>24</v>
      </c>
      <c r="H39" s="78"/>
      <c r="J39" s="69" t="str">
        <f>IF($B$9="","",IF(B6="N",IF($B$9="Married","fitmarrYR",IF($B$9="Single","fitsingYR","fithohyr")),IF(D7="N",IF($B$9="Married","fitmarrbox2",IF($B$9="Single","fitsingbox2","fithohbox2")),IF($B$9="Married","fitmarrbox2y",IF($B$9="Single","fitsingbox2y","fithohbox2y")))))</f>
        <v>fitmarrbox2y</v>
      </c>
      <c r="K39" s="75" t="s">
        <v>112</v>
      </c>
      <c r="O39" s="69" t="str">
        <f>fittable</f>
        <v>fitmarrbox2y</v>
      </c>
      <c r="P39" s="75" t="s">
        <v>112</v>
      </c>
      <c r="Q39" s="76"/>
    </row>
    <row r="40" spans="1:17" ht="14.4" x14ac:dyDescent="0.3">
      <c r="A40" s="7" t="s">
        <v>0</v>
      </c>
      <c r="B40" s="52">
        <f>IF((F13)="",IF($B$17&gt;0,($B$16+$B$17)-(SUMIF(OASDIN,"Y",dedamt)),0),IF($B$17&gt;0,IF(F13&lt;(($B$16+$B$17)-(SUMIF(OASDIN,"Y",dedamt))),F13,(($B$16+$B$17)-(SUMIF(OASDIN,"Y",dedamt)))),0))+B15</f>
        <v>0</v>
      </c>
      <c r="C40" s="52">
        <f>IF((F13)="",IF($B$17&gt;0,($B$14+$B$16+$B$17)-(SUMIF(OASDIN,"Y",dedamt)),0),IF($B$17&gt;0,IF(F13&lt;(($B$14+$B$16+$B$17)-(SUMIF(OASDIN,"Y",dedamt))),F13,(($B$14+$B$16+$B$17)-(SUMIF(OASDIN,"Y",dedamt)))),0))+B15</f>
        <v>0</v>
      </c>
      <c r="D40" s="2">
        <v>6.2E-2</v>
      </c>
      <c r="E40" s="24"/>
      <c r="F40" s="1">
        <f>B40*D40</f>
        <v>0</v>
      </c>
      <c r="G40" s="1">
        <f>F40+E40</f>
        <v>0</v>
      </c>
      <c r="H40" s="77"/>
      <c r="J40" s="1">
        <f>C42</f>
        <v>0</v>
      </c>
      <c r="K40" s="65" t="s">
        <v>106</v>
      </c>
      <c r="O40" s="1">
        <f>C42</f>
        <v>0</v>
      </c>
      <c r="P40" s="65" t="s">
        <v>106</v>
      </c>
    </row>
    <row r="41" spans="1:17" x14ac:dyDescent="0.25">
      <c r="A41" s="6" t="s">
        <v>1</v>
      </c>
      <c r="B41" s="1">
        <f>IF($B$17&gt;0,($B$16+$B$17)-(SUMIF(HIN,"Y",dedamt)),0)+B15</f>
        <v>0</v>
      </c>
      <c r="C41" s="1">
        <f>IF($B$17&gt;0,($B$14+$B$16+$B$17)-(SUMIF(HIN,"Y",dedamt)),0)+B15</f>
        <v>0</v>
      </c>
      <c r="D41" s="2">
        <v>1.4500000000000001E-2</v>
      </c>
      <c r="E41" s="24"/>
      <c r="F41" s="1">
        <f>B41*D41</f>
        <v>0</v>
      </c>
      <c r="G41" s="1">
        <f>F41+E41</f>
        <v>0</v>
      </c>
      <c r="H41" s="77"/>
      <c r="J41" s="1">
        <f>E7/24</f>
        <v>0</v>
      </c>
      <c r="K41" s="74" t="s">
        <v>103</v>
      </c>
      <c r="O41" s="1">
        <f>E7/24</f>
        <v>0</v>
      </c>
      <c r="P41" s="74" t="s">
        <v>103</v>
      </c>
    </row>
    <row r="42" spans="1:17" ht="15" x14ac:dyDescent="0.25">
      <c r="A42" s="7" t="s">
        <v>9</v>
      </c>
      <c r="B42" s="1">
        <f>IF($B$17&gt;0,($B$16+$B$17)-(SUMIF(fitn,"Y",dedamt)),0)</f>
        <v>0</v>
      </c>
      <c r="C42" s="1">
        <f>IF($B$17&gt;0,($B$14+$B$16+$B$17)-(SUMIF(fitn,"Y",dedamt))-$F$56,0)</f>
        <v>0</v>
      </c>
      <c r="D42" s="2"/>
      <c r="E42" s="24">
        <f>B11</f>
        <v>0</v>
      </c>
      <c r="F42" s="1">
        <f ca="1">J54</f>
        <v>0</v>
      </c>
      <c r="G42" s="1">
        <f>IF(B14=0,0,F42+E42)</f>
        <v>0</v>
      </c>
      <c r="H42" s="79">
        <f ca="1">(IF(($I$42)&gt;0,IF($B$9="Married",(IF(($I$42-VLOOKUP(($I$42),INDIRECT(fittable),5,TRUE))&lt;0,0,($I$42-VLOOKUP(($I$42),INDIRECT(fittable),5,TRUE)))*VLOOKUP(($I$42),INDIRECT(fittable),4,TRUE))+VLOOKUP(($I$42),INDIRECT(fittable),3,TRUE),(IF(($I$42-VLOOKUP($I$42,INDIRECT(fittable),5,TRUE))&lt;0,0,($I$42-VLOOKUP(($I$42),INDIRECT(fittable),5,TRUE)))*VLOOKUP(($I$42),INDIRECT(fittable),4,TRUE))+VLOOKUP(($I$42),INDIRECT(fittable),3,TRUE)),0))</f>
        <v>0</v>
      </c>
      <c r="I42" s="51">
        <f>B42-$B$10*J38</f>
        <v>0</v>
      </c>
      <c r="J42" s="1">
        <f>F7/24</f>
        <v>0</v>
      </c>
      <c r="K42" s="74" t="s">
        <v>104</v>
      </c>
      <c r="O42" s="1">
        <f>F7/24</f>
        <v>0</v>
      </c>
      <c r="P42" s="74" t="s">
        <v>104</v>
      </c>
    </row>
    <row r="43" spans="1:17" x14ac:dyDescent="0.25">
      <c r="A43" s="7" t="s">
        <v>10</v>
      </c>
      <c r="B43" s="1">
        <f>IF($B$17&gt;0,($B$16+$B$17)-(SUMIF(sitn,"Y",dedamt)),0)</f>
        <v>0</v>
      </c>
      <c r="C43" s="1">
        <f>IF($B$17&gt;0,($B$14+$B$16+$B$17)-(SUMIF(sitn,"Y",dedamt))-$F$56,0)</f>
        <v>0</v>
      </c>
      <c r="D43" s="31"/>
      <c r="E43" s="24">
        <f>B13</f>
        <v>0</v>
      </c>
      <c r="F43" s="1">
        <f>H43</f>
        <v>0</v>
      </c>
      <c r="G43" s="1">
        <f>IF(B14=0,0,F43+E43)</f>
        <v>0</v>
      </c>
      <c r="H43" s="80">
        <f>IF(($B$43*24)-8000-($B$12*'State Tax Tables'!$C$2)&gt;0,(((($B$43*24)-8000-($B$12*'State Tax Tables'!$C$2))-VLOOKUP((($B$43*24)-8000-($B$12*'State Tax Tables'!$C$2)),sittable,5,TRUE))*VLOOKUP((($B$43*24)-8000-($B$12*'State Tax Tables'!$C$2)),sittable,4,TRUE)+VLOOKUP((($B$43*24)-8000-($B$12*'State Tax Tables'!$C$2)),sittable,3,TRUE))/24,0)</f>
        <v>0</v>
      </c>
      <c r="I43" s="66"/>
      <c r="J43" s="1">
        <f>J40+J41-J42</f>
        <v>0</v>
      </c>
      <c r="K43" s="73" t="s">
        <v>105</v>
      </c>
      <c r="O43" s="1">
        <f>O40+O41-O42</f>
        <v>0</v>
      </c>
      <c r="P43" s="73" t="s">
        <v>105</v>
      </c>
    </row>
    <row r="44" spans="1:17" x14ac:dyDescent="0.25">
      <c r="A44" s="7"/>
      <c r="B44" s="30"/>
      <c r="C44" s="30"/>
      <c r="D44" s="31"/>
      <c r="E44" s="30"/>
      <c r="F44" s="1"/>
      <c r="G44" s="1"/>
      <c r="H44" s="80">
        <f>IFERROR(IF(($C$43*24)-8000-($B$12*'State Tax Tables'!$C$2)&gt;0,(((($C$43*24)-8000-($B$12*'State Tax Tables'!$C$2))-VLOOKUP((($C$43*24)-8000-($B$12*'State Tax Tables'!$C$2)),sittable,5,TRUE))*VLOOKUP((($C$43*24)-8000-($B$12*'State Tax Tables'!$C$2)),sittable,4,TRUE)+VLOOKUP((($C$43*24)-8000-($B$12*'State Tax Tables'!$C$2)),sittable,3,TRUE))/24,0),0)</f>
        <v>0</v>
      </c>
      <c r="I44" s="1"/>
      <c r="J44" s="1">
        <f>IF(B6="Y",0,B10)</f>
        <v>0</v>
      </c>
      <c r="K44" t="s">
        <v>91</v>
      </c>
      <c r="O44" s="1">
        <f>IF(B6="Y",0,B10)</f>
        <v>0</v>
      </c>
      <c r="P44" t="s">
        <v>91</v>
      </c>
    </row>
    <row r="45" spans="1:17" x14ac:dyDescent="0.25">
      <c r="B45" s="1"/>
      <c r="C45" s="1">
        <f>I57</f>
        <v>0</v>
      </c>
      <c r="E45" s="1"/>
      <c r="F45" s="1"/>
      <c r="H45" s="81"/>
      <c r="J45" s="1">
        <f>J44*'Federal Tax Tables'!C1</f>
        <v>0</v>
      </c>
      <c r="K45" t="s">
        <v>92</v>
      </c>
      <c r="O45" s="1">
        <f>J44*'Federal Tax Tables'!C1</f>
        <v>0</v>
      </c>
      <c r="P45" t="s">
        <v>92</v>
      </c>
    </row>
    <row r="46" spans="1:17" x14ac:dyDescent="0.25">
      <c r="D46" s="3"/>
      <c r="E46" s="15" t="s">
        <v>12</v>
      </c>
      <c r="F46" s="1">
        <f ca="1">SUM($F$40:$F$45)</f>
        <v>0</v>
      </c>
      <c r="G46" s="1">
        <f>SUM($G$40:$G$45)</f>
        <v>0</v>
      </c>
      <c r="H46" s="81"/>
      <c r="I46" s="1"/>
      <c r="J46" s="1">
        <f>(J43-J45)*24</f>
        <v>0</v>
      </c>
      <c r="K46" t="s">
        <v>93</v>
      </c>
      <c r="O46" s="1">
        <f>(O43-O45)*24</f>
        <v>0</v>
      </c>
      <c r="P46" t="s">
        <v>93</v>
      </c>
    </row>
    <row r="47" spans="1:17" x14ac:dyDescent="0.25">
      <c r="H47" s="81"/>
      <c r="J47" s="1">
        <f ca="1">VLOOKUP(J46,INDIRECT(J39),5,TRUE)</f>
        <v>0</v>
      </c>
      <c r="K47" t="s">
        <v>98</v>
      </c>
      <c r="O47" s="1">
        <f ca="1">IFERROR(VLOOKUP(O46,INDIRECT(O39),5,TRUE),0)</f>
        <v>0</v>
      </c>
      <c r="P47" t="s">
        <v>98</v>
      </c>
    </row>
    <row r="48" spans="1:17" ht="24" customHeight="1" x14ac:dyDescent="0.25">
      <c r="D48" s="38" t="s">
        <v>67</v>
      </c>
      <c r="E48" s="38" t="s">
        <v>69</v>
      </c>
      <c r="F48" s="39" t="s">
        <v>68</v>
      </c>
      <c r="G48" s="69"/>
      <c r="H48" s="67"/>
      <c r="J48" s="1">
        <f ca="1">J46-J47</f>
        <v>0</v>
      </c>
      <c r="K48" t="s">
        <v>99</v>
      </c>
      <c r="O48" s="1">
        <f ca="1">O46-O47</f>
        <v>0</v>
      </c>
      <c r="P48" t="s">
        <v>99</v>
      </c>
    </row>
    <row r="49" spans="1:16" x14ac:dyDescent="0.25">
      <c r="B49" s="7" t="s">
        <v>59</v>
      </c>
      <c r="C49" s="7"/>
      <c r="D49" s="1">
        <f>B16+B17</f>
        <v>0</v>
      </c>
      <c r="E49" s="1">
        <f>B18</f>
        <v>0</v>
      </c>
      <c r="F49" s="1">
        <f>E49-D49</f>
        <v>0</v>
      </c>
      <c r="G49" s="69"/>
      <c r="H49" s="67"/>
      <c r="I49" s="1"/>
      <c r="J49" s="1">
        <f ca="1">VLOOKUP(J46,INDIRECT(J39),4,TRUE)</f>
        <v>0</v>
      </c>
      <c r="K49" t="s">
        <v>94</v>
      </c>
      <c r="O49" s="1">
        <f ca="1">IFERROR(VLOOKUP(O46,INDIRECT(O39),4,TRUE),0)</f>
        <v>0</v>
      </c>
      <c r="P49" t="s">
        <v>94</v>
      </c>
    </row>
    <row r="50" spans="1:16" x14ac:dyDescent="0.25">
      <c r="B50" s="7" t="s">
        <v>6</v>
      </c>
      <c r="C50" s="7"/>
      <c r="D50" s="1">
        <f>F40</f>
        <v>0</v>
      </c>
      <c r="E50" s="1">
        <f>C40*D40</f>
        <v>0</v>
      </c>
      <c r="F50" s="1">
        <f>C40*0.062</f>
        <v>0</v>
      </c>
      <c r="G50" s="69"/>
      <c r="H50" s="67"/>
      <c r="J50" s="1">
        <f ca="1">J48*J49</f>
        <v>0</v>
      </c>
      <c r="K50" t="s">
        <v>97</v>
      </c>
      <c r="O50" s="1">
        <f ca="1">O48*O49</f>
        <v>0</v>
      </c>
      <c r="P50" t="s">
        <v>97</v>
      </c>
    </row>
    <row r="51" spans="1:16" x14ac:dyDescent="0.25">
      <c r="B51" s="7" t="s">
        <v>7</v>
      </c>
      <c r="C51" s="7"/>
      <c r="D51" s="1">
        <f>F41</f>
        <v>0</v>
      </c>
      <c r="E51" s="1">
        <f>C41*D41</f>
        <v>0</v>
      </c>
      <c r="F51" s="1">
        <f>C41*0.0145</f>
        <v>0</v>
      </c>
      <c r="G51" s="69"/>
      <c r="H51" s="67"/>
      <c r="I51" s="1"/>
      <c r="J51" s="1">
        <f ca="1">VLOOKUP(J46,INDIRECT(J39),3,TRUE)</f>
        <v>0</v>
      </c>
      <c r="K51" t="s">
        <v>95</v>
      </c>
      <c r="O51" s="1">
        <f ca="1">IFERROR(VLOOKUP(O46,INDIRECT(O39),3,TRUE),0)</f>
        <v>0</v>
      </c>
      <c r="P51" t="s">
        <v>95</v>
      </c>
    </row>
    <row r="52" spans="1:16" x14ac:dyDescent="0.25">
      <c r="B52" s="7" t="s">
        <v>4</v>
      </c>
      <c r="C52" s="47">
        <f>C42-$B$10*J38</f>
        <v>0</v>
      </c>
      <c r="D52" s="1">
        <f ca="1">O54+B11</f>
        <v>0</v>
      </c>
      <c r="E52" s="48">
        <f ca="1">IF(B6="Y",IFERROR(O54,0)+B11,IFERROR(J54,0)+B11)</f>
        <v>0</v>
      </c>
      <c r="F52" s="1">
        <f ca="1">IF(B6="Y",IFERROR(O54,0)+B11,IFERROR(J54,0)+B11)</f>
        <v>0</v>
      </c>
      <c r="H52" s="67"/>
      <c r="J52" s="1">
        <f ca="1">(J50+J51)/24</f>
        <v>0</v>
      </c>
      <c r="K52" t="s">
        <v>96</v>
      </c>
      <c r="O52" s="1">
        <f ca="1">(O50+O51)/24</f>
        <v>0</v>
      </c>
      <c r="P52" t="s">
        <v>96</v>
      </c>
    </row>
    <row r="53" spans="1:16" x14ac:dyDescent="0.25">
      <c r="B53" s="7" t="s">
        <v>5</v>
      </c>
      <c r="C53" s="7"/>
      <c r="D53" s="1">
        <f>H43+B13</f>
        <v>0</v>
      </c>
      <c r="E53" s="35">
        <f>H44+B13</f>
        <v>0</v>
      </c>
      <c r="F53" s="1">
        <f>E53-D53</f>
        <v>0</v>
      </c>
      <c r="H53" s="67"/>
      <c r="J53" s="1">
        <f>G7/24</f>
        <v>0</v>
      </c>
      <c r="K53" s="65" t="s">
        <v>109</v>
      </c>
      <c r="O53" s="1">
        <f>G7/24</f>
        <v>0</v>
      </c>
      <c r="P53" s="65" t="s">
        <v>109</v>
      </c>
    </row>
    <row r="54" spans="1:16" x14ac:dyDescent="0.25">
      <c r="A54" s="36">
        <f ca="1">D49-SUM(D50:D54)</f>
        <v>0</v>
      </c>
      <c r="B54" s="7" t="s">
        <v>8</v>
      </c>
      <c r="C54" s="7"/>
      <c r="D54" s="1">
        <f>A37</f>
        <v>0</v>
      </c>
      <c r="E54" s="35">
        <f>A37+F56</f>
        <v>0</v>
      </c>
      <c r="F54" s="1">
        <f>A37</f>
        <v>0</v>
      </c>
      <c r="G54" s="70">
        <f ca="1">F49-SUM(F50:F54)</f>
        <v>0</v>
      </c>
      <c r="H54" s="67"/>
      <c r="J54" s="1">
        <f ca="1">IF(J52-J53&lt;0,0,J52-J53)</f>
        <v>0</v>
      </c>
      <c r="K54" s="65" t="s">
        <v>111</v>
      </c>
      <c r="O54" s="1">
        <f ca="1">IF(O52-O53&lt;0,0,O52-O53)</f>
        <v>0</v>
      </c>
      <c r="P54" s="65" t="s">
        <v>111</v>
      </c>
    </row>
    <row r="55" spans="1:16" ht="13.8" thickBot="1" x14ac:dyDescent="0.3">
      <c r="A55" s="32"/>
      <c r="B55" s="34" t="s">
        <v>66</v>
      </c>
      <c r="C55" s="34"/>
      <c r="D55" s="40">
        <f ca="1">D49-SUM(D50:D54)</f>
        <v>0</v>
      </c>
      <c r="E55" s="40">
        <f ca="1">E49-SUM(E50:E54)</f>
        <v>0</v>
      </c>
      <c r="F55" s="34"/>
      <c r="G55" s="71"/>
      <c r="H55" s="67"/>
      <c r="I55" s="13"/>
    </row>
    <row r="56" spans="1:16" ht="14.4" thickTop="1" thickBot="1" x14ac:dyDescent="0.3">
      <c r="A56" s="32"/>
      <c r="B56" s="14" t="s">
        <v>60</v>
      </c>
      <c r="C56" s="14"/>
      <c r="D56" s="1"/>
      <c r="E56" s="40"/>
      <c r="F56" s="33">
        <f>IF(F10-F9=0,0,IF(F10-F9&gt;ROUNDDOWN(G54,0),ROUNDDOWN(G54,0),F10-F9))</f>
        <v>0</v>
      </c>
      <c r="G56" s="34"/>
      <c r="H56" s="67"/>
      <c r="I56" s="13"/>
    </row>
    <row r="57" spans="1:16" ht="13.8" thickTop="1" x14ac:dyDescent="0.25">
      <c r="A57" s="109" t="s">
        <v>86</v>
      </c>
      <c r="B57" s="110"/>
      <c r="C57" s="110"/>
      <c r="D57" s="1"/>
      <c r="E57" s="40"/>
      <c r="F57" s="41"/>
      <c r="G57" s="34"/>
      <c r="H57" s="67"/>
      <c r="I57" s="13"/>
    </row>
    <row r="58" spans="1:16" x14ac:dyDescent="0.25">
      <c r="A58" s="32"/>
      <c r="B58" s="34" t="s">
        <v>43</v>
      </c>
      <c r="C58" s="34"/>
      <c r="D58" s="37"/>
      <c r="E58" s="34"/>
      <c r="F58" s="40">
        <f ca="1">F49-SUM(F50:F54)-F56</f>
        <v>0</v>
      </c>
      <c r="G58" s="34"/>
      <c r="H58" s="13"/>
      <c r="I58" s="13"/>
    </row>
    <row r="59" spans="1:16" x14ac:dyDescent="0.25">
      <c r="B59" s="104" t="s">
        <v>62</v>
      </c>
      <c r="C59" s="104"/>
      <c r="D59" s="105"/>
      <c r="E59" s="105"/>
      <c r="F59" s="105"/>
      <c r="G59" s="105"/>
    </row>
    <row r="60" spans="1:16" x14ac:dyDescent="0.25">
      <c r="B60" s="105"/>
      <c r="C60" s="105"/>
      <c r="D60" s="105"/>
      <c r="E60" s="105"/>
      <c r="F60" s="105"/>
      <c r="G60" s="105"/>
    </row>
    <row r="61" spans="1:16" x14ac:dyDescent="0.25">
      <c r="B61" s="105"/>
      <c r="C61" s="105"/>
      <c r="D61" s="105"/>
      <c r="E61" s="105"/>
      <c r="F61" s="105"/>
      <c r="G61" s="105"/>
    </row>
    <row r="62" spans="1:16" x14ac:dyDescent="0.25">
      <c r="B62" s="105"/>
      <c r="C62" s="105"/>
      <c r="D62" s="105"/>
      <c r="E62" s="105"/>
      <c r="F62" s="105"/>
      <c r="G62" s="105"/>
    </row>
    <row r="63" spans="1:16" x14ac:dyDescent="0.25">
      <c r="B63" s="92" t="s">
        <v>52</v>
      </c>
      <c r="C63" s="93"/>
      <c r="D63" s="93"/>
      <c r="E63" s="93"/>
      <c r="F63" s="93"/>
      <c r="G63" s="93"/>
    </row>
    <row r="64" spans="1:16" x14ac:dyDescent="0.25">
      <c r="B64" s="93"/>
      <c r="C64" s="93"/>
      <c r="D64" s="93"/>
      <c r="E64" s="93"/>
      <c r="F64" s="93"/>
      <c r="G64" s="93"/>
    </row>
    <row r="65" spans="2:7" x14ac:dyDescent="0.25">
      <c r="B65" s="93"/>
      <c r="C65" s="93"/>
      <c r="D65" s="93"/>
      <c r="E65" s="93"/>
      <c r="F65" s="93"/>
      <c r="G65" s="93"/>
    </row>
    <row r="66" spans="2:7" x14ac:dyDescent="0.25">
      <c r="B66" s="92" t="s">
        <v>27</v>
      </c>
      <c r="C66" s="92"/>
      <c r="D66" s="93"/>
      <c r="E66" s="93"/>
      <c r="F66" s="93"/>
      <c r="G66" s="93"/>
    </row>
    <row r="67" spans="2:7" x14ac:dyDescent="0.25">
      <c r="B67" s="93"/>
      <c r="C67" s="93"/>
      <c r="D67" s="93"/>
      <c r="E67" s="93"/>
      <c r="F67" s="93"/>
      <c r="G67" s="93"/>
    </row>
    <row r="68" spans="2:7" x14ac:dyDescent="0.25">
      <c r="B68" s="93"/>
      <c r="C68" s="93"/>
      <c r="D68" s="93"/>
      <c r="E68" s="93"/>
      <c r="F68" s="93"/>
      <c r="G68" s="93"/>
    </row>
    <row r="69" spans="2:7" x14ac:dyDescent="0.25">
      <c r="B69" s="93"/>
      <c r="C69" s="93"/>
      <c r="D69" s="93"/>
      <c r="E69" s="93"/>
      <c r="F69" s="93"/>
      <c r="G69" s="93"/>
    </row>
  </sheetData>
  <sheetProtection algorithmName="SHA-512" hashValue="5MDA6gajP3aD8T0jF9Tp7G+YrhW86Qlrq0DIrP1bmJKrdX71ckcLU2rbidoeQkluBfcOIju89tuGk96z9bhVIg==" saltValue="wfOnjENjPjhC1MwIxzpQyg==" spinCount="100000" sheet="1" selectLockedCells="1"/>
  <mergeCells count="18">
    <mergeCell ref="A1:G1"/>
    <mergeCell ref="A2:G2"/>
    <mergeCell ref="B59:G62"/>
    <mergeCell ref="A5:G5"/>
    <mergeCell ref="A4:G4"/>
    <mergeCell ref="E17:G18"/>
    <mergeCell ref="C9:E9"/>
    <mergeCell ref="C10:E10"/>
    <mergeCell ref="A57:C57"/>
    <mergeCell ref="B66:G69"/>
    <mergeCell ref="A3:G3"/>
    <mergeCell ref="A20:G20"/>
    <mergeCell ref="A21:G21"/>
    <mergeCell ref="B63:G65"/>
    <mergeCell ref="A19:G19"/>
    <mergeCell ref="F9:G9"/>
    <mergeCell ref="F10:G10"/>
    <mergeCell ref="F13:G13"/>
  </mergeCells>
  <phoneticPr fontId="0" type="noConversion"/>
  <dataValidations count="2">
    <dataValidation type="list" allowBlank="1" showInputMessage="1" showErrorMessage="1" sqref="D25:H36 B6 D7" xr:uid="{00000000-0002-0000-0100-000000000000}">
      <formula1>"Y,N"</formula1>
    </dataValidation>
    <dataValidation type="list" allowBlank="1" showInputMessage="1" showErrorMessage="1" sqref="B9" xr:uid="{00000000-0002-0000-0100-000001000000}">
      <formula1>INDIRECT($I$4)</formula1>
    </dataValidation>
  </dataValidations>
  <pageMargins left="0" right="0" top="0" bottom="0" header="0.17" footer="0.17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9"/>
  <sheetViews>
    <sheetView workbookViewId="0">
      <selection activeCell="G24" sqref="G24"/>
    </sheetView>
  </sheetViews>
  <sheetFormatPr defaultRowHeight="13.2" x14ac:dyDescent="0.25"/>
  <sheetData>
    <row r="2" spans="1:4" x14ac:dyDescent="0.25">
      <c r="A2" t="s">
        <v>38</v>
      </c>
      <c r="C2">
        <v>930</v>
      </c>
    </row>
    <row r="4" spans="1:4" x14ac:dyDescent="0.25">
      <c r="A4" s="26"/>
    </row>
    <row r="7" spans="1:4" x14ac:dyDescent="0.25">
      <c r="D7" s="25"/>
    </row>
    <row r="8" spans="1:4" x14ac:dyDescent="0.25">
      <c r="D8" s="25"/>
    </row>
    <row r="9" spans="1:4" x14ac:dyDescent="0.25">
      <c r="D9" s="25"/>
    </row>
    <row r="10" spans="1:4" x14ac:dyDescent="0.25">
      <c r="D10" s="25"/>
    </row>
    <row r="11" spans="1:4" x14ac:dyDescent="0.25">
      <c r="D11" s="25"/>
    </row>
    <row r="12" spans="1:4" x14ac:dyDescent="0.25">
      <c r="D12" s="25"/>
    </row>
    <row r="14" spans="1:4" x14ac:dyDescent="0.25">
      <c r="A14" s="26"/>
    </row>
    <row r="17" spans="1:5" x14ac:dyDescent="0.25">
      <c r="D17" s="25"/>
    </row>
    <row r="18" spans="1:5" x14ac:dyDescent="0.25">
      <c r="D18" s="25"/>
    </row>
    <row r="19" spans="1:5" x14ac:dyDescent="0.25">
      <c r="D19" s="25"/>
    </row>
    <row r="20" spans="1:5" x14ac:dyDescent="0.25">
      <c r="D20" s="25"/>
    </row>
    <row r="21" spans="1:5" x14ac:dyDescent="0.25">
      <c r="D21" s="25"/>
    </row>
    <row r="22" spans="1:5" x14ac:dyDescent="0.25">
      <c r="D22" s="25"/>
    </row>
    <row r="24" spans="1:5" x14ac:dyDescent="0.25">
      <c r="A24" t="s">
        <v>41</v>
      </c>
    </row>
    <row r="25" spans="1:5" x14ac:dyDescent="0.25">
      <c r="A25" t="s">
        <v>33</v>
      </c>
      <c r="B25" t="s">
        <v>34</v>
      </c>
      <c r="C25" t="s">
        <v>35</v>
      </c>
      <c r="D25" t="s">
        <v>20</v>
      </c>
      <c r="E25" t="s">
        <v>36</v>
      </c>
    </row>
    <row r="26" spans="1:5" x14ac:dyDescent="0.25">
      <c r="A26">
        <v>0</v>
      </c>
      <c r="B26">
        <v>3000</v>
      </c>
      <c r="C26">
        <v>0</v>
      </c>
      <c r="D26" s="25">
        <v>0.02</v>
      </c>
      <c r="E26">
        <v>0</v>
      </c>
    </row>
    <row r="27" spans="1:5" x14ac:dyDescent="0.25">
      <c r="A27">
        <v>3000</v>
      </c>
      <c r="B27">
        <v>5000</v>
      </c>
      <c r="C27">
        <v>60</v>
      </c>
      <c r="D27" s="25">
        <v>0.03</v>
      </c>
      <c r="E27">
        <v>3000</v>
      </c>
    </row>
    <row r="28" spans="1:5" x14ac:dyDescent="0.25">
      <c r="A28">
        <v>5000</v>
      </c>
      <c r="B28">
        <v>17000</v>
      </c>
      <c r="C28">
        <v>120</v>
      </c>
      <c r="D28" s="25">
        <v>0.05</v>
      </c>
      <c r="E28">
        <v>5000</v>
      </c>
    </row>
    <row r="29" spans="1:5" x14ac:dyDescent="0.25">
      <c r="A29">
        <v>17000</v>
      </c>
      <c r="C29">
        <v>720</v>
      </c>
      <c r="D29" s="2">
        <v>5.7500000000000002E-2</v>
      </c>
      <c r="E29">
        <v>17000</v>
      </c>
    </row>
  </sheetData>
  <sheetProtection algorithmName="SHA-512" hashValue="7jb1JyLTmUXp5aycSzPLgAzgVx1Uie7Gi7FmFFw9xnCiF2y72C5BOZv5A5iEIOVBVCBWKwnHBh9q+MZ0znVlLA==" saltValue="8Blg+z/ohZLOtf3Z46N2XQ==" spinCount="100000" sheet="1" objects="1" scenarios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5"/>
  <sheetViews>
    <sheetView zoomScaleNormal="100" workbookViewId="0">
      <selection activeCell="L37" sqref="L37"/>
    </sheetView>
  </sheetViews>
  <sheetFormatPr defaultRowHeight="13.2" x14ac:dyDescent="0.25"/>
  <sheetData>
    <row r="1" spans="1:17" x14ac:dyDescent="0.25">
      <c r="A1" t="s">
        <v>32</v>
      </c>
      <c r="C1">
        <v>179</v>
      </c>
    </row>
    <row r="3" spans="1:17" x14ac:dyDescent="0.25">
      <c r="A3" t="s">
        <v>100</v>
      </c>
      <c r="G3" t="s">
        <v>101</v>
      </c>
      <c r="M3" t="s">
        <v>102</v>
      </c>
    </row>
    <row r="4" spans="1:17" x14ac:dyDescent="0.25">
      <c r="A4" s="26" t="s">
        <v>39</v>
      </c>
      <c r="G4" s="26" t="s">
        <v>39</v>
      </c>
      <c r="M4" s="26" t="s">
        <v>39</v>
      </c>
    </row>
    <row r="5" spans="1:17" x14ac:dyDescent="0.25">
      <c r="A5" t="s">
        <v>33</v>
      </c>
      <c r="B5" t="s">
        <v>34</v>
      </c>
      <c r="C5" t="s">
        <v>35</v>
      </c>
      <c r="D5" t="s">
        <v>20</v>
      </c>
      <c r="E5" t="s">
        <v>36</v>
      </c>
      <c r="G5" t="s">
        <v>33</v>
      </c>
      <c r="H5" t="s">
        <v>34</v>
      </c>
      <c r="I5" t="s">
        <v>35</v>
      </c>
      <c r="J5" t="s">
        <v>20</v>
      </c>
      <c r="K5" t="s">
        <v>36</v>
      </c>
      <c r="M5" t="s">
        <v>33</v>
      </c>
      <c r="N5" t="s">
        <v>34</v>
      </c>
      <c r="O5" t="s">
        <v>35</v>
      </c>
      <c r="P5" t="s">
        <v>20</v>
      </c>
      <c r="Q5" t="s">
        <v>36</v>
      </c>
    </row>
    <row r="6" spans="1:17" x14ac:dyDescent="0.25">
      <c r="A6">
        <v>0</v>
      </c>
      <c r="B6">
        <v>5250</v>
      </c>
      <c r="C6">
        <v>0</v>
      </c>
      <c r="D6">
        <v>0</v>
      </c>
      <c r="E6">
        <v>0</v>
      </c>
      <c r="G6">
        <v>0</v>
      </c>
      <c r="H6">
        <v>5250</v>
      </c>
      <c r="I6">
        <v>0</v>
      </c>
      <c r="J6">
        <v>0</v>
      </c>
      <c r="K6">
        <v>0</v>
      </c>
      <c r="M6">
        <v>0</v>
      </c>
      <c r="N6">
        <v>6925</v>
      </c>
      <c r="O6">
        <v>0</v>
      </c>
      <c r="P6">
        <v>0</v>
      </c>
      <c r="Q6">
        <v>0</v>
      </c>
    </row>
    <row r="7" spans="1:17" x14ac:dyDescent="0.25">
      <c r="A7">
        <f>B6+1</f>
        <v>5251</v>
      </c>
      <c r="B7">
        <v>16250</v>
      </c>
      <c r="C7">
        <v>0</v>
      </c>
      <c r="D7" s="25">
        <v>0.1</v>
      </c>
      <c r="E7">
        <v>5250</v>
      </c>
      <c r="G7">
        <f>H6+1</f>
        <v>5251</v>
      </c>
      <c r="H7">
        <v>16250</v>
      </c>
      <c r="I7">
        <v>0</v>
      </c>
      <c r="J7" s="25">
        <v>0.1</v>
      </c>
      <c r="K7">
        <v>5250</v>
      </c>
      <c r="M7">
        <v>6926</v>
      </c>
      <c r="N7">
        <v>12425</v>
      </c>
      <c r="O7">
        <v>0</v>
      </c>
      <c r="P7" s="25">
        <v>0.1</v>
      </c>
      <c r="Q7">
        <v>6925</v>
      </c>
    </row>
    <row r="8" spans="1:17" x14ac:dyDescent="0.25">
      <c r="A8">
        <f t="shared" ref="A8:A13" si="0">B7+1</f>
        <v>16251</v>
      </c>
      <c r="B8">
        <v>49975</v>
      </c>
      <c r="C8">
        <v>1100</v>
      </c>
      <c r="D8" s="25">
        <v>0.12</v>
      </c>
      <c r="E8">
        <v>16250</v>
      </c>
      <c r="G8">
        <f t="shared" ref="G8:G13" si="1">H7+1</f>
        <v>16251</v>
      </c>
      <c r="H8">
        <v>49975</v>
      </c>
      <c r="I8">
        <v>1100</v>
      </c>
      <c r="J8" s="25">
        <v>0.12</v>
      </c>
      <c r="K8">
        <v>16250</v>
      </c>
      <c r="M8">
        <v>12426</v>
      </c>
      <c r="N8">
        <v>29288</v>
      </c>
      <c r="O8">
        <v>550</v>
      </c>
      <c r="P8" s="25">
        <v>0.12</v>
      </c>
      <c r="Q8">
        <v>12425</v>
      </c>
    </row>
    <row r="9" spans="1:17" x14ac:dyDescent="0.25">
      <c r="A9">
        <f t="shared" si="0"/>
        <v>49976</v>
      </c>
      <c r="B9">
        <v>100625</v>
      </c>
      <c r="C9">
        <v>5147</v>
      </c>
      <c r="D9" s="25">
        <v>0.22</v>
      </c>
      <c r="E9">
        <v>49975</v>
      </c>
      <c r="G9">
        <f t="shared" si="1"/>
        <v>49976</v>
      </c>
      <c r="H9">
        <v>100625</v>
      </c>
      <c r="I9">
        <v>5147</v>
      </c>
      <c r="J9" s="25">
        <v>0.22</v>
      </c>
      <c r="K9">
        <v>49975</v>
      </c>
      <c r="M9">
        <v>29289</v>
      </c>
      <c r="N9">
        <v>54613</v>
      </c>
      <c r="O9">
        <v>2573.5</v>
      </c>
      <c r="P9" s="25">
        <v>0.22</v>
      </c>
      <c r="Q9">
        <v>29288</v>
      </c>
    </row>
    <row r="10" spans="1:17" x14ac:dyDescent="0.25">
      <c r="A10">
        <f t="shared" si="0"/>
        <v>100626</v>
      </c>
      <c r="B10">
        <v>187350</v>
      </c>
      <c r="C10">
        <v>16290</v>
      </c>
      <c r="D10" s="25">
        <v>0.24</v>
      </c>
      <c r="E10">
        <v>100625</v>
      </c>
      <c r="G10">
        <f t="shared" si="1"/>
        <v>100626</v>
      </c>
      <c r="H10">
        <v>187350</v>
      </c>
      <c r="I10">
        <v>16290</v>
      </c>
      <c r="J10" s="25">
        <v>0.24</v>
      </c>
      <c r="K10">
        <v>100625</v>
      </c>
      <c r="M10">
        <v>54614</v>
      </c>
      <c r="N10">
        <v>97975</v>
      </c>
      <c r="O10">
        <v>8145</v>
      </c>
      <c r="P10" s="25">
        <v>0.24</v>
      </c>
      <c r="Q10">
        <v>54613</v>
      </c>
    </row>
    <row r="11" spans="1:17" x14ac:dyDescent="0.25">
      <c r="A11">
        <f t="shared" si="0"/>
        <v>187351</v>
      </c>
      <c r="B11">
        <v>236500</v>
      </c>
      <c r="C11">
        <v>37104</v>
      </c>
      <c r="D11" s="25">
        <v>0.32</v>
      </c>
      <c r="E11">
        <v>187350</v>
      </c>
      <c r="G11">
        <f t="shared" si="1"/>
        <v>187351</v>
      </c>
      <c r="H11">
        <v>236500</v>
      </c>
      <c r="I11">
        <v>37104</v>
      </c>
      <c r="J11" s="25">
        <v>0.32</v>
      </c>
      <c r="K11">
        <v>187350</v>
      </c>
      <c r="M11">
        <v>97976</v>
      </c>
      <c r="N11">
        <v>122550</v>
      </c>
      <c r="O11">
        <v>18552</v>
      </c>
      <c r="P11" s="25">
        <v>0.32</v>
      </c>
      <c r="Q11">
        <v>97975</v>
      </c>
    </row>
    <row r="12" spans="1:17" x14ac:dyDescent="0.25">
      <c r="A12">
        <f t="shared" si="0"/>
        <v>236501</v>
      </c>
      <c r="B12">
        <v>583375</v>
      </c>
      <c r="C12">
        <v>52832</v>
      </c>
      <c r="D12" s="25">
        <v>0.35</v>
      </c>
      <c r="E12">
        <v>236500</v>
      </c>
      <c r="G12">
        <f t="shared" si="1"/>
        <v>236501</v>
      </c>
      <c r="H12">
        <v>583375</v>
      </c>
      <c r="I12">
        <v>52832</v>
      </c>
      <c r="J12" s="25">
        <v>0.35</v>
      </c>
      <c r="K12">
        <v>236500</v>
      </c>
      <c r="M12">
        <v>122551</v>
      </c>
      <c r="N12">
        <v>295988</v>
      </c>
      <c r="O12">
        <v>26416</v>
      </c>
      <c r="P12" s="25">
        <v>0.35</v>
      </c>
      <c r="Q12">
        <v>122550</v>
      </c>
    </row>
    <row r="13" spans="1:17" x14ac:dyDescent="0.25">
      <c r="A13">
        <f t="shared" si="0"/>
        <v>583376</v>
      </c>
      <c r="B13">
        <v>0</v>
      </c>
      <c r="C13">
        <v>174238.25</v>
      </c>
      <c r="D13" s="57">
        <v>0.37</v>
      </c>
      <c r="E13">
        <v>583375</v>
      </c>
      <c r="G13">
        <f t="shared" si="1"/>
        <v>583376</v>
      </c>
      <c r="H13">
        <v>0</v>
      </c>
      <c r="I13">
        <v>174238.25</v>
      </c>
      <c r="J13" s="57">
        <v>0.37</v>
      </c>
      <c r="K13">
        <v>583375</v>
      </c>
      <c r="M13">
        <v>295989</v>
      </c>
      <c r="N13">
        <v>0</v>
      </c>
      <c r="O13">
        <v>87119.13</v>
      </c>
      <c r="P13" s="57">
        <v>0.37</v>
      </c>
      <c r="Q13">
        <v>295988</v>
      </c>
    </row>
    <row r="15" spans="1:17" x14ac:dyDescent="0.25">
      <c r="A15" s="26" t="s">
        <v>40</v>
      </c>
      <c r="G15" s="26" t="s">
        <v>40</v>
      </c>
      <c r="M15" s="26" t="s">
        <v>40</v>
      </c>
    </row>
    <row r="16" spans="1:17" x14ac:dyDescent="0.25">
      <c r="A16" t="s">
        <v>33</v>
      </c>
      <c r="B16" t="s">
        <v>34</v>
      </c>
      <c r="C16" t="s">
        <v>35</v>
      </c>
      <c r="D16" t="s">
        <v>20</v>
      </c>
      <c r="E16" t="s">
        <v>36</v>
      </c>
      <c r="G16" t="s">
        <v>33</v>
      </c>
      <c r="H16" t="s">
        <v>34</v>
      </c>
      <c r="I16" t="s">
        <v>35</v>
      </c>
      <c r="J16" t="s">
        <v>20</v>
      </c>
      <c r="K16" t="s">
        <v>36</v>
      </c>
      <c r="M16" t="s">
        <v>33</v>
      </c>
      <c r="N16" t="s">
        <v>34</v>
      </c>
      <c r="O16" t="s">
        <v>35</v>
      </c>
      <c r="P16" t="s">
        <v>20</v>
      </c>
      <c r="Q16" t="s">
        <v>36</v>
      </c>
    </row>
    <row r="17" spans="1:17" x14ac:dyDescent="0.25">
      <c r="A17">
        <v>0</v>
      </c>
      <c r="B17">
        <v>14800</v>
      </c>
      <c r="C17">
        <v>0</v>
      </c>
      <c r="D17">
        <v>0</v>
      </c>
      <c r="E17">
        <v>0</v>
      </c>
      <c r="G17">
        <v>0</v>
      </c>
      <c r="H17">
        <v>14800</v>
      </c>
      <c r="I17">
        <v>0</v>
      </c>
      <c r="J17">
        <v>0</v>
      </c>
      <c r="K17">
        <v>0</v>
      </c>
      <c r="M17">
        <v>0</v>
      </c>
      <c r="N17">
        <v>13850</v>
      </c>
      <c r="O17">
        <v>0</v>
      </c>
      <c r="P17">
        <v>0</v>
      </c>
      <c r="Q17">
        <v>0</v>
      </c>
    </row>
    <row r="18" spans="1:17" x14ac:dyDescent="0.25">
      <c r="A18">
        <f>B17+1</f>
        <v>14801</v>
      </c>
      <c r="B18">
        <v>36800</v>
      </c>
      <c r="C18">
        <v>0</v>
      </c>
      <c r="D18" s="25">
        <v>0.1</v>
      </c>
      <c r="E18">
        <v>14800</v>
      </c>
      <c r="G18">
        <f>H17+1</f>
        <v>14801</v>
      </c>
      <c r="H18">
        <v>36800</v>
      </c>
      <c r="I18">
        <v>0</v>
      </c>
      <c r="J18" s="25">
        <v>0.1</v>
      </c>
      <c r="K18">
        <v>14800</v>
      </c>
      <c r="M18">
        <v>13851</v>
      </c>
      <c r="N18">
        <v>24850</v>
      </c>
      <c r="O18">
        <v>0</v>
      </c>
      <c r="P18" s="25">
        <v>0.1</v>
      </c>
      <c r="Q18">
        <v>13850</v>
      </c>
    </row>
    <row r="19" spans="1:17" x14ac:dyDescent="0.25">
      <c r="A19">
        <f t="shared" ref="A19:A24" si="2">B18+1</f>
        <v>36801</v>
      </c>
      <c r="B19">
        <v>104250</v>
      </c>
      <c r="C19">
        <v>2200</v>
      </c>
      <c r="D19" s="25">
        <v>0.12</v>
      </c>
      <c r="E19">
        <v>36800</v>
      </c>
      <c r="G19">
        <f t="shared" ref="G19:G24" si="3">H18+1</f>
        <v>36801</v>
      </c>
      <c r="H19">
        <v>104250</v>
      </c>
      <c r="I19">
        <v>2200</v>
      </c>
      <c r="J19" s="25">
        <v>0.12</v>
      </c>
      <c r="K19">
        <v>36800</v>
      </c>
      <c r="M19">
        <v>24851</v>
      </c>
      <c r="N19">
        <v>58575</v>
      </c>
      <c r="O19">
        <v>1100</v>
      </c>
      <c r="P19" s="25">
        <v>0.12</v>
      </c>
      <c r="Q19">
        <v>24850</v>
      </c>
    </row>
    <row r="20" spans="1:17" x14ac:dyDescent="0.25">
      <c r="A20">
        <f t="shared" si="2"/>
        <v>104251</v>
      </c>
      <c r="B20">
        <v>205550</v>
      </c>
      <c r="C20">
        <v>10294</v>
      </c>
      <c r="D20" s="25">
        <v>0.22</v>
      </c>
      <c r="E20">
        <v>104250</v>
      </c>
      <c r="G20">
        <f t="shared" si="3"/>
        <v>104251</v>
      </c>
      <c r="H20">
        <v>205550</v>
      </c>
      <c r="I20">
        <v>10294</v>
      </c>
      <c r="J20" s="25">
        <v>0.22</v>
      </c>
      <c r="K20">
        <v>104250</v>
      </c>
      <c r="M20">
        <v>58576</v>
      </c>
      <c r="N20">
        <v>109225</v>
      </c>
      <c r="O20">
        <v>5147</v>
      </c>
      <c r="P20" s="25">
        <v>0.22</v>
      </c>
      <c r="Q20">
        <v>58575</v>
      </c>
    </row>
    <row r="21" spans="1:17" x14ac:dyDescent="0.25">
      <c r="A21">
        <f t="shared" si="2"/>
        <v>205551</v>
      </c>
      <c r="B21">
        <v>379000</v>
      </c>
      <c r="C21">
        <v>32580</v>
      </c>
      <c r="D21" s="25">
        <v>0.24</v>
      </c>
      <c r="E21">
        <v>205550</v>
      </c>
      <c r="G21">
        <f t="shared" si="3"/>
        <v>205551</v>
      </c>
      <c r="H21">
        <v>379000</v>
      </c>
      <c r="I21">
        <v>32580</v>
      </c>
      <c r="J21" s="25">
        <v>0.24</v>
      </c>
      <c r="K21">
        <v>205550</v>
      </c>
      <c r="M21">
        <v>109226</v>
      </c>
      <c r="N21">
        <v>195950</v>
      </c>
      <c r="O21">
        <v>16290</v>
      </c>
      <c r="P21" s="25">
        <v>0.24</v>
      </c>
      <c r="Q21">
        <v>109225</v>
      </c>
    </row>
    <row r="22" spans="1:17" x14ac:dyDescent="0.25">
      <c r="A22">
        <f t="shared" si="2"/>
        <v>379001</v>
      </c>
      <c r="B22">
        <v>477300</v>
      </c>
      <c r="C22">
        <v>74208</v>
      </c>
      <c r="D22" s="25">
        <v>0.32</v>
      </c>
      <c r="E22">
        <v>379000</v>
      </c>
      <c r="G22">
        <f t="shared" si="3"/>
        <v>379001</v>
      </c>
      <c r="H22">
        <v>477300</v>
      </c>
      <c r="I22">
        <v>74208</v>
      </c>
      <c r="J22" s="25">
        <v>0.32</v>
      </c>
      <c r="K22">
        <v>379000</v>
      </c>
      <c r="M22">
        <v>195951</v>
      </c>
      <c r="N22">
        <v>245100</v>
      </c>
      <c r="O22">
        <v>37104</v>
      </c>
      <c r="P22" s="25">
        <v>0.32</v>
      </c>
      <c r="Q22">
        <v>195950</v>
      </c>
    </row>
    <row r="23" spans="1:17" x14ac:dyDescent="0.25">
      <c r="A23">
        <f t="shared" si="2"/>
        <v>477301</v>
      </c>
      <c r="B23">
        <v>708550</v>
      </c>
      <c r="C23">
        <v>105664</v>
      </c>
      <c r="D23" s="25">
        <v>0.35</v>
      </c>
      <c r="E23">
        <v>477300</v>
      </c>
      <c r="G23">
        <f t="shared" si="3"/>
        <v>477301</v>
      </c>
      <c r="H23">
        <v>708550</v>
      </c>
      <c r="I23">
        <v>105664</v>
      </c>
      <c r="J23" s="25">
        <v>0.35</v>
      </c>
      <c r="K23">
        <v>477300</v>
      </c>
      <c r="M23">
        <v>245101</v>
      </c>
      <c r="N23">
        <v>360725</v>
      </c>
      <c r="O23">
        <v>52832</v>
      </c>
      <c r="P23" s="25">
        <v>0.35</v>
      </c>
      <c r="Q23">
        <v>245100</v>
      </c>
    </row>
    <row r="24" spans="1:17" x14ac:dyDescent="0.25">
      <c r="A24">
        <f t="shared" si="2"/>
        <v>708551</v>
      </c>
      <c r="B24">
        <v>0</v>
      </c>
      <c r="C24">
        <v>186601.5</v>
      </c>
      <c r="D24" s="57">
        <v>0.37</v>
      </c>
      <c r="E24">
        <v>708550</v>
      </c>
      <c r="G24">
        <f t="shared" si="3"/>
        <v>708551</v>
      </c>
      <c r="H24">
        <v>0</v>
      </c>
      <c r="I24">
        <v>186601.5</v>
      </c>
      <c r="J24" s="57">
        <v>0.37</v>
      </c>
      <c r="K24">
        <v>708550</v>
      </c>
      <c r="M24">
        <v>360726</v>
      </c>
      <c r="N24">
        <v>0</v>
      </c>
      <c r="O24">
        <v>93300.75</v>
      </c>
      <c r="P24" s="57">
        <v>0.37</v>
      </c>
      <c r="Q24">
        <v>360725</v>
      </c>
    </row>
    <row r="26" spans="1:17" x14ac:dyDescent="0.25">
      <c r="A26" s="26" t="s">
        <v>90</v>
      </c>
      <c r="G26" s="26" t="s">
        <v>90</v>
      </c>
      <c r="M26" s="26" t="s">
        <v>90</v>
      </c>
    </row>
    <row r="27" spans="1:17" x14ac:dyDescent="0.25">
      <c r="A27" t="s">
        <v>33</v>
      </c>
      <c r="B27" t="s">
        <v>34</v>
      </c>
      <c r="C27" t="s">
        <v>35</v>
      </c>
      <c r="D27" t="s">
        <v>20</v>
      </c>
      <c r="E27" t="s">
        <v>36</v>
      </c>
      <c r="G27" t="s">
        <v>33</v>
      </c>
      <c r="H27" t="s">
        <v>34</v>
      </c>
      <c r="I27" t="s">
        <v>35</v>
      </c>
      <c r="J27" t="s">
        <v>20</v>
      </c>
      <c r="K27" t="s">
        <v>36</v>
      </c>
      <c r="M27" t="s">
        <v>33</v>
      </c>
      <c r="N27" t="s">
        <v>34</v>
      </c>
      <c r="O27" t="s">
        <v>35</v>
      </c>
      <c r="P27" t="s">
        <v>20</v>
      </c>
      <c r="Q27" t="s">
        <v>36</v>
      </c>
    </row>
    <row r="28" spans="1:17" x14ac:dyDescent="0.25">
      <c r="A28">
        <v>0</v>
      </c>
      <c r="B28">
        <v>12200</v>
      </c>
      <c r="C28">
        <v>0</v>
      </c>
      <c r="D28">
        <v>0</v>
      </c>
      <c r="E28">
        <v>0</v>
      </c>
      <c r="G28">
        <v>0</v>
      </c>
      <c r="H28">
        <v>12200</v>
      </c>
      <c r="I28">
        <v>0</v>
      </c>
      <c r="J28">
        <v>0</v>
      </c>
      <c r="K28">
        <v>0</v>
      </c>
      <c r="M28">
        <v>0</v>
      </c>
      <c r="N28">
        <v>10400</v>
      </c>
      <c r="O28">
        <v>0</v>
      </c>
      <c r="P28">
        <v>0</v>
      </c>
      <c r="Q28">
        <v>0</v>
      </c>
    </row>
    <row r="29" spans="1:17" x14ac:dyDescent="0.25">
      <c r="A29">
        <v>12200</v>
      </c>
      <c r="B29">
        <v>27900</v>
      </c>
      <c r="C29">
        <v>0</v>
      </c>
      <c r="D29" s="25">
        <v>0.1</v>
      </c>
      <c r="E29">
        <v>12200</v>
      </c>
      <c r="G29">
        <v>12200</v>
      </c>
      <c r="H29">
        <v>27900</v>
      </c>
      <c r="I29">
        <v>0</v>
      </c>
      <c r="J29" s="25">
        <v>0.1</v>
      </c>
      <c r="K29">
        <v>12200</v>
      </c>
      <c r="M29">
        <v>10401</v>
      </c>
      <c r="N29">
        <v>18250</v>
      </c>
      <c r="O29">
        <v>0</v>
      </c>
      <c r="P29" s="25">
        <v>0.1</v>
      </c>
      <c r="Q29">
        <v>10400</v>
      </c>
    </row>
    <row r="30" spans="1:17" x14ac:dyDescent="0.25">
      <c r="A30">
        <v>27900</v>
      </c>
      <c r="B30">
        <v>72050</v>
      </c>
      <c r="C30">
        <v>1570</v>
      </c>
      <c r="D30" s="25">
        <v>0.12</v>
      </c>
      <c r="E30">
        <v>27900</v>
      </c>
      <c r="G30">
        <v>27900</v>
      </c>
      <c r="H30">
        <v>72050</v>
      </c>
      <c r="I30">
        <v>1570</v>
      </c>
      <c r="J30" s="25">
        <v>0.12</v>
      </c>
      <c r="K30">
        <v>27900</v>
      </c>
      <c r="M30">
        <v>18251</v>
      </c>
      <c r="N30">
        <v>40325</v>
      </c>
      <c r="O30">
        <v>785</v>
      </c>
      <c r="P30" s="25">
        <v>0.12</v>
      </c>
      <c r="Q30">
        <v>18250</v>
      </c>
    </row>
    <row r="31" spans="1:17" x14ac:dyDescent="0.25">
      <c r="A31">
        <v>72050</v>
      </c>
      <c r="B31">
        <v>107550</v>
      </c>
      <c r="C31">
        <v>6868</v>
      </c>
      <c r="D31" s="25">
        <v>0.22</v>
      </c>
      <c r="E31">
        <v>72050</v>
      </c>
      <c r="G31">
        <v>72050</v>
      </c>
      <c r="H31">
        <v>107550</v>
      </c>
      <c r="I31">
        <v>6868</v>
      </c>
      <c r="J31" s="25">
        <v>0.22</v>
      </c>
      <c r="K31">
        <v>72050</v>
      </c>
      <c r="M31">
        <v>40326</v>
      </c>
      <c r="N31">
        <v>58075</v>
      </c>
      <c r="O31">
        <v>3434</v>
      </c>
      <c r="P31" s="25">
        <v>0.22</v>
      </c>
      <c r="Q31">
        <v>40325</v>
      </c>
    </row>
    <row r="32" spans="1:17" x14ac:dyDescent="0.25">
      <c r="A32">
        <v>107550</v>
      </c>
      <c r="B32">
        <v>194300</v>
      </c>
      <c r="C32">
        <v>14678</v>
      </c>
      <c r="D32" s="25">
        <v>0.24</v>
      </c>
      <c r="E32">
        <v>107550</v>
      </c>
      <c r="G32">
        <v>107550</v>
      </c>
      <c r="H32">
        <v>194300</v>
      </c>
      <c r="I32">
        <v>14678</v>
      </c>
      <c r="J32" s="25">
        <v>0.24</v>
      </c>
      <c r="K32">
        <v>107550</v>
      </c>
      <c r="M32">
        <v>58076</v>
      </c>
      <c r="N32">
        <v>101450</v>
      </c>
      <c r="O32">
        <v>7339</v>
      </c>
      <c r="P32" s="25">
        <v>0.24</v>
      </c>
      <c r="Q32">
        <v>58075</v>
      </c>
    </row>
    <row r="33" spans="1:17" x14ac:dyDescent="0.25">
      <c r="A33">
        <v>194300</v>
      </c>
      <c r="B33">
        <v>243450</v>
      </c>
      <c r="C33">
        <v>35498</v>
      </c>
      <c r="D33" s="25">
        <v>0.32</v>
      </c>
      <c r="E33">
        <v>194300</v>
      </c>
      <c r="G33">
        <v>194300</v>
      </c>
      <c r="H33">
        <v>243450</v>
      </c>
      <c r="I33">
        <v>35498</v>
      </c>
      <c r="J33" s="25">
        <v>0.32</v>
      </c>
      <c r="K33">
        <v>194300</v>
      </c>
      <c r="M33">
        <v>101451</v>
      </c>
      <c r="N33">
        <v>126025</v>
      </c>
      <c r="O33">
        <v>17749</v>
      </c>
      <c r="P33" s="25">
        <v>0.32</v>
      </c>
      <c r="Q33">
        <v>101450</v>
      </c>
    </row>
    <row r="34" spans="1:17" x14ac:dyDescent="0.25">
      <c r="A34">
        <v>243450</v>
      </c>
      <c r="B34">
        <v>590300</v>
      </c>
      <c r="C34">
        <v>51226</v>
      </c>
      <c r="D34" s="25">
        <v>0.35</v>
      </c>
      <c r="E34">
        <v>243450</v>
      </c>
      <c r="G34">
        <v>243450</v>
      </c>
      <c r="H34">
        <v>590300</v>
      </c>
      <c r="I34">
        <v>51226</v>
      </c>
      <c r="J34" s="25">
        <v>0.35</v>
      </c>
      <c r="K34">
        <v>243450</v>
      </c>
      <c r="M34">
        <v>126026</v>
      </c>
      <c r="N34">
        <v>299450</v>
      </c>
      <c r="O34">
        <v>25613</v>
      </c>
      <c r="P34" s="25">
        <v>0.35</v>
      </c>
      <c r="Q34">
        <v>126025</v>
      </c>
    </row>
    <row r="35" spans="1:17" x14ac:dyDescent="0.25">
      <c r="A35">
        <v>590300</v>
      </c>
      <c r="B35">
        <v>0</v>
      </c>
      <c r="C35">
        <v>172623.5</v>
      </c>
      <c r="D35" s="57">
        <v>0.37</v>
      </c>
      <c r="E35">
        <v>590300</v>
      </c>
      <c r="G35">
        <v>590300</v>
      </c>
      <c r="H35">
        <v>0</v>
      </c>
      <c r="I35">
        <v>172623.5</v>
      </c>
      <c r="J35" s="57">
        <v>0.37</v>
      </c>
      <c r="K35">
        <v>590300</v>
      </c>
      <c r="M35">
        <v>299451</v>
      </c>
      <c r="N35">
        <v>0</v>
      </c>
      <c r="O35">
        <v>86311.75</v>
      </c>
      <c r="P35" s="57">
        <v>0.37</v>
      </c>
      <c r="Q35">
        <v>299450</v>
      </c>
    </row>
  </sheetData>
  <sheetProtection algorithmName="SHA-512" hashValue="Xal2vufR8DVElhwb2jQXivlylwHvL4y4RcQzMeEaVh+a+qJ+5XeN7ghtDF4Fx+FsIYpS3X58cyThQr/nK3xjfw==" saltValue="4pNF2eaqC8uXkBYtX0FP/A==" spinCount="100000" sheet="1" objects="1" scenario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Supplemental Taxing</vt:lpstr>
      <vt:lpstr>Tax Table Method</vt:lpstr>
      <vt:lpstr>State Tax Tables</vt:lpstr>
      <vt:lpstr>Federal Tax Tables</vt:lpstr>
      <vt:lpstr>calyear</vt:lpstr>
      <vt:lpstr>'Tax Table Method'!dedamt</vt:lpstr>
      <vt:lpstr>dedamt</vt:lpstr>
      <vt:lpstr>'Tax Table Method'!deducts</vt:lpstr>
      <vt:lpstr>deducts</vt:lpstr>
      <vt:lpstr>fithohbox2</vt:lpstr>
      <vt:lpstr>fithohbox2y</vt:lpstr>
      <vt:lpstr>fithohyr</vt:lpstr>
      <vt:lpstr>fitmarr</vt:lpstr>
      <vt:lpstr>fitmarrbox2</vt:lpstr>
      <vt:lpstr>fitmarrbox2y</vt:lpstr>
      <vt:lpstr>fitmarrYR</vt:lpstr>
      <vt:lpstr>'Tax Table Method'!fitn</vt:lpstr>
      <vt:lpstr>fitn</vt:lpstr>
      <vt:lpstr>fitsing</vt:lpstr>
      <vt:lpstr>fitsingbox2</vt:lpstr>
      <vt:lpstr>fitsingbox2y</vt:lpstr>
      <vt:lpstr>fitsingYR</vt:lpstr>
      <vt:lpstr>fittable</vt:lpstr>
      <vt:lpstr>'Tax Table Method'!HIN</vt:lpstr>
      <vt:lpstr>HIN</vt:lpstr>
      <vt:lpstr>neww4</vt:lpstr>
      <vt:lpstr>'Tax Table Method'!OASDIN</vt:lpstr>
      <vt:lpstr>OASDIN</vt:lpstr>
      <vt:lpstr>oldw4</vt:lpstr>
      <vt:lpstr>'Supplemental Taxing'!Print_Area</vt:lpstr>
      <vt:lpstr>'Tax Table Method'!Print_Area</vt:lpstr>
      <vt:lpstr>'Tax Table Method'!sitn</vt:lpstr>
      <vt:lpstr>sitn</vt:lpstr>
      <vt:lpstr>'Federal Tax Tables'!sittable</vt:lpstr>
      <vt:lpstr>sittable</vt:lpstr>
    </vt:vector>
  </TitlesOfParts>
  <Company>Virginia Department of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Maximum Deferral Calculation for Special Pays</dc:title>
  <dc:subject>Maximum Deferral Calculation for Special Pays</dc:subject>
  <dc:creator>Virginia Department of Accounts</dc:creator>
  <cp:keywords>Maximum Deferral Calculation for Special Pays</cp:keywords>
  <dc:description>Maximum Deferral Calculation for Special Pays</dc:description>
  <cp:lastModifiedBy>VITA Program</cp:lastModifiedBy>
  <cp:lastPrinted>2020-10-06T19:10:12Z</cp:lastPrinted>
  <dcterms:created xsi:type="dcterms:W3CDTF">2011-02-23T18:23:14Z</dcterms:created>
  <dcterms:modified xsi:type="dcterms:W3CDTF">2023-03-10T15:50:12Z</dcterms:modified>
  <cp:category>Maximum Deferral Calculation for Special Pays</cp:category>
</cp:coreProperties>
</file>